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pivotTables/pivotTable4.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pivotTables/pivotTable5.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chart11.xml" ContentType="application/vnd.openxmlformats-officedocument.drawingml.chart+xml"/>
  <Override PartName="/xl/drawings/drawing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hidePivotFieldList="1"/>
  <mc:AlternateContent xmlns:mc="http://schemas.openxmlformats.org/markup-compatibility/2006">
    <mc:Choice Requires="x15">
      <x15ac:absPath xmlns:x15ac="http://schemas.microsoft.com/office/spreadsheetml/2010/11/ac" url="C:\Users\U350328\Desktop\TFM\"/>
    </mc:Choice>
  </mc:AlternateContent>
  <xr:revisionPtr revIDLastSave="0" documentId="13_ncr:1_{BAC98B93-425B-4BF7-B204-0E9868CBAB79}" xr6:coauthVersionLast="45" xr6:coauthVersionMax="45" xr10:uidLastSave="{00000000-0000-0000-0000-000000000000}"/>
  <bookViews>
    <workbookView xWindow="-120" yWindow="-120" windowWidth="20730" windowHeight="11160" tabRatio="634" firstSheet="2" activeTab="3" xr2:uid="{00000000-000D-0000-FFFF-FFFF00000000}"/>
  </bookViews>
  <sheets>
    <sheet name="Análisis macro" sheetId="34" r:id="rId1"/>
    <sheet name="Análisis económico" sheetId="31" r:id="rId2"/>
    <sheet name="Análisis competencia" sheetId="33" r:id="rId3"/>
    <sheet name="Inversión inicial + mensuales" sheetId="32" r:id="rId4"/>
    <sheet name="PRECIOS TANZANIA" sheetId="36" r:id="rId5"/>
    <sheet name="Base producto" sheetId="30" r:id="rId6"/>
    <sheet name="Cuentas anuales" sheetId="35" r:id="rId7"/>
    <sheet name="Resultados previsiones" sheetId="29" r:id="rId8"/>
    <sheet name="Potenciales clientes " sheetId="37" r:id="rId9"/>
    <sheet name="Previsión Centro" sheetId="6" r:id="rId10"/>
    <sheet name="Hoja1" sheetId="43" r:id="rId11"/>
    <sheet name="Hoja5" sheetId="42" r:id="rId12"/>
    <sheet name="Previsión Upanga East" sheetId="27" r:id="rId13"/>
    <sheet name="Previsión Oyster Bay" sheetId="28" r:id="rId14"/>
    <sheet name="Previsión Masaki" sheetId="38" r:id="rId15"/>
    <sheet name="Pasos a seguir" sheetId="13" r:id="rId16"/>
  </sheets>
  <definedNames>
    <definedName name="_xlnm._FilterDatabase" localSheetId="9" hidden="1">'Previsión Centro'!$A$20:$H$92</definedName>
    <definedName name="solver_adj" localSheetId="11" hidden="1">Hoja5!$L$4:$L$5</definedName>
    <definedName name="solver_cvg" localSheetId="11" hidden="1">0.0001</definedName>
    <definedName name="solver_drv" localSheetId="11" hidden="1">1</definedName>
    <definedName name="solver_eng" localSheetId="11" hidden="1">1</definedName>
    <definedName name="solver_est" localSheetId="11" hidden="1">1</definedName>
    <definedName name="solver_itr" localSheetId="11" hidden="1">2147483647</definedName>
    <definedName name="solver_lhs1" localSheetId="11" hidden="1">Hoja5!$L$4:$L$5</definedName>
    <definedName name="solver_lhs2" localSheetId="11" hidden="1">Hoja5!$L$4:$L$5</definedName>
    <definedName name="solver_mip" localSheetId="11" hidden="1">2147483647</definedName>
    <definedName name="solver_mni" localSheetId="11" hidden="1">30</definedName>
    <definedName name="solver_mrt" localSheetId="11" hidden="1">0.075</definedName>
    <definedName name="solver_msl" localSheetId="11" hidden="1">2</definedName>
    <definedName name="solver_neg" localSheetId="11" hidden="1">1</definedName>
    <definedName name="solver_nod" localSheetId="11" hidden="1">2147483647</definedName>
    <definedName name="solver_num" localSheetId="11" hidden="1">2</definedName>
    <definedName name="solver_nwt" localSheetId="11" hidden="1">1</definedName>
    <definedName name="solver_opt" localSheetId="11" hidden="1">Hoja5!$L$6</definedName>
    <definedName name="solver_pre" localSheetId="11" hidden="1">0.000001</definedName>
    <definedName name="solver_rbv" localSheetId="11" hidden="1">1</definedName>
    <definedName name="solver_rel1" localSheetId="11" hidden="1">1</definedName>
    <definedName name="solver_rel2" localSheetId="11" hidden="1">3</definedName>
    <definedName name="solver_rhs1" localSheetId="11" hidden="1">1</definedName>
    <definedName name="solver_rhs2" localSheetId="11" hidden="1">0</definedName>
    <definedName name="solver_rlx" localSheetId="11" hidden="1">2</definedName>
    <definedName name="solver_rsd" localSheetId="11" hidden="1">0</definedName>
    <definedName name="solver_scl" localSheetId="11" hidden="1">1</definedName>
    <definedName name="solver_sho" localSheetId="11" hidden="1">2</definedName>
    <definedName name="solver_ssz" localSheetId="11" hidden="1">100</definedName>
    <definedName name="solver_tim" localSheetId="11" hidden="1">2147483647</definedName>
    <definedName name="solver_tol" localSheetId="11" hidden="1">0.01</definedName>
    <definedName name="solver_typ" localSheetId="11" hidden="1">2</definedName>
    <definedName name="solver_val" localSheetId="11" hidden="1">0</definedName>
    <definedName name="solver_ver" localSheetId="11" hidden="1">3</definedName>
  </definedNames>
  <calcPr calcId="191029"/>
  <pivotCaches>
    <pivotCache cacheId="0" r:id="rId1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C10" i="32" l="1"/>
  <c r="U10" i="32"/>
  <c r="AF11" i="37"/>
  <c r="AE11" i="37"/>
  <c r="AE12" i="37" s="1"/>
  <c r="AF12" i="37"/>
  <c r="AG10" i="37"/>
  <c r="AD12" i="37"/>
  <c r="AC12" i="37"/>
  <c r="AG12" i="37" l="1"/>
  <c r="D8" i="6" l="1"/>
  <c r="G15" i="6"/>
  <c r="G14" i="6"/>
  <c r="G13" i="6"/>
  <c r="G12" i="6"/>
  <c r="G11" i="6"/>
  <c r="G10" i="6"/>
  <c r="G9" i="6"/>
  <c r="D11" i="6"/>
  <c r="D10" i="6"/>
  <c r="G8" i="6"/>
  <c r="G7" i="6"/>
  <c r="G6" i="6"/>
  <c r="G5" i="6"/>
  <c r="G4" i="6"/>
  <c r="F15" i="6"/>
  <c r="F14" i="6"/>
  <c r="F13" i="6"/>
  <c r="F12" i="6"/>
  <c r="F11" i="6"/>
  <c r="F10" i="6"/>
  <c r="F9" i="6"/>
  <c r="F8" i="6"/>
  <c r="F7" i="6"/>
  <c r="F6" i="6"/>
  <c r="F5" i="6"/>
  <c r="F4" i="6"/>
  <c r="E15" i="6"/>
  <c r="E14" i="6"/>
  <c r="E13" i="6"/>
  <c r="E12" i="6"/>
  <c r="E11" i="6"/>
  <c r="E10" i="6"/>
  <c r="E9" i="6"/>
  <c r="E8" i="6"/>
  <c r="E7" i="6"/>
  <c r="E6" i="6"/>
  <c r="E5" i="6"/>
  <c r="E4" i="6"/>
  <c r="D15" i="6"/>
  <c r="D14" i="6"/>
  <c r="D13" i="6"/>
  <c r="D12" i="6"/>
  <c r="D7" i="6"/>
  <c r="D6" i="6"/>
  <c r="D5" i="6"/>
  <c r="D9" i="6"/>
  <c r="D4" i="6"/>
  <c r="C4" i="6"/>
  <c r="C11" i="6"/>
  <c r="C13" i="6"/>
  <c r="C15" i="6"/>
  <c r="C14" i="6"/>
  <c r="C12" i="6"/>
  <c r="C10" i="6"/>
  <c r="C9" i="6"/>
  <c r="C8" i="6"/>
  <c r="C7" i="6"/>
  <c r="C6" i="6"/>
  <c r="C5" i="6"/>
  <c r="L2" i="6"/>
  <c r="E75" i="30"/>
  <c r="L10" i="43"/>
  <c r="H78" i="30"/>
  <c r="H79" i="30"/>
  <c r="H92" i="43"/>
  <c r="H91" i="43"/>
  <c r="H90" i="43"/>
  <c r="H89" i="43"/>
  <c r="H88" i="43"/>
  <c r="H87" i="43"/>
  <c r="H86" i="43"/>
  <c r="H85" i="43"/>
  <c r="H84" i="43"/>
  <c r="H83" i="43"/>
  <c r="H82" i="43"/>
  <c r="H81" i="43"/>
  <c r="H80" i="43"/>
  <c r="F80" i="43"/>
  <c r="H79" i="43"/>
  <c r="F79" i="43"/>
  <c r="H78" i="43"/>
  <c r="F78" i="43"/>
  <c r="H77" i="43"/>
  <c r="F77" i="43"/>
  <c r="H76" i="43"/>
  <c r="F76" i="43"/>
  <c r="H75" i="43"/>
  <c r="F75" i="43"/>
  <c r="H74" i="43"/>
  <c r="F74" i="43"/>
  <c r="H73" i="43"/>
  <c r="F73" i="43"/>
  <c r="H72" i="43"/>
  <c r="F72" i="43"/>
  <c r="H71" i="43"/>
  <c r="F71" i="43"/>
  <c r="H70" i="43"/>
  <c r="F70" i="43"/>
  <c r="H69" i="43"/>
  <c r="F69" i="43"/>
  <c r="H68" i="43"/>
  <c r="F68" i="43"/>
  <c r="H67" i="43"/>
  <c r="F67" i="43"/>
  <c r="H66" i="43"/>
  <c r="F66" i="43"/>
  <c r="H65" i="43"/>
  <c r="F65" i="43"/>
  <c r="H64" i="43"/>
  <c r="F64" i="43"/>
  <c r="H63" i="43"/>
  <c r="F63" i="43"/>
  <c r="H62" i="43"/>
  <c r="F62" i="43"/>
  <c r="H61" i="43"/>
  <c r="F61" i="43"/>
  <c r="H60" i="43"/>
  <c r="F60" i="43"/>
  <c r="H59" i="43"/>
  <c r="F59" i="43"/>
  <c r="H58" i="43"/>
  <c r="F58" i="43"/>
  <c r="H57" i="43"/>
  <c r="F57" i="43"/>
  <c r="H56" i="43"/>
  <c r="F56" i="43"/>
  <c r="H55" i="43"/>
  <c r="F55" i="43"/>
  <c r="H54" i="43"/>
  <c r="F54" i="43"/>
  <c r="H53" i="43"/>
  <c r="F53" i="43"/>
  <c r="H52" i="43"/>
  <c r="F52" i="43"/>
  <c r="H51" i="43"/>
  <c r="F51" i="43"/>
  <c r="H50" i="43"/>
  <c r="F50" i="43"/>
  <c r="H49" i="43"/>
  <c r="F49" i="43"/>
  <c r="H48" i="43"/>
  <c r="F48" i="43"/>
  <c r="H47" i="43"/>
  <c r="F47" i="43"/>
  <c r="H46" i="43"/>
  <c r="F46" i="43"/>
  <c r="H45" i="43"/>
  <c r="F45" i="43"/>
  <c r="H44" i="43"/>
  <c r="F44" i="43"/>
  <c r="H43" i="43"/>
  <c r="F43" i="43"/>
  <c r="H42" i="43"/>
  <c r="F42" i="43"/>
  <c r="H41" i="43"/>
  <c r="F41" i="43"/>
  <c r="H40" i="43"/>
  <c r="F40" i="43"/>
  <c r="H39" i="43"/>
  <c r="F39" i="43"/>
  <c r="H38" i="43"/>
  <c r="F38" i="43"/>
  <c r="H37" i="43"/>
  <c r="F37" i="43"/>
  <c r="H36" i="43"/>
  <c r="F36" i="43"/>
  <c r="H35" i="43"/>
  <c r="F35" i="43"/>
  <c r="H34" i="43"/>
  <c r="F34" i="43"/>
  <c r="H33" i="43"/>
  <c r="F33" i="43"/>
  <c r="H32" i="43"/>
  <c r="F32" i="43"/>
  <c r="H31" i="43"/>
  <c r="F31" i="43"/>
  <c r="H30" i="43"/>
  <c r="F30" i="43"/>
  <c r="H29" i="43"/>
  <c r="F29" i="43"/>
  <c r="H28" i="43"/>
  <c r="F28" i="43"/>
  <c r="H27" i="43"/>
  <c r="F27" i="43"/>
  <c r="H26" i="43"/>
  <c r="F26" i="43"/>
  <c r="H25" i="43"/>
  <c r="F25" i="43"/>
  <c r="H24" i="43"/>
  <c r="F24" i="43"/>
  <c r="H23" i="43"/>
  <c r="F23" i="43"/>
  <c r="H22" i="43"/>
  <c r="F22" i="43"/>
  <c r="H21" i="43"/>
  <c r="F21" i="43"/>
  <c r="M3" i="43"/>
  <c r="L2" i="43"/>
  <c r="L3" i="43" s="1"/>
  <c r="M4" i="43" s="1"/>
  <c r="N3" i="43" l="1"/>
  <c r="G45" i="32"/>
  <c r="G5" i="32"/>
  <c r="G6" i="32"/>
  <c r="G7" i="32"/>
  <c r="G8" i="32"/>
  <c r="G9" i="32"/>
  <c r="G10" i="32"/>
  <c r="G11" i="32"/>
  <c r="G12" i="32"/>
  <c r="G13" i="32"/>
  <c r="G14" i="32"/>
  <c r="G15" i="32"/>
  <c r="G16" i="32"/>
  <c r="G17" i="32"/>
  <c r="G18" i="32"/>
  <c r="G19" i="32"/>
  <c r="G20" i="32"/>
  <c r="G21" i="32"/>
  <c r="G22" i="32"/>
  <c r="G23" i="32"/>
  <c r="G24" i="32"/>
  <c r="G25" i="32"/>
  <c r="G26" i="32"/>
  <c r="G27" i="32"/>
  <c r="G28" i="32"/>
  <c r="G29" i="32"/>
  <c r="G30" i="32"/>
  <c r="G31" i="32"/>
  <c r="G32" i="32"/>
  <c r="G33" i="32"/>
  <c r="G34" i="32"/>
  <c r="G35" i="32"/>
  <c r="G36" i="32"/>
  <c r="G37" i="32"/>
  <c r="G38" i="32"/>
  <c r="G39" i="32"/>
  <c r="G40" i="32"/>
  <c r="G41" i="32"/>
  <c r="G42" i="32"/>
  <c r="G43" i="32"/>
  <c r="G44" i="32"/>
  <c r="G4" i="32"/>
  <c r="N6" i="32"/>
  <c r="N8" i="32"/>
  <c r="N17" i="32"/>
  <c r="AD10" i="37"/>
  <c r="AE10" i="37"/>
  <c r="AF10" i="37"/>
  <c r="AC10" i="37"/>
  <c r="O8" i="37"/>
  <c r="O10" i="37"/>
  <c r="AC6" i="37"/>
  <c r="Y15" i="37"/>
  <c r="Z15" i="37"/>
  <c r="AA15" i="37"/>
  <c r="Y16" i="37"/>
  <c r="Z16" i="37"/>
  <c r="AA16" i="37"/>
  <c r="X16" i="37"/>
  <c r="X15" i="37"/>
  <c r="AD8" i="37"/>
  <c r="AE8" i="37"/>
  <c r="AF8" i="37"/>
  <c r="AC8" i="37"/>
  <c r="AG8" i="37" s="1"/>
  <c r="AH8" i="37" s="1"/>
  <c r="AI9" i="37" s="1"/>
  <c r="AD7" i="37"/>
  <c r="AE7" i="37"/>
  <c r="AF7" i="37"/>
  <c r="AC7" i="37"/>
  <c r="AD6" i="37"/>
  <c r="AE6" i="37"/>
  <c r="AF6" i="37"/>
  <c r="P9" i="37"/>
  <c r="Q9" i="37"/>
  <c r="R9" i="37"/>
  <c r="P8" i="37"/>
  <c r="Q8" i="37"/>
  <c r="R8" i="37"/>
  <c r="O9" i="37"/>
  <c r="G18" i="42"/>
  <c r="G19" i="42"/>
  <c r="G20" i="42"/>
  <c r="G21" i="42"/>
  <c r="G17" i="42"/>
  <c r="G16" i="42"/>
  <c r="H22" i="42"/>
  <c r="F26" i="42"/>
  <c r="G5" i="42"/>
  <c r="F4" i="42"/>
  <c r="E5" i="42"/>
  <c r="F5" i="42" s="1"/>
  <c r="E4" i="42"/>
  <c r="H21" i="6"/>
  <c r="F24" i="6"/>
  <c r="H28" i="6"/>
  <c r="G14" i="43"/>
  <c r="D79" i="43" s="1"/>
  <c r="G79" i="43" s="1"/>
  <c r="G11" i="43"/>
  <c r="D76" i="43" s="1"/>
  <c r="G76" i="43" s="1"/>
  <c r="G6" i="43"/>
  <c r="D71" i="43" s="1"/>
  <c r="J71" i="43" s="1"/>
  <c r="K71" i="43" s="1"/>
  <c r="O71" i="43" s="1"/>
  <c r="F40" i="6"/>
  <c r="H40" i="6"/>
  <c r="H35" i="6"/>
  <c r="F15" i="43"/>
  <c r="D68" i="43" s="1"/>
  <c r="J68" i="43" s="1"/>
  <c r="K68" i="43" s="1"/>
  <c r="O68" i="43" s="1"/>
  <c r="D8" i="43"/>
  <c r="D37" i="43" s="1"/>
  <c r="J37" i="43" s="1"/>
  <c r="K37" i="43" s="1"/>
  <c r="O37" i="43" s="1"/>
  <c r="H23" i="6"/>
  <c r="G71" i="43" l="1"/>
  <c r="G68" i="43"/>
  <c r="J76" i="43"/>
  <c r="K76" i="43" s="1"/>
  <c r="O76" i="43" s="1"/>
  <c r="G37" i="43"/>
  <c r="J79" i="43"/>
  <c r="K79" i="43" s="1"/>
  <c r="O79" i="43" s="1"/>
  <c r="G7" i="43"/>
  <c r="D72" i="43" s="1"/>
  <c r="G8" i="43"/>
  <c r="D73" i="43" s="1"/>
  <c r="G73" i="43" s="1"/>
  <c r="G15" i="43"/>
  <c r="D80" i="43" s="1"/>
  <c r="N3" i="6"/>
  <c r="G4" i="43"/>
  <c r="G9" i="43"/>
  <c r="D74" i="43" s="1"/>
  <c r="G12" i="43"/>
  <c r="D77" i="43" s="1"/>
  <c r="G77" i="43" s="1"/>
  <c r="F9" i="43"/>
  <c r="D62" i="43" s="1"/>
  <c r="J62" i="43" s="1"/>
  <c r="K62" i="43" s="1"/>
  <c r="O62" i="43" s="1"/>
  <c r="D4" i="43"/>
  <c r="D33" i="43" s="1"/>
  <c r="G5" i="43"/>
  <c r="D70" i="43" s="1"/>
  <c r="G10" i="43"/>
  <c r="D75" i="43" s="1"/>
  <c r="G13" i="43"/>
  <c r="D78" i="43" s="1"/>
  <c r="G6" i="42"/>
  <c r="E6" i="42"/>
  <c r="H5" i="42"/>
  <c r="E8" i="43"/>
  <c r="D49" i="43" s="1"/>
  <c r="F4" i="43"/>
  <c r="D57" i="43" s="1"/>
  <c r="F12" i="43"/>
  <c r="D65" i="43" s="1"/>
  <c r="D5" i="43"/>
  <c r="D34" i="43" s="1"/>
  <c r="E5" i="43"/>
  <c r="D46" i="43" s="1"/>
  <c r="E11" i="43"/>
  <c r="D52" i="43" s="1"/>
  <c r="F13" i="43"/>
  <c r="D66" i="43" s="1"/>
  <c r="G66" i="43" s="1"/>
  <c r="L3" i="6"/>
  <c r="D6" i="43"/>
  <c r="D35" i="43" s="1"/>
  <c r="D10" i="43"/>
  <c r="D39" i="43" s="1"/>
  <c r="D14" i="43"/>
  <c r="D43" i="43" s="1"/>
  <c r="E6" i="43"/>
  <c r="D47" i="43" s="1"/>
  <c r="E14" i="43"/>
  <c r="D55" i="43" s="1"/>
  <c r="G55" i="43" s="1"/>
  <c r="E10" i="43"/>
  <c r="D51" i="43" s="1"/>
  <c r="F6" i="43"/>
  <c r="D59" i="43" s="1"/>
  <c r="F10" i="43"/>
  <c r="D63" i="43" s="1"/>
  <c r="F14" i="43"/>
  <c r="D67" i="43" s="1"/>
  <c r="D12" i="43"/>
  <c r="D41" i="43" s="1"/>
  <c r="E4" i="43"/>
  <c r="D45" i="43" s="1"/>
  <c r="E12" i="43"/>
  <c r="D53" i="43" s="1"/>
  <c r="F8" i="43"/>
  <c r="D61" i="43" s="1"/>
  <c r="D9" i="43"/>
  <c r="D38" i="43" s="1"/>
  <c r="D13" i="43"/>
  <c r="D42" i="43" s="1"/>
  <c r="E15" i="43"/>
  <c r="D56" i="43" s="1"/>
  <c r="F5" i="43"/>
  <c r="D58" i="43" s="1"/>
  <c r="J58" i="43" s="1"/>
  <c r="K58" i="43" s="1"/>
  <c r="O58" i="43" s="1"/>
  <c r="C15" i="43"/>
  <c r="D7" i="43"/>
  <c r="D36" i="43" s="1"/>
  <c r="G36" i="43" s="1"/>
  <c r="D11" i="43"/>
  <c r="D40" i="43" s="1"/>
  <c r="J40" i="43" s="1"/>
  <c r="K40" i="43" s="1"/>
  <c r="O40" i="43" s="1"/>
  <c r="D15" i="43"/>
  <c r="D44" i="43" s="1"/>
  <c r="E7" i="43"/>
  <c r="D48" i="43" s="1"/>
  <c r="E13" i="43"/>
  <c r="D54" i="43" s="1"/>
  <c r="E9" i="43"/>
  <c r="D50" i="43" s="1"/>
  <c r="F7" i="43"/>
  <c r="D60" i="43" s="1"/>
  <c r="F11" i="43"/>
  <c r="D64" i="43" s="1"/>
  <c r="G16" i="43" l="1"/>
  <c r="D69" i="43"/>
  <c r="E62" i="43"/>
  <c r="J55" i="43"/>
  <c r="K55" i="43" s="1"/>
  <c r="O55" i="43" s="1"/>
  <c r="E58" i="43"/>
  <c r="E57" i="43"/>
  <c r="J51" i="43"/>
  <c r="K51" i="43" s="1"/>
  <c r="O51" i="43" s="1"/>
  <c r="E55" i="43"/>
  <c r="E38" i="43"/>
  <c r="J36" i="43"/>
  <c r="K36" i="43" s="1"/>
  <c r="O36" i="43" s="1"/>
  <c r="E42" i="43"/>
  <c r="J50" i="43"/>
  <c r="K50" i="43" s="1"/>
  <c r="O50" i="43" s="1"/>
  <c r="G50" i="43"/>
  <c r="G53" i="43"/>
  <c r="J53" i="43"/>
  <c r="K53" i="43" s="1"/>
  <c r="O53" i="43" s="1"/>
  <c r="G34" i="43"/>
  <c r="J34" i="43"/>
  <c r="K34" i="43" s="1"/>
  <c r="O34" i="43" s="1"/>
  <c r="G40" i="43"/>
  <c r="E39" i="43"/>
  <c r="E59" i="43"/>
  <c r="J54" i="43"/>
  <c r="K54" i="43" s="1"/>
  <c r="O54" i="43" s="1"/>
  <c r="G54" i="43"/>
  <c r="G42" i="43"/>
  <c r="J42" i="43"/>
  <c r="K42" i="43" s="1"/>
  <c r="O42" i="43" s="1"/>
  <c r="G45" i="43"/>
  <c r="J45" i="43"/>
  <c r="K45" i="43" s="1"/>
  <c r="O45" i="43" s="1"/>
  <c r="J59" i="43"/>
  <c r="K59" i="43" s="1"/>
  <c r="O59" i="43" s="1"/>
  <c r="G59" i="43"/>
  <c r="J43" i="43"/>
  <c r="K43" i="43" s="1"/>
  <c r="O43" i="43" s="1"/>
  <c r="G43" i="43"/>
  <c r="G65" i="43"/>
  <c r="J65" i="43"/>
  <c r="K65" i="43" s="1"/>
  <c r="O65" i="43" s="1"/>
  <c r="G70" i="43"/>
  <c r="J70" i="43"/>
  <c r="K70" i="43" s="1"/>
  <c r="O70" i="43" s="1"/>
  <c r="G74" i="43"/>
  <c r="J74" i="43"/>
  <c r="K74" i="43" s="1"/>
  <c r="O74" i="43" s="1"/>
  <c r="E56" i="43"/>
  <c r="E46" i="43"/>
  <c r="E37" i="43"/>
  <c r="G58" i="43"/>
  <c r="E16" i="43"/>
  <c r="E40" i="43"/>
  <c r="G63" i="43"/>
  <c r="J63" i="43"/>
  <c r="K63" i="43" s="1"/>
  <c r="O63" i="43" s="1"/>
  <c r="G75" i="43"/>
  <c r="J75" i="43"/>
  <c r="K75" i="43" s="1"/>
  <c r="O75" i="43" s="1"/>
  <c r="G80" i="43"/>
  <c r="J80" i="43"/>
  <c r="K80" i="43" s="1"/>
  <c r="O80" i="43" s="1"/>
  <c r="E69" i="43"/>
  <c r="J77" i="43"/>
  <c r="K77" i="43" s="1"/>
  <c r="O77" i="43" s="1"/>
  <c r="G64" i="43"/>
  <c r="J64" i="43"/>
  <c r="K64" i="43" s="1"/>
  <c r="O64" i="43" s="1"/>
  <c r="J48" i="43"/>
  <c r="K48" i="43" s="1"/>
  <c r="O48" i="43" s="1"/>
  <c r="G48" i="43"/>
  <c r="G38" i="43"/>
  <c r="J38" i="43"/>
  <c r="K38" i="43" s="1"/>
  <c r="O38" i="43" s="1"/>
  <c r="G41" i="43"/>
  <c r="J41" i="43"/>
  <c r="K41" i="43" s="1"/>
  <c r="O41" i="43" s="1"/>
  <c r="G39" i="43"/>
  <c r="J39" i="43"/>
  <c r="K39" i="43" s="1"/>
  <c r="O39" i="43" s="1"/>
  <c r="J52" i="43"/>
  <c r="K52" i="43" s="1"/>
  <c r="O52" i="43" s="1"/>
  <c r="G52" i="43"/>
  <c r="J57" i="43"/>
  <c r="K57" i="43" s="1"/>
  <c r="O57" i="43" s="1"/>
  <c r="G57" i="43"/>
  <c r="G33" i="43"/>
  <c r="J33" i="43"/>
  <c r="K33" i="43" s="1"/>
  <c r="O33" i="43" s="1"/>
  <c r="G72" i="43"/>
  <c r="J72" i="43"/>
  <c r="K72" i="43" s="1"/>
  <c r="O72" i="43" s="1"/>
  <c r="D16" i="43"/>
  <c r="F16" i="43"/>
  <c r="E61" i="43"/>
  <c r="G51" i="43"/>
  <c r="E60" i="43"/>
  <c r="G56" i="43"/>
  <c r="J56" i="43"/>
  <c r="K56" i="43" s="1"/>
  <c r="O56" i="43" s="1"/>
  <c r="J60" i="43"/>
  <c r="K60" i="43" s="1"/>
  <c r="O60" i="43" s="1"/>
  <c r="G60" i="43"/>
  <c r="G44" i="43"/>
  <c r="J44" i="43"/>
  <c r="K44" i="43" s="1"/>
  <c r="O44" i="43" s="1"/>
  <c r="G61" i="43"/>
  <c r="J61" i="43"/>
  <c r="K61" i="43" s="1"/>
  <c r="O61" i="43" s="1"/>
  <c r="J67" i="43"/>
  <c r="K67" i="43" s="1"/>
  <c r="O67" i="43" s="1"/>
  <c r="G67" i="43"/>
  <c r="J35" i="43"/>
  <c r="K35" i="43" s="1"/>
  <c r="O35" i="43" s="1"/>
  <c r="G35" i="43"/>
  <c r="G46" i="43"/>
  <c r="J46" i="43"/>
  <c r="K46" i="43" s="1"/>
  <c r="O46" i="43" s="1"/>
  <c r="J49" i="43"/>
  <c r="K49" i="43" s="1"/>
  <c r="O49" i="43" s="1"/>
  <c r="G49" i="43"/>
  <c r="G78" i="43"/>
  <c r="J78" i="43"/>
  <c r="K78" i="43" s="1"/>
  <c r="O78" i="43" s="1"/>
  <c r="E52" i="43"/>
  <c r="E54" i="43"/>
  <c r="J66" i="43"/>
  <c r="K66" i="43" s="1"/>
  <c r="O66" i="43" s="1"/>
  <c r="E36" i="43"/>
  <c r="G62" i="43"/>
  <c r="J73" i="43"/>
  <c r="K73" i="43" s="1"/>
  <c r="O73" i="43" s="1"/>
  <c r="E70" i="43"/>
  <c r="E64" i="43"/>
  <c r="E67" i="43"/>
  <c r="E66" i="43"/>
  <c r="E72" i="43"/>
  <c r="E65" i="43"/>
  <c r="E44" i="43"/>
  <c r="E43" i="43"/>
  <c r="E45" i="43"/>
  <c r="E71" i="43"/>
  <c r="E53" i="43"/>
  <c r="G47" i="43"/>
  <c r="J47" i="43"/>
  <c r="K47" i="43" s="1"/>
  <c r="O47" i="43" s="1"/>
  <c r="E51" i="43"/>
  <c r="E41" i="43"/>
  <c r="E47" i="43"/>
  <c r="E48" i="43"/>
  <c r="E50" i="43"/>
  <c r="G69" i="43"/>
  <c r="J69" i="43"/>
  <c r="K69" i="43" s="1"/>
  <c r="O69" i="43" s="1"/>
  <c r="E74" i="43"/>
  <c r="E73" i="43"/>
  <c r="E63" i="43"/>
  <c r="E68" i="43"/>
  <c r="E49" i="43"/>
  <c r="F6" i="42"/>
  <c r="G7" i="42" s="1"/>
  <c r="I5" i="42"/>
  <c r="E7" i="42" l="1"/>
  <c r="F7" i="42" s="1"/>
  <c r="G8" i="42" s="1"/>
  <c r="D22" i="42"/>
  <c r="E8" i="42" l="1"/>
  <c r="C8" i="43"/>
  <c r="D25" i="43" s="1"/>
  <c r="H32" i="6"/>
  <c r="C14" i="43"/>
  <c r="D31" i="43" s="1"/>
  <c r="C13" i="43"/>
  <c r="D30" i="43" s="1"/>
  <c r="C12" i="43"/>
  <c r="D29" i="43" s="1"/>
  <c r="C11" i="43"/>
  <c r="D28" i="43" s="1"/>
  <c r="C10" i="43"/>
  <c r="D27" i="43" s="1"/>
  <c r="C9" i="43"/>
  <c r="D26" i="43" s="1"/>
  <c r="C7" i="43"/>
  <c r="D24" i="43" s="1"/>
  <c r="C6" i="43"/>
  <c r="D23" i="43" s="1"/>
  <c r="C5" i="43"/>
  <c r="D22" i="43" s="1"/>
  <c r="C4" i="43"/>
  <c r="M3" i="6"/>
  <c r="G28" i="43" l="1"/>
  <c r="J28" i="43"/>
  <c r="K28" i="43" s="1"/>
  <c r="O28" i="43" s="1"/>
  <c r="G24" i="43"/>
  <c r="J24" i="43"/>
  <c r="K24" i="43" s="1"/>
  <c r="O24" i="43" s="1"/>
  <c r="E27" i="43"/>
  <c r="G29" i="43"/>
  <c r="J29" i="43"/>
  <c r="K29" i="43" s="1"/>
  <c r="O29" i="43" s="1"/>
  <c r="E28" i="43"/>
  <c r="G25" i="43"/>
  <c r="J25" i="43"/>
  <c r="K25" i="43" s="1"/>
  <c r="O25" i="43" s="1"/>
  <c r="J23" i="43"/>
  <c r="K23" i="43" s="1"/>
  <c r="O23" i="43" s="1"/>
  <c r="G23" i="43"/>
  <c r="E26" i="43"/>
  <c r="G26" i="43"/>
  <c r="J26" i="43"/>
  <c r="K26" i="43" s="1"/>
  <c r="O26" i="43" s="1"/>
  <c r="G30" i="43"/>
  <c r="J30" i="43"/>
  <c r="K30" i="43" s="1"/>
  <c r="O30" i="43" s="1"/>
  <c r="C16" i="43"/>
  <c r="D21" i="43"/>
  <c r="J22" i="43"/>
  <c r="K22" i="43" s="1"/>
  <c r="O22" i="43" s="1"/>
  <c r="G22" i="43"/>
  <c r="E25" i="43"/>
  <c r="J27" i="43"/>
  <c r="K27" i="43" s="1"/>
  <c r="O27" i="43" s="1"/>
  <c r="G27" i="43"/>
  <c r="J31" i="43"/>
  <c r="K31" i="43" s="1"/>
  <c r="O31" i="43" s="1"/>
  <c r="G31" i="43"/>
  <c r="F8" i="42"/>
  <c r="G9" i="42" s="1"/>
  <c r="J21" i="43" l="1"/>
  <c r="G21" i="43"/>
  <c r="E24" i="43"/>
  <c r="E9" i="42"/>
  <c r="M31" i="43" l="1"/>
  <c r="M23" i="43"/>
  <c r="M28" i="43"/>
  <c r="M29" i="43"/>
  <c r="L29" i="43"/>
  <c r="L25" i="43"/>
  <c r="L28" i="43"/>
  <c r="M22" i="43"/>
  <c r="M26" i="43"/>
  <c r="L26" i="43"/>
  <c r="L27" i="43"/>
  <c r="L23" i="43"/>
  <c r="M24" i="43"/>
  <c r="L21" i="43"/>
  <c r="D32" i="43" s="1"/>
  <c r="L24" i="43"/>
  <c r="L31" i="43"/>
  <c r="M30" i="43"/>
  <c r="M27" i="43"/>
  <c r="M21" i="43"/>
  <c r="K21" i="43"/>
  <c r="M25" i="43"/>
  <c r="L30" i="43"/>
  <c r="L22" i="43"/>
  <c r="F9" i="42"/>
  <c r="G10" i="42" s="1"/>
  <c r="N29" i="43" l="1"/>
  <c r="Q29" i="43" s="1"/>
  <c r="N25" i="43"/>
  <c r="Q25" i="43" s="1"/>
  <c r="N28" i="43"/>
  <c r="Q28" i="43" s="1"/>
  <c r="N30" i="43"/>
  <c r="Q30" i="43" s="1"/>
  <c r="N24" i="43"/>
  <c r="Q24" i="43" s="1"/>
  <c r="O21" i="43"/>
  <c r="N27" i="43"/>
  <c r="Q27" i="43" s="1"/>
  <c r="N26" i="43"/>
  <c r="Q26" i="43" s="1"/>
  <c r="N22" i="43"/>
  <c r="Q22" i="43" s="1"/>
  <c r="N23" i="43"/>
  <c r="Q23" i="43" s="1"/>
  <c r="N31" i="43"/>
  <c r="Q31" i="43" s="1"/>
  <c r="N21" i="43"/>
  <c r="Q21" i="43" s="1"/>
  <c r="G32" i="43"/>
  <c r="E35" i="43"/>
  <c r="E34" i="43"/>
  <c r="J32" i="43"/>
  <c r="E32" i="43"/>
  <c r="E29" i="43"/>
  <c r="E30" i="43"/>
  <c r="E31" i="43"/>
  <c r="E33" i="43"/>
  <c r="E10" i="42"/>
  <c r="P23" i="43" l="1"/>
  <c r="P29" i="43"/>
  <c r="P30" i="43"/>
  <c r="P28" i="43"/>
  <c r="P21" i="43"/>
  <c r="P27" i="43"/>
  <c r="P26" i="43"/>
  <c r="P24" i="43"/>
  <c r="P22" i="43"/>
  <c r="P31" i="43"/>
  <c r="P25" i="43"/>
  <c r="K32" i="43"/>
  <c r="M70" i="43"/>
  <c r="L51" i="43"/>
  <c r="L77" i="43"/>
  <c r="L46" i="43"/>
  <c r="M78" i="43"/>
  <c r="L49" i="43"/>
  <c r="L59" i="43"/>
  <c r="M39" i="43"/>
  <c r="M53" i="43"/>
  <c r="M79" i="43"/>
  <c r="L68" i="43"/>
  <c r="M49" i="43"/>
  <c r="M46" i="43"/>
  <c r="L43" i="43"/>
  <c r="L58" i="43"/>
  <c r="M67" i="43"/>
  <c r="L45" i="43"/>
  <c r="L44" i="43"/>
  <c r="M72" i="43"/>
  <c r="M35" i="43"/>
  <c r="M77" i="43"/>
  <c r="M61" i="43"/>
  <c r="L80" i="43"/>
  <c r="M34" i="43"/>
  <c r="M73" i="43"/>
  <c r="M62" i="43"/>
  <c r="L34" i="43"/>
  <c r="M64" i="43"/>
  <c r="M32" i="43"/>
  <c r="M74" i="43"/>
  <c r="L33" i="43"/>
  <c r="M56" i="43"/>
  <c r="L69" i="43"/>
  <c r="M51" i="43"/>
  <c r="L62" i="43"/>
  <c r="M71" i="43"/>
  <c r="M40" i="43"/>
  <c r="L55" i="43"/>
  <c r="L54" i="43"/>
  <c r="M50" i="43"/>
  <c r="L42" i="43"/>
  <c r="L39" i="43"/>
  <c r="M52" i="43"/>
  <c r="L78" i="43"/>
  <c r="L63" i="43"/>
  <c r="L67" i="43"/>
  <c r="L57" i="43"/>
  <c r="L36" i="43"/>
  <c r="L74" i="43"/>
  <c r="L66" i="43"/>
  <c r="L71" i="43"/>
  <c r="L48" i="43"/>
  <c r="L53" i="43"/>
  <c r="M45" i="43"/>
  <c r="M58" i="43"/>
  <c r="M80" i="43"/>
  <c r="L41" i="43"/>
  <c r="M75" i="43"/>
  <c r="L38" i="43"/>
  <c r="L60" i="43"/>
  <c r="L37" i="43"/>
  <c r="M76" i="43"/>
  <c r="M59" i="43"/>
  <c r="L64" i="43"/>
  <c r="M33" i="43"/>
  <c r="M55" i="43"/>
  <c r="L50" i="43"/>
  <c r="L79" i="43"/>
  <c r="L76" i="43"/>
  <c r="M36" i="43"/>
  <c r="M44" i="43"/>
  <c r="L75" i="43"/>
  <c r="M42" i="43"/>
  <c r="M37" i="43"/>
  <c r="M60" i="43"/>
  <c r="L35" i="43"/>
  <c r="L65" i="43"/>
  <c r="M47" i="43"/>
  <c r="M63" i="43"/>
  <c r="L52" i="43"/>
  <c r="M65" i="43"/>
  <c r="L70" i="43"/>
  <c r="M54" i="43"/>
  <c r="M69" i="43"/>
  <c r="M66" i="43"/>
  <c r="M68" i="43"/>
  <c r="M41" i="43"/>
  <c r="L32" i="43"/>
  <c r="L56" i="43"/>
  <c r="M38" i="43"/>
  <c r="L72" i="43"/>
  <c r="L47" i="43"/>
  <c r="L73" i="43"/>
  <c r="M57" i="43"/>
  <c r="L40" i="43"/>
  <c r="M48" i="43"/>
  <c r="M43" i="43"/>
  <c r="L61" i="43"/>
  <c r="F10" i="42"/>
  <c r="G11" i="42" s="1"/>
  <c r="O32" i="43" l="1"/>
  <c r="N77" i="43"/>
  <c r="Q77" i="43" s="1"/>
  <c r="N39" i="43"/>
  <c r="Q39" i="43" s="1"/>
  <c r="N60" i="43"/>
  <c r="Q60" i="43" s="1"/>
  <c r="N56" i="43"/>
  <c r="Q56" i="43" s="1"/>
  <c r="N53" i="43"/>
  <c r="Q53" i="43" s="1"/>
  <c r="N55" i="43"/>
  <c r="Q55" i="43" s="1"/>
  <c r="N59" i="43"/>
  <c r="Q59" i="43" s="1"/>
  <c r="N62" i="43"/>
  <c r="Q62" i="43" s="1"/>
  <c r="N72" i="43"/>
  <c r="Q72" i="43" s="1"/>
  <c r="N36" i="43"/>
  <c r="Q36" i="43" s="1"/>
  <c r="N54" i="43"/>
  <c r="Q54" i="43" s="1"/>
  <c r="N76" i="43"/>
  <c r="Q76" i="43" s="1"/>
  <c r="N79" i="43"/>
  <c r="Q79" i="43" s="1"/>
  <c r="N78" i="43"/>
  <c r="Q78" i="43" s="1"/>
  <c r="N71" i="43"/>
  <c r="Q71" i="43" s="1"/>
  <c r="N80" i="43"/>
  <c r="N61" i="43"/>
  <c r="Q61" i="43" s="1"/>
  <c r="N45" i="43"/>
  <c r="Q45" i="43" s="1"/>
  <c r="N46" i="43"/>
  <c r="Q46" i="43" s="1"/>
  <c r="N50" i="43"/>
  <c r="Q50" i="43" s="1"/>
  <c r="N75" i="43"/>
  <c r="Q75" i="43" s="1"/>
  <c r="N47" i="43"/>
  <c r="Q47" i="43" s="1"/>
  <c r="N67" i="43"/>
  <c r="Q67" i="43" s="1"/>
  <c r="N48" i="43"/>
  <c r="Q48" i="43" s="1"/>
  <c r="N44" i="43"/>
  <c r="Q44" i="43" s="1"/>
  <c r="N68" i="43"/>
  <c r="Q68" i="43" s="1"/>
  <c r="N58" i="43"/>
  <c r="Q58" i="43" s="1"/>
  <c r="N33" i="43"/>
  <c r="Q33" i="43" s="1"/>
  <c r="N41" i="43"/>
  <c r="Q41" i="43" s="1"/>
  <c r="N52" i="43"/>
  <c r="Q52" i="43" s="1"/>
  <c r="N37" i="43"/>
  <c r="Q37" i="43" s="1"/>
  <c r="N43" i="43"/>
  <c r="Q43" i="43" s="1"/>
  <c r="N70" i="43"/>
  <c r="Q70" i="43" s="1"/>
  <c r="N42" i="43"/>
  <c r="Q42" i="43" s="1"/>
  <c r="N34" i="43"/>
  <c r="Q34" i="43" s="1"/>
  <c r="N32" i="43"/>
  <c r="Q32" i="43" s="1"/>
  <c r="N64" i="43"/>
  <c r="Q64" i="43" s="1"/>
  <c r="N38" i="43"/>
  <c r="Q38" i="43" s="1"/>
  <c r="N73" i="43"/>
  <c r="Q73" i="43" s="1"/>
  <c r="N63" i="43"/>
  <c r="Q63" i="43" s="1"/>
  <c r="N74" i="43"/>
  <c r="Q74" i="43" s="1"/>
  <c r="N69" i="43"/>
  <c r="Q69" i="43" s="1"/>
  <c r="N40" i="43"/>
  <c r="Q40" i="43" s="1"/>
  <c r="N65" i="43"/>
  <c r="Q65" i="43" s="1"/>
  <c r="N57" i="43"/>
  <c r="Q57" i="43" s="1"/>
  <c r="N35" i="43"/>
  <c r="Q35" i="43" s="1"/>
  <c r="N49" i="43"/>
  <c r="Q49" i="43" s="1"/>
  <c r="N51" i="43"/>
  <c r="Q51" i="43" s="1"/>
  <c r="N66" i="43"/>
  <c r="Q66" i="43" s="1"/>
  <c r="E11" i="42"/>
  <c r="N81" i="43" l="1"/>
  <c r="Q80" i="43"/>
  <c r="P76" i="43"/>
  <c r="P48" i="43"/>
  <c r="P75" i="43"/>
  <c r="P67" i="43"/>
  <c r="P68" i="43"/>
  <c r="P59" i="43"/>
  <c r="P55" i="43"/>
  <c r="P66" i="43"/>
  <c r="P33" i="43"/>
  <c r="P36" i="43"/>
  <c r="P49" i="43"/>
  <c r="P47" i="43"/>
  <c r="P56" i="43"/>
  <c r="P80" i="43"/>
  <c r="P54" i="43"/>
  <c r="P77" i="43"/>
  <c r="P69" i="43"/>
  <c r="P72" i="43"/>
  <c r="P74" i="43"/>
  <c r="P61" i="43"/>
  <c r="P43" i="43"/>
  <c r="P32" i="43"/>
  <c r="P44" i="43"/>
  <c r="P53" i="43"/>
  <c r="P73" i="43"/>
  <c r="P60" i="43"/>
  <c r="P71" i="43"/>
  <c r="P51" i="43"/>
  <c r="P79" i="43"/>
  <c r="P39" i="43"/>
  <c r="P37" i="43"/>
  <c r="P78" i="43"/>
  <c r="P40" i="43"/>
  <c r="P58" i="43"/>
  <c r="P70" i="43"/>
  <c r="P42" i="43"/>
  <c r="P41" i="43"/>
  <c r="P38" i="43"/>
  <c r="P50" i="43"/>
  <c r="P34" i="43"/>
  <c r="P57" i="43"/>
  <c r="P64" i="43"/>
  <c r="P65" i="43"/>
  <c r="P62" i="43"/>
  <c r="P46" i="43"/>
  <c r="P63" i="43"/>
  <c r="P52" i="43"/>
  <c r="P35" i="43"/>
  <c r="P45" i="43"/>
  <c r="F11" i="42"/>
  <c r="G12" i="42" s="1"/>
  <c r="E12" i="42" l="1"/>
  <c r="F12" i="42" l="1"/>
  <c r="G13" i="42" s="1"/>
  <c r="E13" i="42" l="1"/>
  <c r="F13" i="42" l="1"/>
  <c r="E14" i="42" s="1"/>
  <c r="G14" i="42" l="1"/>
  <c r="F14" i="42"/>
  <c r="G15" i="42" s="1"/>
  <c r="E15" i="42" l="1"/>
  <c r="F15" i="42" l="1"/>
  <c r="S12" i="37" l="1"/>
  <c r="P12" i="37"/>
  <c r="Q12" i="37"/>
  <c r="R12" i="37"/>
  <c r="O12" i="37"/>
  <c r="H38" i="6" l="1"/>
  <c r="H81" i="6"/>
  <c r="D70" i="6"/>
  <c r="D71" i="6"/>
  <c r="D72" i="6"/>
  <c r="D73" i="6"/>
  <c r="D74" i="6"/>
  <c r="D75" i="6"/>
  <c r="D76" i="6"/>
  <c r="D77" i="6"/>
  <c r="D78" i="6"/>
  <c r="D79" i="6"/>
  <c r="D80" i="6"/>
  <c r="D58" i="6"/>
  <c r="D59" i="6"/>
  <c r="D60" i="6"/>
  <c r="D61" i="6"/>
  <c r="D62" i="6"/>
  <c r="D63" i="6"/>
  <c r="D64" i="6"/>
  <c r="D65" i="6"/>
  <c r="D66" i="6"/>
  <c r="D67" i="6"/>
  <c r="D68" i="6"/>
  <c r="D46" i="6"/>
  <c r="D47" i="6"/>
  <c r="D48" i="6"/>
  <c r="D49" i="6"/>
  <c r="D50" i="6"/>
  <c r="D51" i="6"/>
  <c r="D52" i="6"/>
  <c r="D53" i="6"/>
  <c r="D54" i="6"/>
  <c r="D55" i="6"/>
  <c r="D56" i="6"/>
  <c r="D34" i="6"/>
  <c r="D35" i="6"/>
  <c r="D36" i="6"/>
  <c r="D37" i="6"/>
  <c r="D38" i="6"/>
  <c r="D39" i="6"/>
  <c r="D40" i="6"/>
  <c r="D41" i="6"/>
  <c r="D42" i="6"/>
  <c r="D43" i="6"/>
  <c r="D44" i="6"/>
  <c r="D22" i="6"/>
  <c r="D23" i="6"/>
  <c r="D24" i="6"/>
  <c r="D25" i="6"/>
  <c r="D26" i="6"/>
  <c r="D27" i="6"/>
  <c r="D28" i="6"/>
  <c r="D29" i="6"/>
  <c r="D30" i="6"/>
  <c r="D31" i="6"/>
  <c r="D32" i="6"/>
  <c r="D69" i="6"/>
  <c r="D57" i="6"/>
  <c r="D45" i="6"/>
  <c r="D33" i="6"/>
  <c r="G33" i="6" s="1"/>
  <c r="D21" i="6"/>
  <c r="I17" i="37"/>
  <c r="J17" i="37"/>
  <c r="K17" i="37"/>
  <c r="H17" i="37"/>
  <c r="K62" i="37"/>
  <c r="K63" i="37"/>
  <c r="H63" i="37"/>
  <c r="H61" i="37"/>
  <c r="K64" i="37"/>
  <c r="H64" i="37"/>
  <c r="H62" i="37"/>
  <c r="K61" i="37"/>
  <c r="I5" i="37"/>
  <c r="K58" i="37"/>
  <c r="H57" i="37"/>
  <c r="K55" i="37"/>
  <c r="H58" i="37"/>
  <c r="H55" i="37"/>
  <c r="K57" i="37"/>
  <c r="K56" i="37"/>
  <c r="H56" i="37"/>
  <c r="H52" i="37"/>
  <c r="K50" i="37"/>
  <c r="K51" i="37"/>
  <c r="K52" i="37"/>
  <c r="K49" i="37"/>
  <c r="H50" i="37"/>
  <c r="H51" i="37"/>
  <c r="H49" i="37"/>
  <c r="J14" i="37"/>
  <c r="H92" i="38"/>
  <c r="H91" i="38"/>
  <c r="H90" i="38"/>
  <c r="H89" i="38"/>
  <c r="H88" i="38"/>
  <c r="H87" i="38"/>
  <c r="H86" i="38"/>
  <c r="H85" i="38"/>
  <c r="H84" i="38"/>
  <c r="H83" i="38"/>
  <c r="H82" i="38"/>
  <c r="H81" i="38"/>
  <c r="H80" i="38"/>
  <c r="J80" i="38" s="1"/>
  <c r="K80" i="38" s="1"/>
  <c r="O80" i="38" s="1"/>
  <c r="F80" i="38"/>
  <c r="G80" i="38" s="1"/>
  <c r="D80" i="38"/>
  <c r="H79" i="38"/>
  <c r="J79" i="38" s="1"/>
  <c r="K79" i="38" s="1"/>
  <c r="O79" i="38" s="1"/>
  <c r="F79" i="38"/>
  <c r="G79" i="38" s="1"/>
  <c r="D79" i="38"/>
  <c r="K78" i="38"/>
  <c r="O78" i="38" s="1"/>
  <c r="H78" i="38"/>
  <c r="J78" i="38" s="1"/>
  <c r="F78" i="38"/>
  <c r="D78" i="38"/>
  <c r="G78" i="38" s="1"/>
  <c r="O77" i="38"/>
  <c r="K77" i="38"/>
  <c r="H77" i="38"/>
  <c r="J77" i="38" s="1"/>
  <c r="F77" i="38"/>
  <c r="G77" i="38" s="1"/>
  <c r="D77" i="38"/>
  <c r="H76" i="38"/>
  <c r="J76" i="38" s="1"/>
  <c r="K76" i="38" s="1"/>
  <c r="O76" i="38" s="1"/>
  <c r="F76" i="38"/>
  <c r="G76" i="38" s="1"/>
  <c r="D76" i="38"/>
  <c r="K75" i="38"/>
  <c r="O75" i="38" s="1"/>
  <c r="H75" i="38"/>
  <c r="J75" i="38" s="1"/>
  <c r="F75" i="38"/>
  <c r="G75" i="38" s="1"/>
  <c r="D75" i="38"/>
  <c r="O74" i="38"/>
  <c r="K74" i="38"/>
  <c r="H74" i="38"/>
  <c r="J74" i="38" s="1"/>
  <c r="F74" i="38"/>
  <c r="D74" i="38"/>
  <c r="G74" i="38" s="1"/>
  <c r="J73" i="38"/>
  <c r="K73" i="38" s="1"/>
  <c r="O73" i="38" s="1"/>
  <c r="H73" i="38"/>
  <c r="G73" i="38"/>
  <c r="F73" i="38"/>
  <c r="D73" i="38"/>
  <c r="H72" i="38"/>
  <c r="F72" i="38"/>
  <c r="D72" i="38"/>
  <c r="G72" i="38" s="1"/>
  <c r="J71" i="38"/>
  <c r="K71" i="38" s="1"/>
  <c r="O71" i="38" s="1"/>
  <c r="H71" i="38"/>
  <c r="F71" i="38"/>
  <c r="E71" i="38"/>
  <c r="D71" i="38"/>
  <c r="G71" i="38" s="1"/>
  <c r="H70" i="38"/>
  <c r="F70" i="38"/>
  <c r="D70" i="38"/>
  <c r="J70" i="38" s="1"/>
  <c r="K70" i="38" s="1"/>
  <c r="O70" i="38" s="1"/>
  <c r="J69" i="38"/>
  <c r="K69" i="38" s="1"/>
  <c r="O69" i="38" s="1"/>
  <c r="H69" i="38"/>
  <c r="G69" i="38"/>
  <c r="F69" i="38"/>
  <c r="D69" i="38"/>
  <c r="H68" i="38"/>
  <c r="J68" i="38" s="1"/>
  <c r="K68" i="38" s="1"/>
  <c r="O68" i="38" s="1"/>
  <c r="F68" i="38"/>
  <c r="D68" i="38"/>
  <c r="J67" i="38"/>
  <c r="K67" i="38" s="1"/>
  <c r="O67" i="38" s="1"/>
  <c r="H67" i="38"/>
  <c r="F67" i="38"/>
  <c r="D67" i="38"/>
  <c r="E73" i="38" s="1"/>
  <c r="J66" i="38"/>
  <c r="K66" i="38" s="1"/>
  <c r="O66" i="38" s="1"/>
  <c r="H66" i="38"/>
  <c r="F66" i="38"/>
  <c r="D66" i="38"/>
  <c r="K65" i="38"/>
  <c r="O65" i="38" s="1"/>
  <c r="J65" i="38"/>
  <c r="H65" i="38"/>
  <c r="G65" i="38"/>
  <c r="F65" i="38"/>
  <c r="D65" i="38"/>
  <c r="H64" i="38"/>
  <c r="F64" i="38"/>
  <c r="D64" i="38"/>
  <c r="J63" i="38"/>
  <c r="K63" i="38" s="1"/>
  <c r="O63" i="38" s="1"/>
  <c r="H63" i="38"/>
  <c r="F63" i="38"/>
  <c r="D63" i="38"/>
  <c r="K62" i="38"/>
  <c r="O62" i="38" s="1"/>
  <c r="J62" i="38"/>
  <c r="H62" i="38"/>
  <c r="F62" i="38"/>
  <c r="D62" i="38"/>
  <c r="E68" i="38" s="1"/>
  <c r="H61" i="38"/>
  <c r="J61" i="38" s="1"/>
  <c r="K61" i="38" s="1"/>
  <c r="O61" i="38" s="1"/>
  <c r="G61" i="38"/>
  <c r="F61" i="38"/>
  <c r="D61" i="38"/>
  <c r="H60" i="38"/>
  <c r="F60" i="38"/>
  <c r="D60" i="38"/>
  <c r="H59" i="38"/>
  <c r="J59" i="38" s="1"/>
  <c r="K59" i="38" s="1"/>
  <c r="O59" i="38" s="1"/>
  <c r="F59" i="38"/>
  <c r="D59" i="38"/>
  <c r="J58" i="38"/>
  <c r="K58" i="38" s="1"/>
  <c r="O58" i="38" s="1"/>
  <c r="H58" i="38"/>
  <c r="F58" i="38"/>
  <c r="D58" i="38"/>
  <c r="E64" i="38" s="1"/>
  <c r="K57" i="38"/>
  <c r="O57" i="38" s="1"/>
  <c r="J57" i="38"/>
  <c r="H57" i="38"/>
  <c r="G57" i="38"/>
  <c r="F57" i="38"/>
  <c r="D57" i="38"/>
  <c r="H56" i="38"/>
  <c r="J56" i="38" s="1"/>
  <c r="K56" i="38" s="1"/>
  <c r="O56" i="38" s="1"/>
  <c r="F56" i="38"/>
  <c r="D56" i="38"/>
  <c r="J55" i="38"/>
  <c r="K55" i="38" s="1"/>
  <c r="O55" i="38" s="1"/>
  <c r="H55" i="38"/>
  <c r="F55" i="38"/>
  <c r="D55" i="38"/>
  <c r="E61" i="38" s="1"/>
  <c r="H54" i="38"/>
  <c r="J54" i="38" s="1"/>
  <c r="K54" i="38" s="1"/>
  <c r="O54" i="38" s="1"/>
  <c r="F54" i="38"/>
  <c r="D54" i="38"/>
  <c r="J53" i="38"/>
  <c r="K53" i="38" s="1"/>
  <c r="O53" i="38" s="1"/>
  <c r="H53" i="38"/>
  <c r="G53" i="38"/>
  <c r="F53" i="38"/>
  <c r="D53" i="38"/>
  <c r="H52" i="38"/>
  <c r="F52" i="38"/>
  <c r="D52" i="38"/>
  <c r="E58" i="38" s="1"/>
  <c r="H51" i="38"/>
  <c r="F51" i="38"/>
  <c r="D51" i="38"/>
  <c r="E55" i="38" s="1"/>
  <c r="H50" i="38"/>
  <c r="J50" i="38" s="1"/>
  <c r="K50" i="38" s="1"/>
  <c r="O50" i="38" s="1"/>
  <c r="F50" i="38"/>
  <c r="D50" i="38"/>
  <c r="E56" i="38" s="1"/>
  <c r="J49" i="38"/>
  <c r="K49" i="38" s="1"/>
  <c r="O49" i="38" s="1"/>
  <c r="H49" i="38"/>
  <c r="F49" i="38"/>
  <c r="G49" i="38" s="1"/>
  <c r="D49" i="38"/>
  <c r="H48" i="38"/>
  <c r="F48" i="38"/>
  <c r="D48" i="38"/>
  <c r="E54" i="38" s="1"/>
  <c r="H47" i="38"/>
  <c r="J47" i="38" s="1"/>
  <c r="K47" i="38" s="1"/>
  <c r="O47" i="38" s="1"/>
  <c r="G47" i="38"/>
  <c r="F47" i="38"/>
  <c r="D47" i="38"/>
  <c r="H46" i="38"/>
  <c r="J46" i="38" s="1"/>
  <c r="K46" i="38" s="1"/>
  <c r="O46" i="38" s="1"/>
  <c r="F46" i="38"/>
  <c r="D46" i="38"/>
  <c r="E52" i="38" s="1"/>
  <c r="H45" i="38"/>
  <c r="J45" i="38" s="1"/>
  <c r="K45" i="38" s="1"/>
  <c r="O45" i="38" s="1"/>
  <c r="G45" i="38"/>
  <c r="F45" i="38"/>
  <c r="D45" i="38"/>
  <c r="E51" i="38" s="1"/>
  <c r="H44" i="38"/>
  <c r="J44" i="38" s="1"/>
  <c r="K44" i="38" s="1"/>
  <c r="O44" i="38" s="1"/>
  <c r="F44" i="38"/>
  <c r="D44" i="38"/>
  <c r="G44" i="38" s="1"/>
  <c r="H43" i="38"/>
  <c r="J43" i="38" s="1"/>
  <c r="K43" i="38" s="1"/>
  <c r="O43" i="38" s="1"/>
  <c r="G43" i="38"/>
  <c r="F43" i="38"/>
  <c r="D43" i="38"/>
  <c r="H42" i="38"/>
  <c r="J42" i="38" s="1"/>
  <c r="K42" i="38" s="1"/>
  <c r="O42" i="38" s="1"/>
  <c r="F42" i="38"/>
  <c r="D42" i="38"/>
  <c r="E48" i="38" s="1"/>
  <c r="H41" i="38"/>
  <c r="J41" i="38" s="1"/>
  <c r="K41" i="38" s="1"/>
  <c r="O41" i="38" s="1"/>
  <c r="G41" i="38"/>
  <c r="F41" i="38"/>
  <c r="D41" i="38"/>
  <c r="E47" i="38" s="1"/>
  <c r="H40" i="38"/>
  <c r="J40" i="38" s="1"/>
  <c r="K40" i="38" s="1"/>
  <c r="O40" i="38" s="1"/>
  <c r="F40" i="38"/>
  <c r="D40" i="38"/>
  <c r="E46" i="38" s="1"/>
  <c r="T39" i="38"/>
  <c r="H39" i="38"/>
  <c r="J39" i="38" s="1"/>
  <c r="K39" i="38" s="1"/>
  <c r="O39" i="38" s="1"/>
  <c r="F39" i="38"/>
  <c r="D39" i="38"/>
  <c r="E45" i="38" s="1"/>
  <c r="H38" i="38"/>
  <c r="J38" i="38" s="1"/>
  <c r="K38" i="38" s="1"/>
  <c r="O38" i="38" s="1"/>
  <c r="G38" i="38"/>
  <c r="F38" i="38"/>
  <c r="D38" i="38"/>
  <c r="E44" i="38" s="1"/>
  <c r="H37" i="38"/>
  <c r="J37" i="38" s="1"/>
  <c r="K37" i="38" s="1"/>
  <c r="O37" i="38" s="1"/>
  <c r="F37" i="38"/>
  <c r="D37" i="38"/>
  <c r="E43" i="38" s="1"/>
  <c r="H36" i="38"/>
  <c r="J36" i="38" s="1"/>
  <c r="K36" i="38" s="1"/>
  <c r="O36" i="38" s="1"/>
  <c r="G36" i="38"/>
  <c r="F36" i="38"/>
  <c r="D36" i="38"/>
  <c r="E42" i="38" s="1"/>
  <c r="H35" i="38"/>
  <c r="J35" i="38" s="1"/>
  <c r="K35" i="38" s="1"/>
  <c r="O35" i="38" s="1"/>
  <c r="F35" i="38"/>
  <c r="D35" i="38"/>
  <c r="E41" i="38" s="1"/>
  <c r="H34" i="38"/>
  <c r="J34" i="38" s="1"/>
  <c r="K34" i="38" s="1"/>
  <c r="O34" i="38" s="1"/>
  <c r="G34" i="38"/>
  <c r="F34" i="38"/>
  <c r="D34" i="38"/>
  <c r="E40" i="38" s="1"/>
  <c r="H33" i="38"/>
  <c r="J33" i="38" s="1"/>
  <c r="K33" i="38" s="1"/>
  <c r="O33" i="38" s="1"/>
  <c r="F33" i="38"/>
  <c r="D33" i="38"/>
  <c r="E39" i="38" s="1"/>
  <c r="H32" i="38"/>
  <c r="J32" i="38" s="1"/>
  <c r="K32" i="38" s="1"/>
  <c r="O32" i="38" s="1"/>
  <c r="G32" i="38"/>
  <c r="F32" i="38"/>
  <c r="D32" i="38"/>
  <c r="E38" i="38" s="1"/>
  <c r="H31" i="38"/>
  <c r="J31" i="38" s="1"/>
  <c r="K31" i="38" s="1"/>
  <c r="O31" i="38" s="1"/>
  <c r="F31" i="38"/>
  <c r="D31" i="38"/>
  <c r="E37" i="38" s="1"/>
  <c r="H30" i="38"/>
  <c r="J30" i="38" s="1"/>
  <c r="K30" i="38" s="1"/>
  <c r="O30" i="38" s="1"/>
  <c r="G30" i="38"/>
  <c r="F30" i="38"/>
  <c r="D30" i="38"/>
  <c r="E36" i="38" s="1"/>
  <c r="H29" i="38"/>
  <c r="J29" i="38" s="1"/>
  <c r="K29" i="38" s="1"/>
  <c r="O29" i="38" s="1"/>
  <c r="F29" i="38"/>
  <c r="D29" i="38"/>
  <c r="H28" i="38"/>
  <c r="J28" i="38" s="1"/>
  <c r="K28" i="38" s="1"/>
  <c r="O28" i="38" s="1"/>
  <c r="G28" i="38"/>
  <c r="F28" i="38"/>
  <c r="D28" i="38"/>
  <c r="H27" i="38"/>
  <c r="J27" i="38" s="1"/>
  <c r="K27" i="38" s="1"/>
  <c r="O27" i="38" s="1"/>
  <c r="F27" i="38"/>
  <c r="D27" i="38"/>
  <c r="E33" i="38" s="1"/>
  <c r="H26" i="38"/>
  <c r="G26" i="38"/>
  <c r="F26" i="38"/>
  <c r="D26" i="38"/>
  <c r="H25" i="38"/>
  <c r="G25" i="38"/>
  <c r="F25" i="38"/>
  <c r="D25" i="38"/>
  <c r="H24" i="38"/>
  <c r="G24" i="38"/>
  <c r="F24" i="38"/>
  <c r="D24" i="38"/>
  <c r="E30" i="38" s="1"/>
  <c r="H23" i="38"/>
  <c r="F23" i="38"/>
  <c r="D23" i="38"/>
  <c r="E29" i="38" s="1"/>
  <c r="H22" i="38"/>
  <c r="G22" i="38"/>
  <c r="F22" i="38"/>
  <c r="D22" i="38"/>
  <c r="J22" i="38" s="1"/>
  <c r="K22" i="38" s="1"/>
  <c r="O22" i="38" s="1"/>
  <c r="H21" i="38"/>
  <c r="J21" i="38" s="1"/>
  <c r="F21" i="38"/>
  <c r="G21" i="38" s="1"/>
  <c r="D21" i="38"/>
  <c r="G16" i="38"/>
  <c r="F16" i="38"/>
  <c r="E16" i="38"/>
  <c r="D16" i="38"/>
  <c r="C16" i="38"/>
  <c r="H92" i="28"/>
  <c r="H91" i="28"/>
  <c r="H90" i="28"/>
  <c r="H89" i="28"/>
  <c r="H88" i="28"/>
  <c r="H87" i="28"/>
  <c r="H86" i="28"/>
  <c r="H85" i="28"/>
  <c r="H84" i="28"/>
  <c r="H83" i="28"/>
  <c r="H82" i="28"/>
  <c r="H81" i="28"/>
  <c r="H80" i="28"/>
  <c r="J80" i="28" s="1"/>
  <c r="K80" i="28" s="1"/>
  <c r="O80" i="28" s="1"/>
  <c r="G80" i="28"/>
  <c r="F80" i="28"/>
  <c r="D80" i="28"/>
  <c r="H79" i="28"/>
  <c r="J79" i="28" s="1"/>
  <c r="K79" i="28" s="1"/>
  <c r="O79" i="28" s="1"/>
  <c r="G79" i="28"/>
  <c r="F79" i="28"/>
  <c r="D79" i="28"/>
  <c r="H78" i="28"/>
  <c r="J78" i="28" s="1"/>
  <c r="K78" i="28" s="1"/>
  <c r="O78" i="28" s="1"/>
  <c r="G78" i="28"/>
  <c r="F78" i="28"/>
  <c r="D78" i="28"/>
  <c r="H77" i="28"/>
  <c r="J77" i="28" s="1"/>
  <c r="K77" i="28" s="1"/>
  <c r="O77" i="28" s="1"/>
  <c r="G77" i="28"/>
  <c r="F77" i="28"/>
  <c r="D77" i="28"/>
  <c r="H76" i="28"/>
  <c r="J76" i="28" s="1"/>
  <c r="K76" i="28" s="1"/>
  <c r="O76" i="28" s="1"/>
  <c r="G76" i="28"/>
  <c r="F76" i="28"/>
  <c r="D76" i="28"/>
  <c r="H75" i="28"/>
  <c r="J75" i="28" s="1"/>
  <c r="K75" i="28" s="1"/>
  <c r="O75" i="28" s="1"/>
  <c r="G75" i="28"/>
  <c r="F75" i="28"/>
  <c r="D75" i="28"/>
  <c r="H74" i="28"/>
  <c r="J74" i="28" s="1"/>
  <c r="K74" i="28" s="1"/>
  <c r="O74" i="28" s="1"/>
  <c r="G74" i="28"/>
  <c r="F74" i="28"/>
  <c r="D74" i="28"/>
  <c r="H73" i="28"/>
  <c r="J73" i="28" s="1"/>
  <c r="K73" i="28" s="1"/>
  <c r="O73" i="28" s="1"/>
  <c r="F73" i="28"/>
  <c r="D73" i="28"/>
  <c r="G73" i="28" s="1"/>
  <c r="H72" i="28"/>
  <c r="J72" i="28" s="1"/>
  <c r="K72" i="28" s="1"/>
  <c r="O72" i="28" s="1"/>
  <c r="F72" i="28"/>
  <c r="D72" i="28"/>
  <c r="H71" i="28"/>
  <c r="J71" i="28" s="1"/>
  <c r="K71" i="28" s="1"/>
  <c r="O71" i="28" s="1"/>
  <c r="G71" i="28"/>
  <c r="F71" i="28"/>
  <c r="D71" i="28"/>
  <c r="H70" i="28"/>
  <c r="J70" i="28" s="1"/>
  <c r="K70" i="28" s="1"/>
  <c r="O70" i="28" s="1"/>
  <c r="G70" i="28"/>
  <c r="F70" i="28"/>
  <c r="D70" i="28"/>
  <c r="H69" i="28"/>
  <c r="J69" i="28" s="1"/>
  <c r="K69" i="28" s="1"/>
  <c r="O69" i="28" s="1"/>
  <c r="F69" i="28"/>
  <c r="D69" i="28"/>
  <c r="G69" i="28" s="1"/>
  <c r="H68" i="28"/>
  <c r="J68" i="28" s="1"/>
  <c r="K68" i="28" s="1"/>
  <c r="O68" i="28" s="1"/>
  <c r="F68" i="28"/>
  <c r="D68" i="28"/>
  <c r="E74" i="28" s="1"/>
  <c r="J67" i="28"/>
  <c r="K67" i="28" s="1"/>
  <c r="O67" i="28" s="1"/>
  <c r="H67" i="28"/>
  <c r="F67" i="28"/>
  <c r="G67" i="28" s="1"/>
  <c r="D67" i="28"/>
  <c r="H66" i="28"/>
  <c r="F66" i="28"/>
  <c r="D66" i="28"/>
  <c r="G66" i="28" s="1"/>
  <c r="H65" i="28"/>
  <c r="F65" i="28"/>
  <c r="D65" i="28"/>
  <c r="J64" i="28"/>
  <c r="K64" i="28" s="1"/>
  <c r="O64" i="28" s="1"/>
  <c r="H64" i="28"/>
  <c r="F64" i="28"/>
  <c r="D64" i="28"/>
  <c r="E70" i="28" s="1"/>
  <c r="H63" i="28"/>
  <c r="J63" i="28" s="1"/>
  <c r="K63" i="28" s="1"/>
  <c r="O63" i="28" s="1"/>
  <c r="F63" i="28"/>
  <c r="G63" i="28" s="1"/>
  <c r="D63" i="28"/>
  <c r="H62" i="28"/>
  <c r="G62" i="28"/>
  <c r="F62" i="28"/>
  <c r="D62" i="28"/>
  <c r="E68" i="28" s="1"/>
  <c r="H61" i="28"/>
  <c r="J61" i="28" s="1"/>
  <c r="K61" i="28" s="1"/>
  <c r="O61" i="28" s="1"/>
  <c r="F61" i="28"/>
  <c r="E61" i="28"/>
  <c r="D61" i="28"/>
  <c r="J60" i="28"/>
  <c r="K60" i="28" s="1"/>
  <c r="O60" i="28" s="1"/>
  <c r="H60" i="28"/>
  <c r="F60" i="28"/>
  <c r="E60" i="28"/>
  <c r="D60" i="28"/>
  <c r="H59" i="28"/>
  <c r="J59" i="28" s="1"/>
  <c r="K59" i="28" s="1"/>
  <c r="O59" i="28" s="1"/>
  <c r="G59" i="28"/>
  <c r="F59" i="28"/>
  <c r="D59" i="28"/>
  <c r="H58" i="28"/>
  <c r="J58" i="28" s="1"/>
  <c r="K58" i="28" s="1"/>
  <c r="O58" i="28" s="1"/>
  <c r="G58" i="28"/>
  <c r="F58" i="28"/>
  <c r="D58" i="28"/>
  <c r="E64" i="28" s="1"/>
  <c r="H57" i="28"/>
  <c r="J57" i="28" s="1"/>
  <c r="K57" i="28" s="1"/>
  <c r="O57" i="28" s="1"/>
  <c r="F57" i="28"/>
  <c r="D57" i="28"/>
  <c r="H56" i="28"/>
  <c r="J56" i="28" s="1"/>
  <c r="K56" i="28" s="1"/>
  <c r="O56" i="28" s="1"/>
  <c r="F56" i="28"/>
  <c r="D56" i="28"/>
  <c r="H55" i="28"/>
  <c r="J55" i="28" s="1"/>
  <c r="K55" i="28" s="1"/>
  <c r="O55" i="28" s="1"/>
  <c r="F55" i="28"/>
  <c r="G55" i="28" s="1"/>
  <c r="D55" i="28"/>
  <c r="H54" i="28"/>
  <c r="J54" i="28" s="1"/>
  <c r="K54" i="28" s="1"/>
  <c r="O54" i="28" s="1"/>
  <c r="F54" i="28"/>
  <c r="D54" i="28"/>
  <c r="G54" i="28" s="1"/>
  <c r="H53" i="28"/>
  <c r="J53" i="28" s="1"/>
  <c r="K53" i="28" s="1"/>
  <c r="O53" i="28" s="1"/>
  <c r="F53" i="28"/>
  <c r="D53" i="28"/>
  <c r="H52" i="28"/>
  <c r="J52" i="28" s="1"/>
  <c r="K52" i="28" s="1"/>
  <c r="O52" i="28" s="1"/>
  <c r="F52" i="28"/>
  <c r="D52" i="28"/>
  <c r="E57" i="28" s="1"/>
  <c r="J51" i="28"/>
  <c r="K51" i="28" s="1"/>
  <c r="O51" i="28" s="1"/>
  <c r="H51" i="28"/>
  <c r="F51" i="28"/>
  <c r="G51" i="28" s="1"/>
  <c r="D51" i="28"/>
  <c r="H50" i="28"/>
  <c r="F50" i="28"/>
  <c r="D50" i="28"/>
  <c r="H49" i="28"/>
  <c r="J49" i="28" s="1"/>
  <c r="K49" i="28" s="1"/>
  <c r="O49" i="28" s="1"/>
  <c r="G49" i="28"/>
  <c r="F49" i="28"/>
  <c r="D49" i="28"/>
  <c r="H48" i="28"/>
  <c r="J48" i="28" s="1"/>
  <c r="K48" i="28" s="1"/>
  <c r="O48" i="28" s="1"/>
  <c r="F48" i="28"/>
  <c r="D48" i="28"/>
  <c r="J47" i="28"/>
  <c r="K47" i="28" s="1"/>
  <c r="O47" i="28" s="1"/>
  <c r="H47" i="28"/>
  <c r="F47" i="28"/>
  <c r="G47" i="28" s="1"/>
  <c r="D47" i="28"/>
  <c r="H46" i="28"/>
  <c r="G46" i="28"/>
  <c r="F46" i="28"/>
  <c r="D46" i="28"/>
  <c r="E52" i="28" s="1"/>
  <c r="J45" i="28"/>
  <c r="K45" i="28" s="1"/>
  <c r="O45" i="28" s="1"/>
  <c r="H45" i="28"/>
  <c r="G45" i="28"/>
  <c r="F45" i="28"/>
  <c r="D45" i="28"/>
  <c r="E51" i="28" s="1"/>
  <c r="H44" i="28"/>
  <c r="J44" i="28" s="1"/>
  <c r="K44" i="28" s="1"/>
  <c r="O44" i="28" s="1"/>
  <c r="F44" i="28"/>
  <c r="D44" i="28"/>
  <c r="J43" i="28"/>
  <c r="K43" i="28" s="1"/>
  <c r="O43" i="28" s="1"/>
  <c r="H43" i="28"/>
  <c r="G43" i="28"/>
  <c r="F43" i="28"/>
  <c r="D43" i="28"/>
  <c r="E49" i="28" s="1"/>
  <c r="H42" i="28"/>
  <c r="J42" i="28" s="1"/>
  <c r="K42" i="28" s="1"/>
  <c r="O42" i="28" s="1"/>
  <c r="F42" i="28"/>
  <c r="D42" i="28"/>
  <c r="J41" i="28"/>
  <c r="K41" i="28" s="1"/>
  <c r="O41" i="28" s="1"/>
  <c r="H41" i="28"/>
  <c r="G41" i="28"/>
  <c r="F41" i="28"/>
  <c r="D41" i="28"/>
  <c r="E47" i="28" s="1"/>
  <c r="H40" i="28"/>
  <c r="J40" i="28" s="1"/>
  <c r="K40" i="28" s="1"/>
  <c r="O40" i="28" s="1"/>
  <c r="F40" i="28"/>
  <c r="D40" i="28"/>
  <c r="T39" i="28"/>
  <c r="O39" i="28"/>
  <c r="K39" i="28"/>
  <c r="H39" i="28"/>
  <c r="J39" i="28" s="1"/>
  <c r="F39" i="28"/>
  <c r="D39" i="28"/>
  <c r="E45" i="28" s="1"/>
  <c r="J38" i="28"/>
  <c r="K38" i="28" s="1"/>
  <c r="O38" i="28" s="1"/>
  <c r="H38" i="28"/>
  <c r="G38" i="28"/>
  <c r="F38" i="28"/>
  <c r="D38" i="28"/>
  <c r="E44" i="28" s="1"/>
  <c r="H37" i="28"/>
  <c r="F37" i="28"/>
  <c r="D37" i="28"/>
  <c r="G37" i="28" s="1"/>
  <c r="J36" i="28"/>
  <c r="K36" i="28" s="1"/>
  <c r="O36" i="28" s="1"/>
  <c r="H36" i="28"/>
  <c r="G36" i="28"/>
  <c r="F36" i="28"/>
  <c r="D36" i="28"/>
  <c r="K35" i="28"/>
  <c r="O35" i="28" s="1"/>
  <c r="H35" i="28"/>
  <c r="J35" i="28" s="1"/>
  <c r="F35" i="28"/>
  <c r="D35" i="28"/>
  <c r="E41" i="28" s="1"/>
  <c r="J34" i="28"/>
  <c r="K34" i="28" s="1"/>
  <c r="O34" i="28" s="1"/>
  <c r="H34" i="28"/>
  <c r="G34" i="28"/>
  <c r="F34" i="28"/>
  <c r="D34" i="28"/>
  <c r="H33" i="28"/>
  <c r="F33" i="28"/>
  <c r="D33" i="28"/>
  <c r="J32" i="28"/>
  <c r="K32" i="28" s="1"/>
  <c r="O32" i="28" s="1"/>
  <c r="H32" i="28"/>
  <c r="G32" i="28"/>
  <c r="F32" i="28"/>
  <c r="D32" i="28"/>
  <c r="H31" i="28"/>
  <c r="F31" i="28"/>
  <c r="D31" i="28"/>
  <c r="K30" i="28"/>
  <c r="O30" i="28" s="1"/>
  <c r="J30" i="28"/>
  <c r="H30" i="28"/>
  <c r="F30" i="28"/>
  <c r="G30" i="28" s="1"/>
  <c r="D30" i="28"/>
  <c r="H29" i="28"/>
  <c r="F29" i="28"/>
  <c r="D29" i="28"/>
  <c r="E35" i="28" s="1"/>
  <c r="H28" i="28"/>
  <c r="J28" i="28" s="1"/>
  <c r="K28" i="28" s="1"/>
  <c r="O28" i="28" s="1"/>
  <c r="G28" i="28"/>
  <c r="F28" i="28"/>
  <c r="D28" i="28"/>
  <c r="H27" i="28"/>
  <c r="F27" i="28"/>
  <c r="D27" i="28"/>
  <c r="H26" i="28"/>
  <c r="J26" i="28" s="1"/>
  <c r="K26" i="28" s="1"/>
  <c r="O26" i="28" s="1"/>
  <c r="F26" i="28"/>
  <c r="D26" i="28"/>
  <c r="E32" i="28" s="1"/>
  <c r="H25" i="28"/>
  <c r="J25" i="28" s="1"/>
  <c r="K25" i="28" s="1"/>
  <c r="O25" i="28" s="1"/>
  <c r="F25" i="28"/>
  <c r="D25" i="28"/>
  <c r="E31" i="28" s="1"/>
  <c r="H24" i="28"/>
  <c r="J24" i="28" s="1"/>
  <c r="K24" i="28" s="1"/>
  <c r="O24" i="28" s="1"/>
  <c r="F24" i="28"/>
  <c r="D24" i="28"/>
  <c r="E30" i="28" s="1"/>
  <c r="H23" i="28"/>
  <c r="J23" i="28" s="1"/>
  <c r="K23" i="28" s="1"/>
  <c r="O23" i="28" s="1"/>
  <c r="F23" i="28"/>
  <c r="D23" i="28"/>
  <c r="G23" i="28" s="1"/>
  <c r="H22" i="28"/>
  <c r="J22" i="28" s="1"/>
  <c r="K22" i="28" s="1"/>
  <c r="O22" i="28" s="1"/>
  <c r="F22" i="28"/>
  <c r="D22" i="28"/>
  <c r="E28" i="28" s="1"/>
  <c r="H21" i="28"/>
  <c r="J21" i="28" s="1"/>
  <c r="F21" i="28"/>
  <c r="D21" i="28"/>
  <c r="E27" i="28" s="1"/>
  <c r="G16" i="28"/>
  <c r="F16" i="28"/>
  <c r="E16" i="28"/>
  <c r="D16" i="28"/>
  <c r="C16" i="28"/>
  <c r="O24" i="37"/>
  <c r="N24" i="37"/>
  <c r="P18" i="37"/>
  <c r="O23" i="37"/>
  <c r="P23" i="37" s="1"/>
  <c r="P22" i="37"/>
  <c r="K6" i="37"/>
  <c r="K7" i="37"/>
  <c r="K8" i="37"/>
  <c r="K9" i="37"/>
  <c r="K10" i="37"/>
  <c r="K11" i="37"/>
  <c r="K12" i="37"/>
  <c r="K5" i="37"/>
  <c r="J6" i="37"/>
  <c r="J7" i="37"/>
  <c r="J8" i="37"/>
  <c r="J9" i="37"/>
  <c r="J10" i="37"/>
  <c r="J11" i="37"/>
  <c r="J12" i="37"/>
  <c r="J5" i="37"/>
  <c r="I8" i="37"/>
  <c r="I9" i="37"/>
  <c r="I10" i="37"/>
  <c r="I11" i="37"/>
  <c r="I12" i="37"/>
  <c r="I7" i="37"/>
  <c r="I6" i="37"/>
  <c r="D12" i="37"/>
  <c r="D11" i="37"/>
  <c r="D10" i="37"/>
  <c r="D9" i="37"/>
  <c r="D8" i="37"/>
  <c r="D7" i="37"/>
  <c r="D6" i="37"/>
  <c r="D5" i="37"/>
  <c r="H5" i="37" s="1"/>
  <c r="P5" i="37"/>
  <c r="E29" i="6" l="1"/>
  <c r="E27" i="6"/>
  <c r="E25" i="6"/>
  <c r="E26" i="6"/>
  <c r="E24" i="6"/>
  <c r="E28" i="6"/>
  <c r="E38" i="6"/>
  <c r="E37" i="6"/>
  <c r="E30" i="6"/>
  <c r="E34" i="6"/>
  <c r="E36" i="6"/>
  <c r="E35" i="6"/>
  <c r="E32" i="6"/>
  <c r="E33" i="6"/>
  <c r="E31" i="6"/>
  <c r="L22" i="38"/>
  <c r="M21" i="38"/>
  <c r="M22" i="38"/>
  <c r="K21" i="38"/>
  <c r="L21" i="38"/>
  <c r="J23" i="38"/>
  <c r="K23" i="38" s="1"/>
  <c r="O23" i="38" s="1"/>
  <c r="E28" i="38"/>
  <c r="G23" i="38"/>
  <c r="J24" i="38"/>
  <c r="K24" i="38" s="1"/>
  <c r="O24" i="38" s="1"/>
  <c r="E35" i="38"/>
  <c r="G29" i="38"/>
  <c r="E27" i="38"/>
  <c r="E31" i="38"/>
  <c r="J25" i="38"/>
  <c r="K25" i="38" s="1"/>
  <c r="O25" i="38" s="1"/>
  <c r="E32" i="38"/>
  <c r="J26" i="38"/>
  <c r="K26" i="38" s="1"/>
  <c r="O26" i="38" s="1"/>
  <c r="E34" i="38"/>
  <c r="G27" i="38"/>
  <c r="G31" i="38"/>
  <c r="G35" i="38"/>
  <c r="G39" i="38"/>
  <c r="G42" i="38"/>
  <c r="G46" i="38"/>
  <c r="E50" i="38"/>
  <c r="E70" i="38"/>
  <c r="G64" i="38"/>
  <c r="E67" i="38"/>
  <c r="G52" i="38"/>
  <c r="E65" i="38"/>
  <c r="J60" i="38"/>
  <c r="K60" i="38" s="1"/>
  <c r="O60" i="38" s="1"/>
  <c r="E72" i="38"/>
  <c r="E74" i="38"/>
  <c r="G68" i="38"/>
  <c r="G33" i="38"/>
  <c r="G37" i="38"/>
  <c r="G40" i="38"/>
  <c r="E49" i="38"/>
  <c r="E53" i="38"/>
  <c r="G48" i="38"/>
  <c r="J52" i="38"/>
  <c r="K52" i="38" s="1"/>
  <c r="O52" i="38" s="1"/>
  <c r="E60" i="38"/>
  <c r="E62" i="38"/>
  <c r="G56" i="38"/>
  <c r="E59" i="38"/>
  <c r="E69" i="38"/>
  <c r="J64" i="38"/>
  <c r="K64" i="38" s="1"/>
  <c r="O64" i="38" s="1"/>
  <c r="J72" i="38"/>
  <c r="K72" i="38" s="1"/>
  <c r="O72" i="38" s="1"/>
  <c r="J48" i="38"/>
  <c r="K48" i="38" s="1"/>
  <c r="O48" i="38" s="1"/>
  <c r="E57" i="38"/>
  <c r="G51" i="38"/>
  <c r="J51" i="38"/>
  <c r="K51" i="38" s="1"/>
  <c r="O51" i="38" s="1"/>
  <c r="E66" i="38"/>
  <c r="G60" i="38"/>
  <c r="E63" i="38"/>
  <c r="G50" i="38"/>
  <c r="G54" i="38"/>
  <c r="G58" i="38"/>
  <c r="G62" i="38"/>
  <c r="G66" i="38"/>
  <c r="G70" i="38"/>
  <c r="G55" i="38"/>
  <c r="G59" i="38"/>
  <c r="G63" i="38"/>
  <c r="G67" i="38"/>
  <c r="M26" i="28"/>
  <c r="K21" i="28"/>
  <c r="M25" i="28"/>
  <c r="M24" i="28"/>
  <c r="M23" i="28"/>
  <c r="M21" i="28"/>
  <c r="M22" i="28"/>
  <c r="L26" i="28"/>
  <c r="L25" i="28"/>
  <c r="L24" i="28"/>
  <c r="L23" i="28"/>
  <c r="L22" i="28"/>
  <c r="L21" i="28"/>
  <c r="G21" i="28"/>
  <c r="G22" i="28"/>
  <c r="G24" i="28"/>
  <c r="G25" i="28"/>
  <c r="G26" i="28"/>
  <c r="E33" i="28"/>
  <c r="G27" i="28"/>
  <c r="J27" i="28"/>
  <c r="K27" i="28" s="1"/>
  <c r="O27" i="28" s="1"/>
  <c r="J29" i="28"/>
  <c r="K29" i="28" s="1"/>
  <c r="O29" i="28" s="1"/>
  <c r="E38" i="28"/>
  <c r="E37" i="28"/>
  <c r="G31" i="28"/>
  <c r="E39" i="28"/>
  <c r="G33" i="28"/>
  <c r="E43" i="28"/>
  <c r="E34" i="28"/>
  <c r="E40" i="28"/>
  <c r="E42" i="28"/>
  <c r="G50" i="28"/>
  <c r="E56" i="28"/>
  <c r="E29" i="28"/>
  <c r="G29" i="28"/>
  <c r="J31" i="28"/>
  <c r="K31" i="28" s="1"/>
  <c r="O31" i="28" s="1"/>
  <c r="J33" i="28"/>
  <c r="K33" i="28" s="1"/>
  <c r="O33" i="28" s="1"/>
  <c r="E36" i="28"/>
  <c r="J37" i="28"/>
  <c r="K37" i="28" s="1"/>
  <c r="O37" i="28" s="1"/>
  <c r="E46" i="28"/>
  <c r="G40" i="28"/>
  <c r="G42" i="28"/>
  <c r="E50" i="28"/>
  <c r="G44" i="28"/>
  <c r="E48" i="28"/>
  <c r="E54" i="28"/>
  <c r="G48" i="28"/>
  <c r="J50" i="28"/>
  <c r="K50" i="28" s="1"/>
  <c r="O50" i="28" s="1"/>
  <c r="E66" i="28"/>
  <c r="E67" i="28"/>
  <c r="G61" i="28"/>
  <c r="J66" i="28"/>
  <c r="K66" i="28" s="1"/>
  <c r="O66" i="28" s="1"/>
  <c r="E72" i="28"/>
  <c r="E73" i="28"/>
  <c r="E71" i="28"/>
  <c r="G65" i="28"/>
  <c r="J65" i="28"/>
  <c r="K65" i="28" s="1"/>
  <c r="O65" i="28" s="1"/>
  <c r="G35" i="28"/>
  <c r="G39" i="28"/>
  <c r="J46" i="28"/>
  <c r="K46" i="28" s="1"/>
  <c r="O46" i="28" s="1"/>
  <c r="E55" i="28"/>
  <c r="E58" i="28"/>
  <c r="G52" i="28"/>
  <c r="E59" i="28"/>
  <c r="G53" i="28"/>
  <c r="E65" i="28"/>
  <c r="E53" i="28"/>
  <c r="E62" i="28"/>
  <c r="E63" i="28"/>
  <c r="G57" i="28"/>
  <c r="J62" i="28"/>
  <c r="K62" i="28" s="1"/>
  <c r="O62" i="28" s="1"/>
  <c r="E69" i="28"/>
  <c r="G72" i="28"/>
  <c r="G56" i="28"/>
  <c r="G60" i="28"/>
  <c r="G64" i="28"/>
  <c r="G68" i="28"/>
  <c r="P24" i="37"/>
  <c r="P19" i="37" s="1"/>
  <c r="N19" i="37"/>
  <c r="O19" i="37" s="1"/>
  <c r="O5" i="37"/>
  <c r="J13" i="37"/>
  <c r="H6" i="37"/>
  <c r="H7" i="37"/>
  <c r="H8" i="37"/>
  <c r="H9" i="37"/>
  <c r="H10" i="37"/>
  <c r="H11" i="37"/>
  <c r="H12" i="37"/>
  <c r="L23" i="38" l="1"/>
  <c r="M23" i="38"/>
  <c r="L29" i="28"/>
  <c r="M24" i="38"/>
  <c r="M26" i="38"/>
  <c r="M34" i="38"/>
  <c r="M41" i="38"/>
  <c r="L49" i="38"/>
  <c r="M68" i="38"/>
  <c r="L32" i="38"/>
  <c r="M42" i="38"/>
  <c r="L48" i="38"/>
  <c r="L29" i="38"/>
  <c r="L37" i="38"/>
  <c r="M47" i="38"/>
  <c r="L73" i="38"/>
  <c r="L34" i="38"/>
  <c r="L41" i="38"/>
  <c r="M64" i="38"/>
  <c r="M49" i="38"/>
  <c r="M57" i="38"/>
  <c r="M65" i="38"/>
  <c r="M73" i="38"/>
  <c r="L77" i="38"/>
  <c r="M50" i="38"/>
  <c r="M58" i="38"/>
  <c r="M66" i="38"/>
  <c r="M74" i="38"/>
  <c r="M78" i="38"/>
  <c r="L56" i="38"/>
  <c r="L64" i="38"/>
  <c r="L72" i="38"/>
  <c r="L25" i="38"/>
  <c r="N80" i="38"/>
  <c r="N79" i="38"/>
  <c r="Q79" i="38" s="1"/>
  <c r="N78" i="38"/>
  <c r="Q78" i="38" s="1"/>
  <c r="N77" i="38"/>
  <c r="Q77" i="38" s="1"/>
  <c r="N76" i="38"/>
  <c r="Q76" i="38" s="1"/>
  <c r="N75" i="38"/>
  <c r="Q75" i="38" s="1"/>
  <c r="N74" i="38"/>
  <c r="Q74" i="38" s="1"/>
  <c r="N70" i="38"/>
  <c r="Q70" i="38" s="1"/>
  <c r="N66" i="38"/>
  <c r="Q66" i="38" s="1"/>
  <c r="N62" i="38"/>
  <c r="Q62" i="38" s="1"/>
  <c r="N58" i="38"/>
  <c r="Q58" i="38" s="1"/>
  <c r="N54" i="38"/>
  <c r="Q54" i="38" s="1"/>
  <c r="N73" i="38"/>
  <c r="Q73" i="38" s="1"/>
  <c r="N69" i="38"/>
  <c r="Q69" i="38" s="1"/>
  <c r="N65" i="38"/>
  <c r="Q65" i="38" s="1"/>
  <c r="N61" i="38"/>
  <c r="Q61" i="38" s="1"/>
  <c r="N57" i="38"/>
  <c r="Q57" i="38" s="1"/>
  <c r="N53" i="38"/>
  <c r="Q53" i="38" s="1"/>
  <c r="N49" i="38"/>
  <c r="Q49" i="38" s="1"/>
  <c r="N72" i="38"/>
  <c r="Q72" i="38" s="1"/>
  <c r="N68" i="38"/>
  <c r="Q68" i="38" s="1"/>
  <c r="N64" i="38"/>
  <c r="Q64" i="38" s="1"/>
  <c r="N60" i="38"/>
  <c r="Q60" i="38" s="1"/>
  <c r="N56" i="38"/>
  <c r="Q56" i="38" s="1"/>
  <c r="N52" i="38"/>
  <c r="Q52" i="38" s="1"/>
  <c r="N48" i="38"/>
  <c r="Q48" i="38" s="1"/>
  <c r="N71" i="38"/>
  <c r="Q71" i="38" s="1"/>
  <c r="N63" i="38"/>
  <c r="Q63" i="38" s="1"/>
  <c r="N47" i="38"/>
  <c r="Q47" i="38" s="1"/>
  <c r="N43" i="38"/>
  <c r="Q43" i="38" s="1"/>
  <c r="N36" i="38"/>
  <c r="Q36" i="38" s="1"/>
  <c r="N32" i="38"/>
  <c r="Q32" i="38" s="1"/>
  <c r="N59" i="38"/>
  <c r="Q59" i="38" s="1"/>
  <c r="N46" i="38"/>
  <c r="Q46" i="38" s="1"/>
  <c r="N42" i="38"/>
  <c r="Q42" i="38" s="1"/>
  <c r="N39" i="38"/>
  <c r="Q39" i="38" s="1"/>
  <c r="N35" i="38"/>
  <c r="Q35" i="38" s="1"/>
  <c r="N31" i="38"/>
  <c r="Q31" i="38" s="1"/>
  <c r="N27" i="38"/>
  <c r="Q27" i="38" s="1"/>
  <c r="O21" i="38"/>
  <c r="N55" i="38"/>
  <c r="Q55" i="38" s="1"/>
  <c r="N51" i="38"/>
  <c r="Q51" i="38" s="1"/>
  <c r="N50" i="38"/>
  <c r="Q50" i="38" s="1"/>
  <c r="N45" i="38"/>
  <c r="Q45" i="38" s="1"/>
  <c r="N41" i="38"/>
  <c r="Q41" i="38" s="1"/>
  <c r="N38" i="38"/>
  <c r="Q38" i="38" s="1"/>
  <c r="N34" i="38"/>
  <c r="Q34" i="38" s="1"/>
  <c r="N30" i="38"/>
  <c r="Q30" i="38" s="1"/>
  <c r="N26" i="38"/>
  <c r="Q26" i="38" s="1"/>
  <c r="N67" i="38"/>
  <c r="Q67" i="38" s="1"/>
  <c r="N44" i="38"/>
  <c r="Q44" i="38" s="1"/>
  <c r="N40" i="38"/>
  <c r="Q40" i="38" s="1"/>
  <c r="N37" i="38"/>
  <c r="Q37" i="38" s="1"/>
  <c r="N33" i="38"/>
  <c r="Q33" i="38" s="1"/>
  <c r="N29" i="38"/>
  <c r="Q29" i="38" s="1"/>
  <c r="N23" i="38"/>
  <c r="Q23" i="38" s="1"/>
  <c r="N21" i="38"/>
  <c r="Q21" i="38" s="1"/>
  <c r="N28" i="38"/>
  <c r="Q28" i="38" s="1"/>
  <c r="N25" i="38"/>
  <c r="Q25" i="38" s="1"/>
  <c r="N24" i="38"/>
  <c r="Q24" i="38" s="1"/>
  <c r="N22" i="38"/>
  <c r="Q22" i="38" s="1"/>
  <c r="L27" i="38"/>
  <c r="L35" i="38"/>
  <c r="L42" i="38"/>
  <c r="M51" i="38"/>
  <c r="M27" i="38"/>
  <c r="M35" i="38"/>
  <c r="L43" i="38"/>
  <c r="M56" i="38"/>
  <c r="M32" i="38"/>
  <c r="L40" i="38"/>
  <c r="M48" i="38"/>
  <c r="M29" i="38"/>
  <c r="M37" i="38"/>
  <c r="M44" i="38"/>
  <c r="L65" i="38"/>
  <c r="L50" i="38"/>
  <c r="L58" i="38"/>
  <c r="L66" i="38"/>
  <c r="L74" i="38"/>
  <c r="L78" i="38"/>
  <c r="L51" i="38"/>
  <c r="L59" i="38"/>
  <c r="L67" i="38"/>
  <c r="M75" i="38"/>
  <c r="M79" i="38"/>
  <c r="M59" i="38"/>
  <c r="M67" i="38"/>
  <c r="L26" i="38"/>
  <c r="L24" i="38"/>
  <c r="M30" i="38"/>
  <c r="M38" i="38"/>
  <c r="M45" i="38"/>
  <c r="M52" i="38"/>
  <c r="L28" i="38"/>
  <c r="L36" i="38"/>
  <c r="M46" i="38"/>
  <c r="L57" i="38"/>
  <c r="L33" i="38"/>
  <c r="M43" i="38"/>
  <c r="M60" i="38"/>
  <c r="L30" i="38"/>
  <c r="L38" i="38"/>
  <c r="L45" i="38"/>
  <c r="L69" i="38"/>
  <c r="M53" i="38"/>
  <c r="M61" i="38"/>
  <c r="M69" i="38"/>
  <c r="L75" i="38"/>
  <c r="L79" i="38"/>
  <c r="M54" i="38"/>
  <c r="M62" i="38"/>
  <c r="M70" i="38"/>
  <c r="M76" i="38"/>
  <c r="M80" i="38"/>
  <c r="L60" i="38"/>
  <c r="L68" i="38"/>
  <c r="M25" i="38"/>
  <c r="L31" i="38"/>
  <c r="L39" i="38"/>
  <c r="L46" i="38"/>
  <c r="L53" i="38"/>
  <c r="M31" i="38"/>
  <c r="M39" i="38"/>
  <c r="L47" i="38"/>
  <c r="M28" i="38"/>
  <c r="M36" i="38"/>
  <c r="L44" i="38"/>
  <c r="L61" i="38"/>
  <c r="M33" i="38"/>
  <c r="M40" i="38"/>
  <c r="L52" i="38"/>
  <c r="M72" i="38"/>
  <c r="L54" i="38"/>
  <c r="L62" i="38"/>
  <c r="L70" i="38"/>
  <c r="L76" i="38"/>
  <c r="L80" i="38"/>
  <c r="L55" i="38"/>
  <c r="L63" i="38"/>
  <c r="L71" i="38"/>
  <c r="M77" i="38"/>
  <c r="M55" i="38"/>
  <c r="M63" i="38"/>
  <c r="M71" i="38"/>
  <c r="M36" i="28"/>
  <c r="M65" i="28"/>
  <c r="L67" i="28"/>
  <c r="L61" i="28"/>
  <c r="M75" i="28"/>
  <c r="M67" i="28"/>
  <c r="L28" i="28"/>
  <c r="M28" i="28"/>
  <c r="M49" i="28"/>
  <c r="L30" i="28"/>
  <c r="N80" i="28"/>
  <c r="N79" i="28"/>
  <c r="Q79" i="28" s="1"/>
  <c r="N78" i="28"/>
  <c r="Q78" i="28" s="1"/>
  <c r="N77" i="28"/>
  <c r="Q77" i="28" s="1"/>
  <c r="N76" i="28"/>
  <c r="Q76" i="28" s="1"/>
  <c r="N75" i="28"/>
  <c r="Q75" i="28" s="1"/>
  <c r="N74" i="28"/>
  <c r="Q74" i="28" s="1"/>
  <c r="N70" i="28"/>
  <c r="Q70" i="28" s="1"/>
  <c r="N66" i="28"/>
  <c r="Q66" i="28" s="1"/>
  <c r="N62" i="28"/>
  <c r="Q62" i="28" s="1"/>
  <c r="N58" i="28"/>
  <c r="Q58" i="28" s="1"/>
  <c r="N54" i="28"/>
  <c r="Q54" i="28" s="1"/>
  <c r="N50" i="28"/>
  <c r="Q50" i="28" s="1"/>
  <c r="N46" i="28"/>
  <c r="Q46" i="28" s="1"/>
  <c r="N71" i="28"/>
  <c r="Q71" i="28" s="1"/>
  <c r="N67" i="28"/>
  <c r="Q67" i="28" s="1"/>
  <c r="N63" i="28"/>
  <c r="Q63" i="28" s="1"/>
  <c r="N59" i="28"/>
  <c r="Q59" i="28" s="1"/>
  <c r="N55" i="28"/>
  <c r="Q55" i="28" s="1"/>
  <c r="N65" i="28"/>
  <c r="Q65" i="28" s="1"/>
  <c r="N64" i="28"/>
  <c r="Q64" i="28" s="1"/>
  <c r="N51" i="28"/>
  <c r="Q51" i="28" s="1"/>
  <c r="N48" i="28"/>
  <c r="Q48" i="28" s="1"/>
  <c r="N45" i="28"/>
  <c r="Q45" i="28" s="1"/>
  <c r="N41" i="28"/>
  <c r="Q41" i="28" s="1"/>
  <c r="N38" i="28"/>
  <c r="Q38" i="28" s="1"/>
  <c r="N34" i="28"/>
  <c r="Q34" i="28" s="1"/>
  <c r="N61" i="28"/>
  <c r="Q61" i="28" s="1"/>
  <c r="N60" i="28"/>
  <c r="Q60" i="28" s="1"/>
  <c r="N49" i="28"/>
  <c r="Q49" i="28" s="1"/>
  <c r="N44" i="28"/>
  <c r="Q44" i="28" s="1"/>
  <c r="N40" i="28"/>
  <c r="Q40" i="28" s="1"/>
  <c r="N37" i="28"/>
  <c r="Q37" i="28" s="1"/>
  <c r="N33" i="28"/>
  <c r="Q33" i="28" s="1"/>
  <c r="N29" i="28"/>
  <c r="Q29" i="28" s="1"/>
  <c r="N73" i="28"/>
  <c r="Q73" i="28" s="1"/>
  <c r="N72" i="28"/>
  <c r="Q72" i="28" s="1"/>
  <c r="N69" i="28"/>
  <c r="Q69" i="28" s="1"/>
  <c r="N68" i="28"/>
  <c r="Q68" i="28" s="1"/>
  <c r="N53" i="28"/>
  <c r="Q53" i="28" s="1"/>
  <c r="N52" i="28"/>
  <c r="Q52" i="28" s="1"/>
  <c r="N42" i="28"/>
  <c r="Q42" i="28" s="1"/>
  <c r="N39" i="28"/>
  <c r="Q39" i="28" s="1"/>
  <c r="N35" i="28"/>
  <c r="Q35" i="28" s="1"/>
  <c r="N31" i="28"/>
  <c r="Q31" i="28" s="1"/>
  <c r="N32" i="28"/>
  <c r="Q32" i="28" s="1"/>
  <c r="N30" i="28"/>
  <c r="Q30" i="28" s="1"/>
  <c r="N27" i="28"/>
  <c r="Q27" i="28" s="1"/>
  <c r="O21" i="28"/>
  <c r="N24" i="28"/>
  <c r="Q24" i="28" s="1"/>
  <c r="N23" i="28"/>
  <c r="Q23" i="28" s="1"/>
  <c r="N43" i="28"/>
  <c r="Q43" i="28" s="1"/>
  <c r="N28" i="28"/>
  <c r="Q28" i="28" s="1"/>
  <c r="N25" i="28"/>
  <c r="Q25" i="28" s="1"/>
  <c r="N57" i="28"/>
  <c r="Q57" i="28" s="1"/>
  <c r="N47" i="28"/>
  <c r="Q47" i="28" s="1"/>
  <c r="N26" i="28"/>
  <c r="Q26" i="28" s="1"/>
  <c r="N56" i="28"/>
  <c r="Q56" i="28" s="1"/>
  <c r="N36" i="28"/>
  <c r="Q36" i="28" s="1"/>
  <c r="N22" i="28"/>
  <c r="Q22" i="28" s="1"/>
  <c r="N21" i="28"/>
  <c r="Q21" i="28" s="1"/>
  <c r="M46" i="28"/>
  <c r="L37" i="28"/>
  <c r="L46" i="28"/>
  <c r="M57" i="28"/>
  <c r="M73" i="28"/>
  <c r="L75" i="28"/>
  <c r="L27" i="28"/>
  <c r="L35" i="28"/>
  <c r="L42" i="28"/>
  <c r="L51" i="28"/>
  <c r="M66" i="28"/>
  <c r="M39" i="28"/>
  <c r="M53" i="28"/>
  <c r="M69" i="28"/>
  <c r="L78" i="28"/>
  <c r="M56" i="28"/>
  <c r="M64" i="28"/>
  <c r="M72" i="28"/>
  <c r="M76" i="28"/>
  <c r="M80" i="28"/>
  <c r="L52" i="28"/>
  <c r="L60" i="28"/>
  <c r="L68" i="28"/>
  <c r="L45" i="28"/>
  <c r="M44" i="28"/>
  <c r="L38" i="28"/>
  <c r="L55" i="28"/>
  <c r="L66" i="28"/>
  <c r="M41" i="28"/>
  <c r="M50" i="28"/>
  <c r="L53" i="28"/>
  <c r="M79" i="28"/>
  <c r="M59" i="28"/>
  <c r="M33" i="28"/>
  <c r="M31" i="28"/>
  <c r="L59" i="28"/>
  <c r="L32" i="28"/>
  <c r="M29" i="28"/>
  <c r="M32" i="28"/>
  <c r="L40" i="28"/>
  <c r="L47" i="28"/>
  <c r="M58" i="28"/>
  <c r="M61" i="28"/>
  <c r="L77" i="28"/>
  <c r="M30" i="28"/>
  <c r="M38" i="28"/>
  <c r="M45" i="28"/>
  <c r="L54" i="28"/>
  <c r="L70" i="28"/>
  <c r="M42" i="28"/>
  <c r="M54" i="28"/>
  <c r="M70" i="28"/>
  <c r="L80" i="28"/>
  <c r="L57" i="28"/>
  <c r="L65" i="28"/>
  <c r="L73" i="28"/>
  <c r="M77" i="28"/>
  <c r="M47" i="28"/>
  <c r="M55" i="28"/>
  <c r="M63" i="28"/>
  <c r="M71" i="28"/>
  <c r="L44" i="28"/>
  <c r="L71" i="28"/>
  <c r="M34" i="28"/>
  <c r="L50" i="28"/>
  <c r="L36" i="28"/>
  <c r="L76" i="28"/>
  <c r="L69" i="28"/>
  <c r="M51" i="28"/>
  <c r="M37" i="28"/>
  <c r="L41" i="28"/>
  <c r="M27" i="28"/>
  <c r="M40" i="28"/>
  <c r="L34" i="28"/>
  <c r="L33" i="28"/>
  <c r="M43" i="28"/>
  <c r="L49" i="28"/>
  <c r="L62" i="28"/>
  <c r="M62" i="28"/>
  <c r="L79" i="28"/>
  <c r="L31" i="28"/>
  <c r="L39" i="28"/>
  <c r="M48" i="28"/>
  <c r="L63" i="28"/>
  <c r="M35" i="28"/>
  <c r="L43" i="28"/>
  <c r="L58" i="28"/>
  <c r="L74" i="28"/>
  <c r="M52" i="28"/>
  <c r="M60" i="28"/>
  <c r="M68" i="28"/>
  <c r="M74" i="28"/>
  <c r="M78" i="28"/>
  <c r="L48" i="28"/>
  <c r="L56" i="28"/>
  <c r="L64" i="28"/>
  <c r="L72" i="28"/>
  <c r="R19" i="37"/>
  <c r="H14" i="37"/>
  <c r="H13" i="37"/>
  <c r="I13" i="37"/>
  <c r="K13" i="37"/>
  <c r="K14" i="37"/>
  <c r="Q6" i="37"/>
  <c r="I14" i="37"/>
  <c r="V4" i="32"/>
  <c r="V5" i="32"/>
  <c r="V6" i="32"/>
  <c r="V7" i="32"/>
  <c r="V8" i="32"/>
  <c r="V10" i="32"/>
  <c r="V11" i="32"/>
  <c r="V12" i="32"/>
  <c r="V13" i="32"/>
  <c r="V14" i="32"/>
  <c r="AC22" i="32"/>
  <c r="U9" i="32" s="1"/>
  <c r="V9" i="32" s="1"/>
  <c r="AC9" i="32"/>
  <c r="V16" i="32"/>
  <c r="V17" i="32"/>
  <c r="V18" i="32"/>
  <c r="V19" i="32"/>
  <c r="V20" i="32"/>
  <c r="V21" i="32"/>
  <c r="V22" i="32"/>
  <c r="V15" i="32"/>
  <c r="E45" i="32"/>
  <c r="Q10" i="37" l="1"/>
  <c r="Q80" i="38"/>
  <c r="N81" i="38"/>
  <c r="P72" i="38"/>
  <c r="P68" i="38"/>
  <c r="P64" i="38"/>
  <c r="P60" i="38"/>
  <c r="P56" i="38"/>
  <c r="P52" i="38"/>
  <c r="P71" i="38"/>
  <c r="P67" i="38"/>
  <c r="P63" i="38"/>
  <c r="P59" i="38"/>
  <c r="P55" i="38"/>
  <c r="P51" i="38"/>
  <c r="P80" i="38"/>
  <c r="P79" i="38"/>
  <c r="P78" i="38"/>
  <c r="P77" i="38"/>
  <c r="P76" i="38"/>
  <c r="P75" i="38"/>
  <c r="P74" i="38"/>
  <c r="P70" i="38"/>
  <c r="P66" i="38"/>
  <c r="P62" i="38"/>
  <c r="P58" i="38"/>
  <c r="P54" i="38"/>
  <c r="P50" i="38"/>
  <c r="P73" i="38"/>
  <c r="P61" i="38"/>
  <c r="P45" i="38"/>
  <c r="P41" i="38"/>
  <c r="P38" i="38"/>
  <c r="P34" i="38"/>
  <c r="P30" i="38"/>
  <c r="P57" i="38"/>
  <c r="P49" i="38"/>
  <c r="P44" i="38"/>
  <c r="P40" i="38"/>
  <c r="P37" i="38"/>
  <c r="P33" i="38"/>
  <c r="P29" i="38"/>
  <c r="P53" i="38"/>
  <c r="P47" i="38"/>
  <c r="P43" i="38"/>
  <c r="P36" i="38"/>
  <c r="P32" i="38"/>
  <c r="P28" i="38"/>
  <c r="P69" i="38"/>
  <c r="P65" i="38"/>
  <c r="P48" i="38"/>
  <c r="P46" i="38"/>
  <c r="P42" i="38"/>
  <c r="P39" i="38"/>
  <c r="P35" i="38"/>
  <c r="P31" i="38"/>
  <c r="P27" i="38"/>
  <c r="P25" i="38"/>
  <c r="P24" i="38"/>
  <c r="P22" i="38"/>
  <c r="P26" i="38"/>
  <c r="P23" i="38"/>
  <c r="P21" i="38"/>
  <c r="P72" i="28"/>
  <c r="P68" i="28"/>
  <c r="P64" i="28"/>
  <c r="P60" i="28"/>
  <c r="P56" i="28"/>
  <c r="P52" i="28"/>
  <c r="P48" i="28"/>
  <c r="P80" i="28"/>
  <c r="P73" i="28"/>
  <c r="P69" i="28"/>
  <c r="P65" i="28"/>
  <c r="P61" i="28"/>
  <c r="P57" i="28"/>
  <c r="P53" i="28"/>
  <c r="P66" i="28"/>
  <c r="P59" i="28"/>
  <c r="P49" i="28"/>
  <c r="P47" i="28"/>
  <c r="P46" i="28"/>
  <c r="P43" i="28"/>
  <c r="P36" i="28"/>
  <c r="P79" i="28"/>
  <c r="P77" i="28"/>
  <c r="P75" i="28"/>
  <c r="P71" i="28"/>
  <c r="P62" i="28"/>
  <c r="P55" i="28"/>
  <c r="P42" i="28"/>
  <c r="P39" i="28"/>
  <c r="P35" i="28"/>
  <c r="P31" i="28"/>
  <c r="P27" i="28"/>
  <c r="P67" i="28"/>
  <c r="P78" i="28"/>
  <c r="P76" i="28"/>
  <c r="P74" i="28"/>
  <c r="P70" i="28"/>
  <c r="P63" i="28"/>
  <c r="P54" i="28"/>
  <c r="P44" i="28"/>
  <c r="P40" i="28"/>
  <c r="P37" i="28"/>
  <c r="P33" i="28"/>
  <c r="P28" i="28"/>
  <c r="P26" i="28"/>
  <c r="P58" i="28"/>
  <c r="P50" i="28"/>
  <c r="P45" i="28"/>
  <c r="P41" i="28"/>
  <c r="P29" i="28"/>
  <c r="P51" i="28"/>
  <c r="P38" i="28"/>
  <c r="P34" i="28"/>
  <c r="P32" i="28"/>
  <c r="P30" i="28"/>
  <c r="P25" i="28"/>
  <c r="P24" i="28"/>
  <c r="P23" i="28"/>
  <c r="P22" i="28"/>
  <c r="P21" i="28"/>
  <c r="Q80" i="28"/>
  <c r="N81" i="28"/>
  <c r="P7" i="37"/>
  <c r="P6" i="37"/>
  <c r="O6" i="37"/>
  <c r="O7" i="37"/>
  <c r="O11" i="37" s="1"/>
  <c r="R7" i="37"/>
  <c r="R6" i="37"/>
  <c r="Q7" i="37"/>
  <c r="X10" i="31"/>
  <c r="P10" i="37" l="1"/>
  <c r="R11" i="37"/>
  <c r="P11" i="37"/>
  <c r="R10" i="37"/>
  <c r="Q11" i="37"/>
  <c r="S7" i="37"/>
  <c r="S6" i="37"/>
  <c r="M2" i="30"/>
  <c r="X14" i="31"/>
  <c r="X13" i="31"/>
  <c r="X9" i="31"/>
  <c r="X12" i="31"/>
  <c r="X15" i="31"/>
  <c r="X7" i="31"/>
  <c r="X5" i="31"/>
  <c r="M10" i="29" l="1"/>
  <c r="D8" i="29"/>
  <c r="D10" i="29" s="1"/>
  <c r="D12" i="29" s="1"/>
  <c r="E8" i="29"/>
  <c r="E10" i="29" s="1"/>
  <c r="E12" i="29" s="1"/>
  <c r="F8" i="29"/>
  <c r="F10" i="29" s="1"/>
  <c r="F12" i="29" s="1"/>
  <c r="G8" i="29"/>
  <c r="G10" i="29" s="1"/>
  <c r="G12" i="29" s="1"/>
  <c r="C8" i="29"/>
  <c r="C10" i="29" s="1"/>
  <c r="F74" i="30" a="1"/>
  <c r="F74" i="30" s="1"/>
  <c r="I22" i="29"/>
  <c r="D110" i="30"/>
  <c r="D108" i="30"/>
  <c r="D107" i="30"/>
  <c r="D106" i="30"/>
  <c r="D105" i="30"/>
  <c r="D100" i="30"/>
  <c r="D97" i="30"/>
  <c r="D96" i="30"/>
  <c r="D95" i="30"/>
  <c r="D94" i="30" s="1"/>
  <c r="D89" i="30"/>
  <c r="D88" i="30" s="1"/>
  <c r="E84" i="30"/>
  <c r="F83" i="30"/>
  <c r="F82" i="30"/>
  <c r="F81" i="30"/>
  <c r="F80" i="30"/>
  <c r="F79" i="30"/>
  <c r="F84" i="30" s="1"/>
  <c r="E79" i="30"/>
  <c r="C74" i="30"/>
  <c r="E73" i="30"/>
  <c r="G73" i="30" s="1"/>
  <c r="D73" i="30"/>
  <c r="M73" i="30" s="1"/>
  <c r="D72" i="30"/>
  <c r="M72" i="30" s="1"/>
  <c r="D71" i="30"/>
  <c r="E71" i="30" s="1"/>
  <c r="G71" i="30" s="1"/>
  <c r="D70" i="30"/>
  <c r="M70" i="30" s="1"/>
  <c r="M69" i="30"/>
  <c r="D69" i="30"/>
  <c r="E69" i="30" s="1"/>
  <c r="G69" i="30" s="1"/>
  <c r="H69" i="30" s="1"/>
  <c r="D68" i="30"/>
  <c r="M68" i="30" s="1"/>
  <c r="M67" i="30"/>
  <c r="E67" i="30"/>
  <c r="G67" i="30" s="1"/>
  <c r="H67" i="30" s="1"/>
  <c r="D67" i="30"/>
  <c r="D66" i="30"/>
  <c r="M66" i="30" s="1"/>
  <c r="D65" i="30"/>
  <c r="M65" i="30" s="1"/>
  <c r="D64" i="30"/>
  <c r="M64" i="30" s="1"/>
  <c r="D63" i="30"/>
  <c r="E63" i="30" s="1"/>
  <c r="G63" i="30" s="1"/>
  <c r="D62" i="30"/>
  <c r="M62" i="30" s="1"/>
  <c r="M61" i="30"/>
  <c r="D61" i="30"/>
  <c r="E61" i="30" s="1"/>
  <c r="G61" i="30" s="1"/>
  <c r="H61" i="30" s="1"/>
  <c r="D60" i="30"/>
  <c r="M60" i="30" s="1"/>
  <c r="M59" i="30"/>
  <c r="E59" i="30"/>
  <c r="G59" i="30" s="1"/>
  <c r="H59" i="30" s="1"/>
  <c r="D59" i="30"/>
  <c r="D58" i="30"/>
  <c r="M58" i="30" s="1"/>
  <c r="D57" i="30"/>
  <c r="M57" i="30" s="1"/>
  <c r="D56" i="30"/>
  <c r="M56" i="30" s="1"/>
  <c r="D55" i="30"/>
  <c r="E55" i="30" s="1"/>
  <c r="G55" i="30" s="1"/>
  <c r="D54" i="30"/>
  <c r="M54" i="30" s="1"/>
  <c r="M53" i="30"/>
  <c r="D53" i="30"/>
  <c r="E53" i="30" s="1"/>
  <c r="G53" i="30" s="1"/>
  <c r="H53" i="30" s="1"/>
  <c r="D52" i="30"/>
  <c r="M52" i="30" s="1"/>
  <c r="M51" i="30"/>
  <c r="E51" i="30"/>
  <c r="G51" i="30" s="1"/>
  <c r="H51" i="30" s="1"/>
  <c r="D51" i="30"/>
  <c r="D50" i="30"/>
  <c r="M50" i="30" s="1"/>
  <c r="D49" i="30"/>
  <c r="M49" i="30" s="1"/>
  <c r="D48" i="30"/>
  <c r="M48" i="30" s="1"/>
  <c r="M47" i="30"/>
  <c r="D47" i="30"/>
  <c r="E47" i="30" s="1"/>
  <c r="G47" i="30" s="1"/>
  <c r="D46" i="30"/>
  <c r="M46" i="30" s="1"/>
  <c r="M45" i="30"/>
  <c r="D45" i="30"/>
  <c r="E45" i="30" s="1"/>
  <c r="G45" i="30" s="1"/>
  <c r="H45" i="30" s="1"/>
  <c r="D44" i="30"/>
  <c r="M44" i="30" s="1"/>
  <c r="M43" i="30"/>
  <c r="E43" i="30"/>
  <c r="G43" i="30" s="1"/>
  <c r="H43" i="30" s="1"/>
  <c r="D43" i="30"/>
  <c r="D42" i="30"/>
  <c r="M42" i="30" s="1"/>
  <c r="E41" i="30"/>
  <c r="G41" i="30" s="1"/>
  <c r="D41" i="30"/>
  <c r="M41" i="30" s="1"/>
  <c r="D40" i="30"/>
  <c r="M40" i="30" s="1"/>
  <c r="D39" i="30"/>
  <c r="E39" i="30" s="1"/>
  <c r="G39" i="30" s="1"/>
  <c r="D38" i="30"/>
  <c r="M38" i="30" s="1"/>
  <c r="M37" i="30"/>
  <c r="D37" i="30"/>
  <c r="E37" i="30" s="1"/>
  <c r="G37" i="30" s="1"/>
  <c r="H37" i="30" s="1"/>
  <c r="D36" i="30"/>
  <c r="M36" i="30" s="1"/>
  <c r="M35" i="30"/>
  <c r="E35" i="30"/>
  <c r="G35" i="30" s="1"/>
  <c r="H35" i="30" s="1"/>
  <c r="D35" i="30"/>
  <c r="D34" i="30"/>
  <c r="M34" i="30" s="1"/>
  <c r="M33" i="30"/>
  <c r="G33" i="30"/>
  <c r="E33" i="30"/>
  <c r="D33" i="30"/>
  <c r="M32" i="30"/>
  <c r="E32" i="30"/>
  <c r="G32" i="30" s="1"/>
  <c r="H32" i="30" s="1"/>
  <c r="D32" i="30"/>
  <c r="M31" i="30"/>
  <c r="E31" i="30"/>
  <c r="G31" i="30" s="1"/>
  <c r="D31" i="30"/>
  <c r="M30" i="30"/>
  <c r="E30" i="30"/>
  <c r="G30" i="30" s="1"/>
  <c r="H30" i="30" s="1"/>
  <c r="D30" i="30"/>
  <c r="M29" i="30"/>
  <c r="E29" i="30"/>
  <c r="G29" i="30" s="1"/>
  <c r="D29" i="30"/>
  <c r="M28" i="30"/>
  <c r="E28" i="30"/>
  <c r="G28" i="30" s="1"/>
  <c r="H28" i="30" s="1"/>
  <c r="D28" i="30"/>
  <c r="M27" i="30"/>
  <c r="G27" i="30"/>
  <c r="H27" i="30" s="1"/>
  <c r="E27" i="30"/>
  <c r="D27" i="30"/>
  <c r="M26" i="30"/>
  <c r="E26" i="30"/>
  <c r="G26" i="30" s="1"/>
  <c r="H26" i="30" s="1"/>
  <c r="D26" i="30"/>
  <c r="M25" i="30"/>
  <c r="E25" i="30"/>
  <c r="G25" i="30" s="1"/>
  <c r="D25" i="30"/>
  <c r="G24" i="30"/>
  <c r="H24" i="30" s="1"/>
  <c r="E24" i="30"/>
  <c r="D24" i="30"/>
  <c r="M24" i="30" s="1"/>
  <c r="E23" i="30"/>
  <c r="G23" i="30" s="1"/>
  <c r="H23" i="30" s="1"/>
  <c r="D23" i="30"/>
  <c r="M23" i="30" s="1"/>
  <c r="E22" i="30"/>
  <c r="G22" i="30" s="1"/>
  <c r="D22" i="30"/>
  <c r="M22" i="30" s="1"/>
  <c r="E21" i="30"/>
  <c r="G21" i="30" s="1"/>
  <c r="D21" i="30"/>
  <c r="M21" i="30" s="1"/>
  <c r="G20" i="30"/>
  <c r="H20" i="30" s="1"/>
  <c r="E20" i="30"/>
  <c r="D20" i="30"/>
  <c r="M20" i="30" s="1"/>
  <c r="E19" i="30"/>
  <c r="G19" i="30" s="1"/>
  <c r="H19" i="30" s="1"/>
  <c r="D19" i="30"/>
  <c r="M19" i="30" s="1"/>
  <c r="G18" i="30"/>
  <c r="E18" i="30"/>
  <c r="D18" i="30"/>
  <c r="M18" i="30" s="1"/>
  <c r="G17" i="30"/>
  <c r="H17" i="30" s="1"/>
  <c r="E17" i="30"/>
  <c r="D17" i="30"/>
  <c r="M17" i="30" s="1"/>
  <c r="G16" i="30"/>
  <c r="H16" i="30" s="1"/>
  <c r="E16" i="30"/>
  <c r="D16" i="30"/>
  <c r="M16" i="30" s="1"/>
  <c r="E15" i="30"/>
  <c r="G15" i="30" s="1"/>
  <c r="H15" i="30" s="1"/>
  <c r="D15" i="30"/>
  <c r="M15" i="30" s="1"/>
  <c r="E14" i="30"/>
  <c r="G14" i="30" s="1"/>
  <c r="D14" i="30"/>
  <c r="M14" i="30" s="1"/>
  <c r="E13" i="30"/>
  <c r="G13" i="30" s="1"/>
  <c r="D13" i="30"/>
  <c r="M13" i="30" s="1"/>
  <c r="D12" i="30"/>
  <c r="D11" i="30"/>
  <c r="M11" i="30" s="1"/>
  <c r="D10" i="30"/>
  <c r="E9" i="30"/>
  <c r="G9" i="30" s="1"/>
  <c r="D9" i="30"/>
  <c r="M9" i="30" s="1"/>
  <c r="D8" i="30"/>
  <c r="M8" i="30" s="1"/>
  <c r="D7" i="30"/>
  <c r="E7" i="30" s="1"/>
  <c r="G7" i="30" s="1"/>
  <c r="D6" i="30"/>
  <c r="M6" i="30" s="1"/>
  <c r="D5" i="30"/>
  <c r="M5" i="30" s="1"/>
  <c r="D4" i="30"/>
  <c r="M4" i="30" s="1"/>
  <c r="D3" i="30"/>
  <c r="E3" i="30" s="1"/>
  <c r="G3" i="30" s="1"/>
  <c r="D2" i="30"/>
  <c r="I10" i="29" l="1"/>
  <c r="C12" i="29"/>
  <c r="I8" i="29"/>
  <c r="I23" i="29"/>
  <c r="H25" i="30"/>
  <c r="H14" i="30"/>
  <c r="H29" i="30"/>
  <c r="H9" i="30"/>
  <c r="H22" i="30"/>
  <c r="H3" i="30"/>
  <c r="H7" i="30"/>
  <c r="H13" i="30"/>
  <c r="H21" i="30"/>
  <c r="H31" i="30"/>
  <c r="D86" i="30"/>
  <c r="D112" i="30" s="1"/>
  <c r="D114" i="30" s="1"/>
  <c r="H33" i="30"/>
  <c r="H41" i="30"/>
  <c r="H71" i="30"/>
  <c r="M3" i="30"/>
  <c r="E5" i="30"/>
  <c r="G5" i="30" s="1"/>
  <c r="M7" i="30"/>
  <c r="E11" i="30"/>
  <c r="G11" i="30" s="1"/>
  <c r="M39" i="30"/>
  <c r="H63" i="30"/>
  <c r="E65" i="30"/>
  <c r="G65" i="30" s="1"/>
  <c r="M71" i="30"/>
  <c r="H55" i="30"/>
  <c r="E57" i="30"/>
  <c r="G57" i="30" s="1"/>
  <c r="M63" i="30"/>
  <c r="M10" i="30"/>
  <c r="E10" i="30"/>
  <c r="G10" i="30" s="1"/>
  <c r="H18" i="30"/>
  <c r="H39" i="30"/>
  <c r="H73" i="30"/>
  <c r="M12" i="30"/>
  <c r="E12" i="30"/>
  <c r="G12" i="30" s="1"/>
  <c r="E2" i="30"/>
  <c r="E4" i="30"/>
  <c r="G4" i="30" s="1"/>
  <c r="E6" i="30"/>
  <c r="G6" i="30" s="1"/>
  <c r="E8" i="30"/>
  <c r="G8" i="30" s="1"/>
  <c r="H47" i="30"/>
  <c r="E49" i="30"/>
  <c r="G49" i="30" s="1"/>
  <c r="M55" i="30"/>
  <c r="E34" i="30"/>
  <c r="G34" i="30" s="1"/>
  <c r="E36" i="30"/>
  <c r="G36" i="30" s="1"/>
  <c r="E38" i="30"/>
  <c r="G38" i="30" s="1"/>
  <c r="E40" i="30"/>
  <c r="G40" i="30" s="1"/>
  <c r="E42" i="30"/>
  <c r="G42" i="30" s="1"/>
  <c r="E44" i="30"/>
  <c r="G44" i="30" s="1"/>
  <c r="E46" i="30"/>
  <c r="G46" i="30" s="1"/>
  <c r="E48" i="30"/>
  <c r="G48" i="30" s="1"/>
  <c r="E50" i="30"/>
  <c r="G50" i="30" s="1"/>
  <c r="E52" i="30"/>
  <c r="G52" i="30" s="1"/>
  <c r="E54" i="30"/>
  <c r="G54" i="30" s="1"/>
  <c r="E56" i="30"/>
  <c r="G56" i="30" s="1"/>
  <c r="E58" i="30"/>
  <c r="G58" i="30" s="1"/>
  <c r="E60" i="30"/>
  <c r="G60" i="30" s="1"/>
  <c r="E62" i="30"/>
  <c r="G62" i="30" s="1"/>
  <c r="E64" i="30"/>
  <c r="G64" i="30" s="1"/>
  <c r="E66" i="30"/>
  <c r="G66" i="30" s="1"/>
  <c r="E68" i="30"/>
  <c r="G68" i="30" s="1"/>
  <c r="E70" i="30"/>
  <c r="G70" i="30" s="1"/>
  <c r="E72" i="30"/>
  <c r="G72" i="30" s="1"/>
  <c r="I12" i="29" l="1"/>
  <c r="E14" i="29"/>
  <c r="G14" i="29"/>
  <c r="C14" i="29"/>
  <c r="D14" i="29" s="1"/>
  <c r="F14" i="29"/>
  <c r="J66" i="30"/>
  <c r="K66" i="30" s="1"/>
  <c r="H66" i="30"/>
  <c r="H58" i="30"/>
  <c r="H50" i="30"/>
  <c r="H42" i="30"/>
  <c r="J34" i="30"/>
  <c r="K34" i="30" s="1"/>
  <c r="H34" i="30"/>
  <c r="H4" i="30"/>
  <c r="H72" i="30"/>
  <c r="H64" i="30"/>
  <c r="J56" i="30"/>
  <c r="K56" i="30" s="1"/>
  <c r="H56" i="30"/>
  <c r="H48" i="30"/>
  <c r="H40" i="30"/>
  <c r="E74" i="30"/>
  <c r="G2" i="30"/>
  <c r="H11" i="30"/>
  <c r="H70" i="30"/>
  <c r="H62" i="30"/>
  <c r="H54" i="30"/>
  <c r="J46" i="30"/>
  <c r="K46" i="30" s="1"/>
  <c r="H46" i="30"/>
  <c r="H38" i="30"/>
  <c r="H8" i="30"/>
  <c r="J8" i="30"/>
  <c r="K8" i="30" s="1"/>
  <c r="H68" i="30"/>
  <c r="H60" i="30"/>
  <c r="H52" i="30"/>
  <c r="J44" i="30"/>
  <c r="K44" i="30" s="1"/>
  <c r="H44" i="30"/>
  <c r="H36" i="30"/>
  <c r="H49" i="30"/>
  <c r="J49" i="30"/>
  <c r="K49" i="30" s="1"/>
  <c r="H6" i="30"/>
  <c r="H12" i="30"/>
  <c r="J12" i="30"/>
  <c r="K12" i="30" s="1"/>
  <c r="H10" i="30"/>
  <c r="H57" i="30"/>
  <c r="J57" i="30"/>
  <c r="K57" i="30" s="1"/>
  <c r="H65" i="30"/>
  <c r="J65" i="30"/>
  <c r="K65" i="30" s="1"/>
  <c r="H5" i="30"/>
  <c r="I73" i="30"/>
  <c r="J73" i="30" s="1"/>
  <c r="K73" i="30" s="1"/>
  <c r="I71" i="30"/>
  <c r="J71" i="30" s="1"/>
  <c r="K71" i="30" s="1"/>
  <c r="I69" i="30"/>
  <c r="J69" i="30" s="1"/>
  <c r="K69" i="30" s="1"/>
  <c r="I67" i="30"/>
  <c r="J67" i="30" s="1"/>
  <c r="K67" i="30" s="1"/>
  <c r="I65" i="30"/>
  <c r="I63" i="30"/>
  <c r="J63" i="30" s="1"/>
  <c r="K63" i="30" s="1"/>
  <c r="I61" i="30"/>
  <c r="J61" i="30" s="1"/>
  <c r="K61" i="30" s="1"/>
  <c r="I59" i="30"/>
  <c r="J59" i="30" s="1"/>
  <c r="K59" i="30" s="1"/>
  <c r="I57" i="30"/>
  <c r="I55" i="30"/>
  <c r="J55" i="30" s="1"/>
  <c r="K55" i="30" s="1"/>
  <c r="I53" i="30"/>
  <c r="J53" i="30" s="1"/>
  <c r="K53" i="30" s="1"/>
  <c r="I51" i="30"/>
  <c r="J51" i="30" s="1"/>
  <c r="K51" i="30" s="1"/>
  <c r="I49" i="30"/>
  <c r="I47" i="30"/>
  <c r="J47" i="30" s="1"/>
  <c r="K47" i="30" s="1"/>
  <c r="I45" i="30"/>
  <c r="J45" i="30" s="1"/>
  <c r="K45" i="30" s="1"/>
  <c r="I43" i="30"/>
  <c r="J43" i="30" s="1"/>
  <c r="K43" i="30" s="1"/>
  <c r="I41" i="30"/>
  <c r="J41" i="30" s="1"/>
  <c r="K41" i="30" s="1"/>
  <c r="I39" i="30"/>
  <c r="J39" i="30" s="1"/>
  <c r="K39" i="30" s="1"/>
  <c r="I37" i="30"/>
  <c r="J37" i="30" s="1"/>
  <c r="K37" i="30" s="1"/>
  <c r="I35" i="30"/>
  <c r="J35" i="30" s="1"/>
  <c r="K35" i="30" s="1"/>
  <c r="I33" i="30"/>
  <c r="J33" i="30" s="1"/>
  <c r="K33" i="30" s="1"/>
  <c r="I32" i="30"/>
  <c r="J32" i="30" s="1"/>
  <c r="K32" i="30" s="1"/>
  <c r="I31" i="30"/>
  <c r="J31" i="30" s="1"/>
  <c r="K31" i="30" s="1"/>
  <c r="I30" i="30"/>
  <c r="J30" i="30" s="1"/>
  <c r="K30" i="30" s="1"/>
  <c r="I29" i="30"/>
  <c r="J29" i="30" s="1"/>
  <c r="K29" i="30" s="1"/>
  <c r="I28" i="30"/>
  <c r="J28" i="30" s="1"/>
  <c r="K28" i="30" s="1"/>
  <c r="I27" i="30"/>
  <c r="J27" i="30" s="1"/>
  <c r="K27" i="30" s="1"/>
  <c r="I26" i="30"/>
  <c r="J26" i="30" s="1"/>
  <c r="K26" i="30" s="1"/>
  <c r="I25" i="30"/>
  <c r="J25" i="30" s="1"/>
  <c r="K25" i="30" s="1"/>
  <c r="I24" i="30"/>
  <c r="J24" i="30" s="1"/>
  <c r="K24" i="30" s="1"/>
  <c r="I23" i="30"/>
  <c r="J23" i="30" s="1"/>
  <c r="K23" i="30" s="1"/>
  <c r="I22" i="30"/>
  <c r="J22" i="30" s="1"/>
  <c r="K22" i="30" s="1"/>
  <c r="I21" i="30"/>
  <c r="J21" i="30" s="1"/>
  <c r="K21" i="30" s="1"/>
  <c r="I20" i="30"/>
  <c r="J20" i="30" s="1"/>
  <c r="K20" i="30" s="1"/>
  <c r="I19" i="30"/>
  <c r="J19" i="30" s="1"/>
  <c r="K19" i="30" s="1"/>
  <c r="I18" i="30"/>
  <c r="J18" i="30" s="1"/>
  <c r="K18" i="30" s="1"/>
  <c r="I17" i="30"/>
  <c r="J17" i="30" s="1"/>
  <c r="K17" i="30" s="1"/>
  <c r="I16" i="30"/>
  <c r="J16" i="30" s="1"/>
  <c r="K16" i="30" s="1"/>
  <c r="I15" i="30"/>
  <c r="J15" i="30" s="1"/>
  <c r="K15" i="30" s="1"/>
  <c r="I14" i="30"/>
  <c r="J14" i="30" s="1"/>
  <c r="K14" i="30" s="1"/>
  <c r="I13" i="30"/>
  <c r="J13" i="30" s="1"/>
  <c r="K13" i="30" s="1"/>
  <c r="I12" i="30"/>
  <c r="I72" i="30"/>
  <c r="J72" i="30" s="1"/>
  <c r="K72" i="30" s="1"/>
  <c r="I64" i="30"/>
  <c r="J64" i="30" s="1"/>
  <c r="K64" i="30" s="1"/>
  <c r="I56" i="30"/>
  <c r="I48" i="30"/>
  <c r="J48" i="30" s="1"/>
  <c r="K48" i="30" s="1"/>
  <c r="I40" i="30"/>
  <c r="J40" i="30" s="1"/>
  <c r="K40" i="30" s="1"/>
  <c r="I11" i="30"/>
  <c r="J11" i="30" s="1"/>
  <c r="K11" i="30" s="1"/>
  <c r="I9" i="30"/>
  <c r="J9" i="30" s="1"/>
  <c r="K9" i="30" s="1"/>
  <c r="I66" i="30"/>
  <c r="I58" i="30"/>
  <c r="J58" i="30" s="1"/>
  <c r="K58" i="30" s="1"/>
  <c r="I50" i="30"/>
  <c r="J50" i="30" s="1"/>
  <c r="K50" i="30" s="1"/>
  <c r="I42" i="30"/>
  <c r="J42" i="30" s="1"/>
  <c r="K42" i="30" s="1"/>
  <c r="I34" i="30"/>
  <c r="I70" i="30"/>
  <c r="J70" i="30" s="1"/>
  <c r="K70" i="30" s="1"/>
  <c r="I60" i="30"/>
  <c r="J60" i="30" s="1"/>
  <c r="K60" i="30" s="1"/>
  <c r="I38" i="30"/>
  <c r="J38" i="30" s="1"/>
  <c r="K38" i="30" s="1"/>
  <c r="I7" i="30"/>
  <c r="J7" i="30" s="1"/>
  <c r="K7" i="30" s="1"/>
  <c r="I5" i="30"/>
  <c r="J5" i="30" s="1"/>
  <c r="K5" i="30" s="1"/>
  <c r="I3" i="30"/>
  <c r="J3" i="30" s="1"/>
  <c r="K3" i="30" s="1"/>
  <c r="I44" i="30"/>
  <c r="I8" i="30"/>
  <c r="I4" i="30"/>
  <c r="J4" i="30" s="1"/>
  <c r="K4" i="30" s="1"/>
  <c r="I62" i="30"/>
  <c r="J62" i="30" s="1"/>
  <c r="K62" i="30" s="1"/>
  <c r="I68" i="30"/>
  <c r="J68" i="30" s="1"/>
  <c r="K68" i="30" s="1"/>
  <c r="I46" i="30"/>
  <c r="I36" i="30"/>
  <c r="J36" i="30" s="1"/>
  <c r="K36" i="30" s="1"/>
  <c r="I10" i="30"/>
  <c r="J10" i="30" s="1"/>
  <c r="K10" i="30" s="1"/>
  <c r="I54" i="30"/>
  <c r="J54" i="30" s="1"/>
  <c r="K54" i="30" s="1"/>
  <c r="I6" i="30"/>
  <c r="J6" i="30" s="1"/>
  <c r="K6" i="30" s="1"/>
  <c r="I2" i="30"/>
  <c r="I52" i="30"/>
  <c r="J52" i="30" s="1"/>
  <c r="K52" i="30" s="1"/>
  <c r="G74" i="30" l="1"/>
  <c r="H74" i="30" s="1"/>
  <c r="J2" i="30"/>
  <c r="H2" i="30"/>
  <c r="I74" i="30"/>
  <c r="J74" i="30" l="1"/>
  <c r="K74" i="30" s="1"/>
  <c r="K2" i="30"/>
  <c r="D70" i="27" l="1"/>
  <c r="D71" i="27"/>
  <c r="D72" i="27"/>
  <c r="D73" i="27"/>
  <c r="D74" i="27"/>
  <c r="D75" i="27"/>
  <c r="D76" i="27"/>
  <c r="D77" i="27"/>
  <c r="D78" i="27"/>
  <c r="D79" i="27"/>
  <c r="D80" i="27"/>
  <c r="D58" i="27"/>
  <c r="D59" i="27"/>
  <c r="D60" i="27"/>
  <c r="D61" i="27"/>
  <c r="D62" i="27"/>
  <c r="D63" i="27"/>
  <c r="D64" i="27"/>
  <c r="D65" i="27"/>
  <c r="D66" i="27"/>
  <c r="D67" i="27"/>
  <c r="D68" i="27"/>
  <c r="E62" i="27" s="1"/>
  <c r="D46" i="27"/>
  <c r="D47" i="27"/>
  <c r="D48" i="27"/>
  <c r="D49" i="27"/>
  <c r="D50" i="27"/>
  <c r="D51" i="27"/>
  <c r="D52" i="27"/>
  <c r="D53" i="27"/>
  <c r="D54" i="27"/>
  <c r="D55" i="27"/>
  <c r="D56" i="27"/>
  <c r="D69" i="27"/>
  <c r="E74" i="27" s="1"/>
  <c r="D57" i="27"/>
  <c r="E63" i="27" s="1"/>
  <c r="D45" i="27"/>
  <c r="D34" i="27"/>
  <c r="D35" i="27"/>
  <c r="D36" i="27"/>
  <c r="D37" i="27"/>
  <c r="E33" i="27" s="1"/>
  <c r="D38" i="27"/>
  <c r="D39" i="27"/>
  <c r="D40" i="27"/>
  <c r="D41" i="27"/>
  <c r="D42" i="27"/>
  <c r="D43" i="27"/>
  <c r="G43" i="27" s="1"/>
  <c r="D44" i="27"/>
  <c r="D33" i="27"/>
  <c r="D22" i="27"/>
  <c r="D23" i="27"/>
  <c r="D24" i="27"/>
  <c r="D25" i="27"/>
  <c r="E28" i="27" s="1"/>
  <c r="D26" i="27"/>
  <c r="D27" i="27"/>
  <c r="D28" i="27"/>
  <c r="D29" i="27"/>
  <c r="D30" i="27"/>
  <c r="D31" i="27"/>
  <c r="D32" i="27"/>
  <c r="D21" i="27"/>
  <c r="E27" i="27" s="1"/>
  <c r="H64" i="27"/>
  <c r="H92" i="27"/>
  <c r="H91" i="27"/>
  <c r="H90" i="27"/>
  <c r="H89" i="27"/>
  <c r="H88" i="27"/>
  <c r="H87" i="27"/>
  <c r="H86" i="27"/>
  <c r="H85" i="27"/>
  <c r="H84" i="27"/>
  <c r="H83" i="27"/>
  <c r="H82" i="27"/>
  <c r="H81" i="27"/>
  <c r="H80" i="27"/>
  <c r="J80" i="27" s="1"/>
  <c r="K80" i="27" s="1"/>
  <c r="O80" i="27" s="1"/>
  <c r="F80" i="27"/>
  <c r="G80" i="27" s="1"/>
  <c r="H79" i="27"/>
  <c r="G79" i="27"/>
  <c r="F79" i="27"/>
  <c r="H78" i="27"/>
  <c r="F78" i="27"/>
  <c r="G78" i="27" s="1"/>
  <c r="H77" i="27"/>
  <c r="J77" i="27" s="1"/>
  <c r="K77" i="27" s="1"/>
  <c r="O77" i="27" s="1"/>
  <c r="G77" i="27"/>
  <c r="F77" i="27"/>
  <c r="H76" i="27"/>
  <c r="J76" i="27" s="1"/>
  <c r="K76" i="27" s="1"/>
  <c r="O76" i="27" s="1"/>
  <c r="F76" i="27"/>
  <c r="G76" i="27" s="1"/>
  <c r="H75" i="27"/>
  <c r="J75" i="27" s="1"/>
  <c r="K75" i="27" s="1"/>
  <c r="O75" i="27" s="1"/>
  <c r="F75" i="27"/>
  <c r="H74" i="27"/>
  <c r="J74" i="27" s="1"/>
  <c r="K74" i="27" s="1"/>
  <c r="O74" i="27" s="1"/>
  <c r="F74" i="27"/>
  <c r="H73" i="27"/>
  <c r="J73" i="27" s="1"/>
  <c r="K73" i="27" s="1"/>
  <c r="O73" i="27" s="1"/>
  <c r="F73" i="27"/>
  <c r="G73" i="27" s="1"/>
  <c r="E73" i="27"/>
  <c r="H72" i="27"/>
  <c r="J72" i="27" s="1"/>
  <c r="K72" i="27" s="1"/>
  <c r="O72" i="27" s="1"/>
  <c r="F72" i="27"/>
  <c r="G72" i="27" s="1"/>
  <c r="H71" i="27"/>
  <c r="J71" i="27" s="1"/>
  <c r="K71" i="27" s="1"/>
  <c r="O71" i="27" s="1"/>
  <c r="F71" i="27"/>
  <c r="G71" i="27" s="1"/>
  <c r="H70" i="27"/>
  <c r="F70" i="27"/>
  <c r="H69" i="27"/>
  <c r="F69" i="27"/>
  <c r="H68" i="27"/>
  <c r="F68" i="27"/>
  <c r="H67" i="27"/>
  <c r="J67" i="27" s="1"/>
  <c r="K67" i="27" s="1"/>
  <c r="O67" i="27" s="1"/>
  <c r="F67" i="27"/>
  <c r="G67" i="27" s="1"/>
  <c r="H66" i="27"/>
  <c r="J66" i="27" s="1"/>
  <c r="K66" i="27" s="1"/>
  <c r="O66" i="27" s="1"/>
  <c r="F66" i="27"/>
  <c r="G66" i="27" s="1"/>
  <c r="H65" i="27"/>
  <c r="F65" i="27"/>
  <c r="G65" i="27" s="1"/>
  <c r="F64" i="27"/>
  <c r="G64" i="27" s="1"/>
  <c r="H63" i="27"/>
  <c r="J63" i="27" s="1"/>
  <c r="K63" i="27" s="1"/>
  <c r="O63" i="27" s="1"/>
  <c r="F63" i="27"/>
  <c r="G63" i="27" s="1"/>
  <c r="H62" i="27"/>
  <c r="J62" i="27" s="1"/>
  <c r="K62" i="27" s="1"/>
  <c r="O62" i="27" s="1"/>
  <c r="F62" i="27"/>
  <c r="G62" i="27" s="1"/>
  <c r="H61" i="27"/>
  <c r="F61" i="27"/>
  <c r="H60" i="27"/>
  <c r="J60" i="27" s="1"/>
  <c r="K60" i="27" s="1"/>
  <c r="O60" i="27" s="1"/>
  <c r="F60" i="27"/>
  <c r="H59" i="27"/>
  <c r="J59" i="27" s="1"/>
  <c r="K59" i="27" s="1"/>
  <c r="O59" i="27" s="1"/>
  <c r="F59" i="27"/>
  <c r="G59" i="27" s="1"/>
  <c r="H58" i="27"/>
  <c r="J58" i="27" s="1"/>
  <c r="K58" i="27" s="1"/>
  <c r="O58" i="27" s="1"/>
  <c r="F58" i="27"/>
  <c r="G58" i="27" s="1"/>
  <c r="H57" i="27"/>
  <c r="F57" i="27"/>
  <c r="H56" i="27"/>
  <c r="J56" i="27" s="1"/>
  <c r="K56" i="27" s="1"/>
  <c r="O56" i="27" s="1"/>
  <c r="F56" i="27"/>
  <c r="G56" i="27" s="1"/>
  <c r="H55" i="27"/>
  <c r="J55" i="27" s="1"/>
  <c r="K55" i="27" s="1"/>
  <c r="O55" i="27" s="1"/>
  <c r="F55" i="27"/>
  <c r="G55" i="27" s="1"/>
  <c r="H54" i="27"/>
  <c r="J54" i="27" s="1"/>
  <c r="K54" i="27" s="1"/>
  <c r="O54" i="27" s="1"/>
  <c r="F54" i="27"/>
  <c r="G54" i="27" s="1"/>
  <c r="H53" i="27"/>
  <c r="F53" i="27"/>
  <c r="H52" i="27"/>
  <c r="J52" i="27" s="1"/>
  <c r="K52" i="27" s="1"/>
  <c r="O52" i="27" s="1"/>
  <c r="F52" i="27"/>
  <c r="G52" i="27" s="1"/>
  <c r="H51" i="27"/>
  <c r="J51" i="27" s="1"/>
  <c r="K51" i="27" s="1"/>
  <c r="O51" i="27" s="1"/>
  <c r="F51" i="27"/>
  <c r="G51" i="27" s="1"/>
  <c r="H50" i="27"/>
  <c r="J50" i="27" s="1"/>
  <c r="K50" i="27" s="1"/>
  <c r="O50" i="27" s="1"/>
  <c r="G50" i="27"/>
  <c r="F50" i="27"/>
  <c r="H49" i="27"/>
  <c r="J49" i="27" s="1"/>
  <c r="K49" i="27" s="1"/>
  <c r="O49" i="27" s="1"/>
  <c r="F49" i="27"/>
  <c r="H48" i="27"/>
  <c r="J48" i="27" s="1"/>
  <c r="K48" i="27" s="1"/>
  <c r="O48" i="27" s="1"/>
  <c r="G48" i="27"/>
  <c r="F48" i="27"/>
  <c r="H47" i="27"/>
  <c r="J47" i="27" s="1"/>
  <c r="K47" i="27" s="1"/>
  <c r="O47" i="27" s="1"/>
  <c r="G47" i="27"/>
  <c r="F47" i="27"/>
  <c r="H46" i="27"/>
  <c r="J46" i="27" s="1"/>
  <c r="K46" i="27" s="1"/>
  <c r="O46" i="27" s="1"/>
  <c r="G46" i="27"/>
  <c r="F46" i="27"/>
  <c r="H45" i="27"/>
  <c r="J45" i="27" s="1"/>
  <c r="K45" i="27" s="1"/>
  <c r="O45" i="27" s="1"/>
  <c r="G45" i="27"/>
  <c r="F45" i="27"/>
  <c r="H44" i="27"/>
  <c r="J44" i="27" s="1"/>
  <c r="K44" i="27" s="1"/>
  <c r="O44" i="27" s="1"/>
  <c r="G44" i="27"/>
  <c r="F44" i="27"/>
  <c r="H43" i="27"/>
  <c r="J43" i="27" s="1"/>
  <c r="K43" i="27" s="1"/>
  <c r="O43" i="27" s="1"/>
  <c r="F43" i="27"/>
  <c r="H42" i="27"/>
  <c r="J42" i="27" s="1"/>
  <c r="K42" i="27" s="1"/>
  <c r="O42" i="27" s="1"/>
  <c r="G42" i="27"/>
  <c r="F42" i="27"/>
  <c r="H41" i="27"/>
  <c r="F41" i="27"/>
  <c r="E41" i="27"/>
  <c r="H40" i="27"/>
  <c r="G40" i="27"/>
  <c r="F40" i="27"/>
  <c r="E40" i="27"/>
  <c r="T39" i="27"/>
  <c r="H39" i="27"/>
  <c r="J39" i="27" s="1"/>
  <c r="K39" i="27" s="1"/>
  <c r="O39" i="27" s="1"/>
  <c r="F39" i="27"/>
  <c r="G39" i="27" s="1"/>
  <c r="H38" i="27"/>
  <c r="J38" i="27" s="1"/>
  <c r="K38" i="27" s="1"/>
  <c r="O38" i="27" s="1"/>
  <c r="F38" i="27"/>
  <c r="G38" i="27" s="1"/>
  <c r="H37" i="27"/>
  <c r="F37" i="27"/>
  <c r="G37" i="27" s="1"/>
  <c r="H36" i="27"/>
  <c r="J36" i="27" s="1"/>
  <c r="K36" i="27" s="1"/>
  <c r="O36" i="27" s="1"/>
  <c r="F36" i="27"/>
  <c r="G36" i="27" s="1"/>
  <c r="H35" i="27"/>
  <c r="J35" i="27" s="1"/>
  <c r="K35" i="27" s="1"/>
  <c r="O35" i="27" s="1"/>
  <c r="F35" i="27"/>
  <c r="G35" i="27" s="1"/>
  <c r="H34" i="27"/>
  <c r="J34" i="27" s="1"/>
  <c r="K34" i="27" s="1"/>
  <c r="O34" i="27" s="1"/>
  <c r="F34" i="27"/>
  <c r="G34" i="27" s="1"/>
  <c r="H33" i="27"/>
  <c r="F33" i="27"/>
  <c r="H32" i="27"/>
  <c r="J32" i="27" s="1"/>
  <c r="K32" i="27" s="1"/>
  <c r="O32" i="27" s="1"/>
  <c r="F32" i="27"/>
  <c r="G32" i="27" s="1"/>
  <c r="E32" i="27"/>
  <c r="H31" i="27"/>
  <c r="J31" i="27" s="1"/>
  <c r="K31" i="27" s="1"/>
  <c r="O31" i="27" s="1"/>
  <c r="F31" i="27"/>
  <c r="G31" i="27" s="1"/>
  <c r="H30" i="27"/>
  <c r="J30" i="27" s="1"/>
  <c r="K30" i="27" s="1"/>
  <c r="O30" i="27" s="1"/>
  <c r="F30" i="27"/>
  <c r="G30" i="27" s="1"/>
  <c r="H29" i="27"/>
  <c r="J29" i="27" s="1"/>
  <c r="K29" i="27" s="1"/>
  <c r="O29" i="27" s="1"/>
  <c r="F29" i="27"/>
  <c r="H28" i="27"/>
  <c r="J28" i="27" s="1"/>
  <c r="K28" i="27" s="1"/>
  <c r="O28" i="27" s="1"/>
  <c r="F28" i="27"/>
  <c r="G28" i="27" s="1"/>
  <c r="H27" i="27"/>
  <c r="J27" i="27" s="1"/>
  <c r="K27" i="27" s="1"/>
  <c r="O27" i="27" s="1"/>
  <c r="F27" i="27"/>
  <c r="G27" i="27" s="1"/>
  <c r="H26" i="27"/>
  <c r="J26" i="27" s="1"/>
  <c r="K26" i="27" s="1"/>
  <c r="O26" i="27" s="1"/>
  <c r="F26" i="27"/>
  <c r="G26" i="27" s="1"/>
  <c r="H25" i="27"/>
  <c r="F25" i="27"/>
  <c r="G25" i="27" s="1"/>
  <c r="H24" i="27"/>
  <c r="J24" i="27" s="1"/>
  <c r="K24" i="27" s="1"/>
  <c r="O24" i="27" s="1"/>
  <c r="F24" i="27"/>
  <c r="G24" i="27" s="1"/>
  <c r="H23" i="27"/>
  <c r="J23" i="27" s="1"/>
  <c r="K23" i="27" s="1"/>
  <c r="O23" i="27" s="1"/>
  <c r="F23" i="27"/>
  <c r="G23" i="27" s="1"/>
  <c r="H22" i="27"/>
  <c r="J22" i="27" s="1"/>
  <c r="K22" i="27" s="1"/>
  <c r="O22" i="27" s="1"/>
  <c r="G22" i="27"/>
  <c r="F22" i="27"/>
  <c r="H21" i="27"/>
  <c r="F21" i="27"/>
  <c r="G16" i="27"/>
  <c r="F16" i="27"/>
  <c r="E16" i="27"/>
  <c r="D16" i="27"/>
  <c r="C16" i="27"/>
  <c r="E44" i="6"/>
  <c r="F21" i="6"/>
  <c r="G21" i="6" s="1"/>
  <c r="H29" i="6"/>
  <c r="J21" i="6" l="1"/>
  <c r="M21" i="6" s="1"/>
  <c r="E35" i="27"/>
  <c r="E42" i="27"/>
  <c r="E38" i="27"/>
  <c r="E39" i="27"/>
  <c r="J40" i="27"/>
  <c r="K40" i="27" s="1"/>
  <c r="O40" i="27" s="1"/>
  <c r="J37" i="27"/>
  <c r="K37" i="27" s="1"/>
  <c r="O37" i="27" s="1"/>
  <c r="L21" i="6"/>
  <c r="K21" i="6"/>
  <c r="J64" i="27"/>
  <c r="K64" i="27" s="1"/>
  <c r="O64" i="27" s="1"/>
  <c r="J79" i="27"/>
  <c r="K79" i="27" s="1"/>
  <c r="O79" i="27" s="1"/>
  <c r="E64" i="27"/>
  <c r="E65" i="27"/>
  <c r="E69" i="27"/>
  <c r="G70" i="27"/>
  <c r="G75" i="27"/>
  <c r="J78" i="27"/>
  <c r="K78" i="27" s="1"/>
  <c r="O78" i="27" s="1"/>
  <c r="J70" i="27"/>
  <c r="K70" i="27" s="1"/>
  <c r="O70" i="27" s="1"/>
  <c r="G74" i="27"/>
  <c r="G61" i="27"/>
  <c r="E57" i="27"/>
  <c r="E55" i="27"/>
  <c r="J61" i="27"/>
  <c r="K61" i="27" s="1"/>
  <c r="O61" i="27" s="1"/>
  <c r="G68" i="27"/>
  <c r="J65" i="27"/>
  <c r="K65" i="27" s="1"/>
  <c r="O65" i="27" s="1"/>
  <c r="G60" i="27"/>
  <c r="J68" i="27"/>
  <c r="K68" i="27" s="1"/>
  <c r="O68" i="27" s="1"/>
  <c r="E43" i="27"/>
  <c r="E48" i="27"/>
  <c r="E49" i="27"/>
  <c r="E50" i="27"/>
  <c r="E58" i="27"/>
  <c r="J53" i="27"/>
  <c r="K53" i="27" s="1"/>
  <c r="O53" i="27" s="1"/>
  <c r="E56" i="27"/>
  <c r="E47" i="27"/>
  <c r="G49" i="27"/>
  <c r="G53" i="27"/>
  <c r="E68" i="27"/>
  <c r="G69" i="27"/>
  <c r="E72" i="27"/>
  <c r="E67" i="27"/>
  <c r="J69" i="27"/>
  <c r="K69" i="27" s="1"/>
  <c r="O69" i="27" s="1"/>
  <c r="E71" i="27"/>
  <c r="E66" i="27"/>
  <c r="E70" i="27"/>
  <c r="G57" i="27"/>
  <c r="E61" i="27"/>
  <c r="E54" i="27"/>
  <c r="E60" i="27"/>
  <c r="E51" i="27"/>
  <c r="E52" i="27"/>
  <c r="E53" i="27"/>
  <c r="J57" i="27"/>
  <c r="K57" i="27" s="1"/>
  <c r="O57" i="27" s="1"/>
  <c r="E59" i="27"/>
  <c r="G41" i="27"/>
  <c r="J41" i="27"/>
  <c r="K41" i="27" s="1"/>
  <c r="O41" i="27" s="1"/>
  <c r="E44" i="27"/>
  <c r="E45" i="27"/>
  <c r="E46" i="27"/>
  <c r="J33" i="27"/>
  <c r="K33" i="27" s="1"/>
  <c r="O33" i="27" s="1"/>
  <c r="E36" i="27"/>
  <c r="E37" i="27"/>
  <c r="G33" i="27"/>
  <c r="J25" i="27"/>
  <c r="K25" i="27" s="1"/>
  <c r="O25" i="27" s="1"/>
  <c r="E30" i="27"/>
  <c r="E31" i="27"/>
  <c r="E34" i="27"/>
  <c r="E29" i="27"/>
  <c r="G29" i="27"/>
  <c r="G21" i="27"/>
  <c r="J21" i="27"/>
  <c r="L33" i="27" s="1"/>
  <c r="L46" i="27"/>
  <c r="M40" i="27" l="1"/>
  <c r="L25" i="27"/>
  <c r="M45" i="27"/>
  <c r="L38" i="27"/>
  <c r="L58" i="27"/>
  <c r="M26" i="27"/>
  <c r="M50" i="27"/>
  <c r="M33" i="27"/>
  <c r="L24" i="27"/>
  <c r="L27" i="27"/>
  <c r="M39" i="27"/>
  <c r="M29" i="27"/>
  <c r="M30" i="27"/>
  <c r="L23" i="27"/>
  <c r="M41" i="27"/>
  <c r="M46" i="27"/>
  <c r="K21" i="27"/>
  <c r="N77" i="27" s="1"/>
  <c r="Q77" i="27" s="1"/>
  <c r="L29" i="27"/>
  <c r="L34" i="27"/>
  <c r="L39" i="27"/>
  <c r="M35" i="27"/>
  <c r="L40" i="27"/>
  <c r="L49" i="27"/>
  <c r="M28" i="27"/>
  <c r="M21" i="27"/>
  <c r="L22" i="27"/>
  <c r="M24" i="27"/>
  <c r="M42" i="27"/>
  <c r="M47" i="27"/>
  <c r="M23" i="27"/>
  <c r="L30" i="27"/>
  <c r="L35" i="27"/>
  <c r="M31" i="27"/>
  <c r="M36" i="27"/>
  <c r="L41" i="27"/>
  <c r="L53" i="27"/>
  <c r="M22" i="27"/>
  <c r="M25" i="27"/>
  <c r="L21" i="27"/>
  <c r="M27" i="27"/>
  <c r="M43" i="27"/>
  <c r="M49" i="27"/>
  <c r="L26" i="27"/>
  <c r="L31" i="27"/>
  <c r="L37" i="27"/>
  <c r="M32" i="27"/>
  <c r="M37" i="27"/>
  <c r="L45" i="27"/>
  <c r="L54" i="27"/>
  <c r="M53" i="27"/>
  <c r="L28" i="27"/>
  <c r="L32" i="27"/>
  <c r="L36" i="27"/>
  <c r="M51" i="27"/>
  <c r="M34" i="27"/>
  <c r="M38" i="27"/>
  <c r="L42" i="27"/>
  <c r="L50" i="27"/>
  <c r="M54" i="27"/>
  <c r="M68" i="27"/>
  <c r="M61" i="27"/>
  <c r="M80" i="27"/>
  <c r="L66" i="27"/>
  <c r="M78" i="27"/>
  <c r="L74" i="27"/>
  <c r="M58" i="27"/>
  <c r="M79" i="27"/>
  <c r="M65" i="27"/>
  <c r="M77" i="27"/>
  <c r="L69" i="27"/>
  <c r="M69" i="27"/>
  <c r="M62" i="27"/>
  <c r="M71" i="27"/>
  <c r="L80" i="27"/>
  <c r="L62" i="27"/>
  <c r="L70" i="27"/>
  <c r="M67" i="27"/>
  <c r="L61" i="27"/>
  <c r="L77" i="27"/>
  <c r="M74" i="27"/>
  <c r="M64" i="27"/>
  <c r="L79" i="27"/>
  <c r="L57" i="27"/>
  <c r="L65" i="27"/>
  <c r="L73" i="27"/>
  <c r="L43" i="27"/>
  <c r="L47" i="27"/>
  <c r="M52" i="27"/>
  <c r="M66" i="27"/>
  <c r="M59" i="27"/>
  <c r="M57" i="27"/>
  <c r="M72" i="27"/>
  <c r="L75" i="27"/>
  <c r="L51" i="27"/>
  <c r="L55" i="27"/>
  <c r="L59" i="27"/>
  <c r="L63" i="27"/>
  <c r="L67" i="27"/>
  <c r="L71" i="27"/>
  <c r="M75" i="27"/>
  <c r="M44" i="27"/>
  <c r="M48" i="27"/>
  <c r="M56" i="27"/>
  <c r="M73" i="27"/>
  <c r="L44" i="27"/>
  <c r="L48" i="27"/>
  <c r="M55" i="27"/>
  <c r="M70" i="27"/>
  <c r="M63" i="27"/>
  <c r="M60" i="27"/>
  <c r="L76" i="27"/>
  <c r="M76" i="27"/>
  <c r="L52" i="27"/>
  <c r="L56" i="27"/>
  <c r="L60" i="27"/>
  <c r="L64" i="27"/>
  <c r="L68" i="27"/>
  <c r="L72" i="27"/>
  <c r="L78" i="27"/>
  <c r="N76" i="27"/>
  <c r="Q76" i="27" s="1"/>
  <c r="N73" i="27"/>
  <c r="Q73" i="27" s="1"/>
  <c r="N69" i="27"/>
  <c r="Q69" i="27" s="1"/>
  <c r="N65" i="27"/>
  <c r="Q65" i="27" s="1"/>
  <c r="N61" i="27"/>
  <c r="Q61" i="27" s="1"/>
  <c r="N75" i="27"/>
  <c r="Q75" i="27" s="1"/>
  <c r="N51" i="27"/>
  <c r="Q51" i="27" s="1"/>
  <c r="N24" i="27"/>
  <c r="Q24" i="27" s="1"/>
  <c r="N54" i="27"/>
  <c r="Q54" i="27" s="1"/>
  <c r="N31" i="27"/>
  <c r="Q31" i="27" s="1"/>
  <c r="N21" i="27"/>
  <c r="Q21" i="27" s="1"/>
  <c r="N28" i="27"/>
  <c r="Q28" i="27" s="1"/>
  <c r="N42" i="27"/>
  <c r="Q42" i="27" s="1"/>
  <c r="N36" i="27"/>
  <c r="Q36" i="27" s="1"/>
  <c r="N50" i="27"/>
  <c r="Q50" i="27" s="1"/>
  <c r="H83" i="6"/>
  <c r="H22" i="6"/>
  <c r="F22" i="6"/>
  <c r="F30" i="6"/>
  <c r="O21" i="27" l="1"/>
  <c r="N34" i="27"/>
  <c r="Q34" i="27" s="1"/>
  <c r="N25" i="27"/>
  <c r="Q25" i="27" s="1"/>
  <c r="N27" i="27"/>
  <c r="Q27" i="27" s="1"/>
  <c r="N62" i="27"/>
  <c r="Q62" i="27" s="1"/>
  <c r="N66" i="27"/>
  <c r="Q66" i="27" s="1"/>
  <c r="N70" i="27"/>
  <c r="Q70" i="27" s="1"/>
  <c r="N74" i="27"/>
  <c r="Q74" i="27" s="1"/>
  <c r="N80" i="27"/>
  <c r="Q80" i="27" s="1"/>
  <c r="N45" i="27"/>
  <c r="Q45" i="27" s="1"/>
  <c r="N35" i="27"/>
  <c r="Q35" i="27" s="1"/>
  <c r="N56" i="27"/>
  <c r="Q56" i="27" s="1"/>
  <c r="N38" i="27"/>
  <c r="Q38" i="27" s="1"/>
  <c r="N37" i="27"/>
  <c r="Q37" i="27" s="1"/>
  <c r="N39" i="27"/>
  <c r="Q39" i="27" s="1"/>
  <c r="N46" i="27"/>
  <c r="Q46" i="27" s="1"/>
  <c r="N48" i="27"/>
  <c r="Q48" i="27" s="1"/>
  <c r="N55" i="27"/>
  <c r="Q55" i="27" s="1"/>
  <c r="N59" i="27"/>
  <c r="Q59" i="27" s="1"/>
  <c r="N63" i="27"/>
  <c r="Q63" i="27" s="1"/>
  <c r="N67" i="27"/>
  <c r="Q67" i="27" s="1"/>
  <c r="N71" i="27"/>
  <c r="Q71" i="27" s="1"/>
  <c r="N78" i="27"/>
  <c r="Q78" i="27" s="1"/>
  <c r="N22" i="27"/>
  <c r="Q22" i="27" s="1"/>
  <c r="N33" i="27"/>
  <c r="Q33" i="27" s="1"/>
  <c r="N44" i="27"/>
  <c r="Q44" i="27" s="1"/>
  <c r="N58" i="27"/>
  <c r="Q58" i="27" s="1"/>
  <c r="N41" i="27"/>
  <c r="Q41" i="27" s="1"/>
  <c r="N29" i="27"/>
  <c r="Q29" i="27" s="1"/>
  <c r="N47" i="27"/>
  <c r="Q47" i="27" s="1"/>
  <c r="N26" i="27"/>
  <c r="Q26" i="27" s="1"/>
  <c r="N43" i="27"/>
  <c r="Q43" i="27" s="1"/>
  <c r="N32" i="27"/>
  <c r="Q32" i="27" s="1"/>
  <c r="N40" i="27"/>
  <c r="Q40" i="27" s="1"/>
  <c r="N23" i="27"/>
  <c r="Q23" i="27" s="1"/>
  <c r="N52" i="27"/>
  <c r="Q52" i="27" s="1"/>
  <c r="N30" i="27"/>
  <c r="Q30" i="27" s="1"/>
  <c r="N53" i="27"/>
  <c r="Q53" i="27" s="1"/>
  <c r="N49" i="27"/>
  <c r="Q49" i="27" s="1"/>
  <c r="N57" i="27"/>
  <c r="Q57" i="27" s="1"/>
  <c r="N79" i="27"/>
  <c r="Q79" i="27" s="1"/>
  <c r="N60" i="27"/>
  <c r="Q60" i="27" s="1"/>
  <c r="N64" i="27"/>
  <c r="Q64" i="27" s="1"/>
  <c r="N68" i="27"/>
  <c r="Q68" i="27" s="1"/>
  <c r="N72" i="27"/>
  <c r="Q72" i="27" s="1"/>
  <c r="P78" i="27"/>
  <c r="P74" i="27"/>
  <c r="P73" i="27"/>
  <c r="P72" i="27"/>
  <c r="P71" i="27"/>
  <c r="P70" i="27"/>
  <c r="P69" i="27"/>
  <c r="P68" i="27"/>
  <c r="P67" i="27"/>
  <c r="P66" i="27"/>
  <c r="P65" i="27"/>
  <c r="P64" i="27"/>
  <c r="P63" i="27"/>
  <c r="P62" i="27"/>
  <c r="P61" i="27"/>
  <c r="P60" i="27"/>
  <c r="P59" i="27"/>
  <c r="P58" i="27"/>
  <c r="P57" i="27"/>
  <c r="P56" i="27"/>
  <c r="P55" i="27"/>
  <c r="P54" i="27"/>
  <c r="P53" i="27"/>
  <c r="P52" i="27"/>
  <c r="P51" i="27"/>
  <c r="P79" i="27"/>
  <c r="P75" i="27"/>
  <c r="P80" i="27"/>
  <c r="P76" i="27"/>
  <c r="P77" i="27"/>
  <c r="P50" i="27"/>
  <c r="P49" i="27"/>
  <c r="P48" i="27"/>
  <c r="P47" i="27"/>
  <c r="P46" i="27"/>
  <c r="P45" i="27"/>
  <c r="P44" i="27"/>
  <c r="P43" i="27"/>
  <c r="P42" i="27"/>
  <c r="P41" i="27"/>
  <c r="P40" i="27"/>
  <c r="P39" i="27"/>
  <c r="P38" i="27"/>
  <c r="P37" i="27"/>
  <c r="P36" i="27"/>
  <c r="P35" i="27"/>
  <c r="P34" i="27"/>
  <c r="P33" i="27"/>
  <c r="P32" i="27"/>
  <c r="P31" i="27"/>
  <c r="P30" i="27"/>
  <c r="P29" i="27"/>
  <c r="P28" i="27"/>
  <c r="P27" i="27"/>
  <c r="P26" i="27"/>
  <c r="P22" i="27"/>
  <c r="P23" i="27"/>
  <c r="P25" i="27"/>
  <c r="P24" i="27"/>
  <c r="P21" i="27"/>
  <c r="N81" i="27"/>
  <c r="H82" i="6"/>
  <c r="F44" i="6" l="1"/>
  <c r="H92" i="6" l="1"/>
  <c r="H91" i="6"/>
  <c r="H90" i="6"/>
  <c r="H89" i="6"/>
  <c r="H88" i="6"/>
  <c r="H87" i="6"/>
  <c r="H86" i="6"/>
  <c r="H85" i="6"/>
  <c r="H84" i="6"/>
  <c r="H80" i="6"/>
  <c r="J80" i="6" s="1"/>
  <c r="K80" i="6" s="1"/>
  <c r="O80" i="6" s="1"/>
  <c r="F80" i="6"/>
  <c r="G80" i="6" s="1"/>
  <c r="H79" i="6"/>
  <c r="J79" i="6" s="1"/>
  <c r="K79" i="6" s="1"/>
  <c r="O79" i="6" s="1"/>
  <c r="F79" i="6"/>
  <c r="G79" i="6" s="1"/>
  <c r="H78" i="6"/>
  <c r="J78" i="6" s="1"/>
  <c r="K78" i="6" s="1"/>
  <c r="O78" i="6" s="1"/>
  <c r="F78" i="6"/>
  <c r="G78" i="6" s="1"/>
  <c r="H77" i="6"/>
  <c r="J77" i="6" s="1"/>
  <c r="K77" i="6" s="1"/>
  <c r="O77" i="6" s="1"/>
  <c r="F77" i="6"/>
  <c r="G77" i="6" s="1"/>
  <c r="H76" i="6"/>
  <c r="J76" i="6" s="1"/>
  <c r="K76" i="6" s="1"/>
  <c r="O76" i="6" s="1"/>
  <c r="F76" i="6"/>
  <c r="G76" i="6" s="1"/>
  <c r="H75" i="6"/>
  <c r="J75" i="6" s="1"/>
  <c r="K75" i="6" s="1"/>
  <c r="O75" i="6" s="1"/>
  <c r="F75" i="6"/>
  <c r="G75" i="6" s="1"/>
  <c r="H74" i="6"/>
  <c r="J74" i="6" s="1"/>
  <c r="K74" i="6" s="1"/>
  <c r="O74" i="6" s="1"/>
  <c r="F74" i="6"/>
  <c r="G74" i="6" s="1"/>
  <c r="E74" i="6"/>
  <c r="H73" i="6"/>
  <c r="J73" i="6" s="1"/>
  <c r="K73" i="6" s="1"/>
  <c r="O73" i="6" s="1"/>
  <c r="F73" i="6"/>
  <c r="G73" i="6" s="1"/>
  <c r="E73" i="6"/>
  <c r="H72" i="6"/>
  <c r="J72" i="6" s="1"/>
  <c r="K72" i="6" s="1"/>
  <c r="O72" i="6" s="1"/>
  <c r="F72" i="6"/>
  <c r="G72" i="6" s="1"/>
  <c r="E72" i="6"/>
  <c r="H71" i="6"/>
  <c r="J71" i="6" s="1"/>
  <c r="K71" i="6" s="1"/>
  <c r="O71" i="6" s="1"/>
  <c r="F71" i="6"/>
  <c r="G71" i="6" s="1"/>
  <c r="E71" i="6"/>
  <c r="H70" i="6"/>
  <c r="J70" i="6" s="1"/>
  <c r="K70" i="6" s="1"/>
  <c r="O70" i="6" s="1"/>
  <c r="F70" i="6"/>
  <c r="G70" i="6" s="1"/>
  <c r="E70" i="6"/>
  <c r="H69" i="6"/>
  <c r="F69" i="6"/>
  <c r="G69" i="6" s="1"/>
  <c r="E69" i="6"/>
  <c r="H68" i="6"/>
  <c r="J68" i="6" s="1"/>
  <c r="K68" i="6" s="1"/>
  <c r="O68" i="6" s="1"/>
  <c r="F68" i="6"/>
  <c r="G68" i="6" s="1"/>
  <c r="E68" i="6"/>
  <c r="H67" i="6"/>
  <c r="J67" i="6" s="1"/>
  <c r="K67" i="6" s="1"/>
  <c r="O67" i="6" s="1"/>
  <c r="F67" i="6"/>
  <c r="G67" i="6" s="1"/>
  <c r="E67" i="6"/>
  <c r="H66" i="6"/>
  <c r="J66" i="6" s="1"/>
  <c r="K66" i="6" s="1"/>
  <c r="O66" i="6" s="1"/>
  <c r="F66" i="6"/>
  <c r="G66" i="6" s="1"/>
  <c r="E66" i="6"/>
  <c r="H65" i="6"/>
  <c r="J65" i="6" s="1"/>
  <c r="K65" i="6" s="1"/>
  <c r="O65" i="6" s="1"/>
  <c r="F65" i="6"/>
  <c r="G65" i="6" s="1"/>
  <c r="E65" i="6"/>
  <c r="H64" i="6"/>
  <c r="J64" i="6" s="1"/>
  <c r="K64" i="6" s="1"/>
  <c r="O64" i="6" s="1"/>
  <c r="F64" i="6"/>
  <c r="G64" i="6" s="1"/>
  <c r="E64" i="6"/>
  <c r="H63" i="6"/>
  <c r="J63" i="6" s="1"/>
  <c r="K63" i="6" s="1"/>
  <c r="O63" i="6" s="1"/>
  <c r="F63" i="6"/>
  <c r="G63" i="6" s="1"/>
  <c r="E63" i="6"/>
  <c r="H62" i="6"/>
  <c r="J62" i="6" s="1"/>
  <c r="K62" i="6" s="1"/>
  <c r="O62" i="6" s="1"/>
  <c r="F62" i="6"/>
  <c r="G62" i="6" s="1"/>
  <c r="E62" i="6"/>
  <c r="H61" i="6"/>
  <c r="J61" i="6" s="1"/>
  <c r="K61" i="6" s="1"/>
  <c r="O61" i="6" s="1"/>
  <c r="F61" i="6"/>
  <c r="G61" i="6" s="1"/>
  <c r="E61" i="6"/>
  <c r="H60" i="6"/>
  <c r="J60" i="6" s="1"/>
  <c r="K60" i="6" s="1"/>
  <c r="O60" i="6" s="1"/>
  <c r="F60" i="6"/>
  <c r="G60" i="6" s="1"/>
  <c r="E60" i="6"/>
  <c r="H59" i="6"/>
  <c r="J59" i="6" s="1"/>
  <c r="K59" i="6" s="1"/>
  <c r="O59" i="6" s="1"/>
  <c r="F59" i="6"/>
  <c r="G59" i="6" s="1"/>
  <c r="E59" i="6"/>
  <c r="H58" i="6"/>
  <c r="J58" i="6" s="1"/>
  <c r="K58" i="6" s="1"/>
  <c r="O58" i="6" s="1"/>
  <c r="F58" i="6"/>
  <c r="G58" i="6" s="1"/>
  <c r="E58" i="6"/>
  <c r="H57" i="6"/>
  <c r="F57" i="6"/>
  <c r="G57" i="6" s="1"/>
  <c r="E57" i="6"/>
  <c r="H56" i="6"/>
  <c r="J56" i="6" s="1"/>
  <c r="K56" i="6" s="1"/>
  <c r="O56" i="6" s="1"/>
  <c r="F56" i="6"/>
  <c r="G56" i="6" s="1"/>
  <c r="E56" i="6"/>
  <c r="H55" i="6"/>
  <c r="J55" i="6" s="1"/>
  <c r="K55" i="6" s="1"/>
  <c r="O55" i="6" s="1"/>
  <c r="F55" i="6"/>
  <c r="G55" i="6" s="1"/>
  <c r="E55" i="6"/>
  <c r="H54" i="6"/>
  <c r="J54" i="6" s="1"/>
  <c r="K54" i="6" s="1"/>
  <c r="O54" i="6" s="1"/>
  <c r="F54" i="6"/>
  <c r="G54" i="6" s="1"/>
  <c r="E54" i="6"/>
  <c r="H53" i="6"/>
  <c r="J53" i="6" s="1"/>
  <c r="K53" i="6" s="1"/>
  <c r="O53" i="6" s="1"/>
  <c r="F53" i="6"/>
  <c r="G53" i="6" s="1"/>
  <c r="E53" i="6"/>
  <c r="H52" i="6"/>
  <c r="J52" i="6" s="1"/>
  <c r="K52" i="6" s="1"/>
  <c r="O52" i="6" s="1"/>
  <c r="F52" i="6"/>
  <c r="G52" i="6" s="1"/>
  <c r="E52" i="6"/>
  <c r="H51" i="6"/>
  <c r="J51" i="6" s="1"/>
  <c r="K51" i="6" s="1"/>
  <c r="O51" i="6" s="1"/>
  <c r="F51" i="6"/>
  <c r="G51" i="6" s="1"/>
  <c r="E51" i="6"/>
  <c r="H50" i="6"/>
  <c r="J50" i="6" s="1"/>
  <c r="K50" i="6" s="1"/>
  <c r="O50" i="6" s="1"/>
  <c r="F50" i="6"/>
  <c r="G50" i="6" s="1"/>
  <c r="E50" i="6"/>
  <c r="H49" i="6"/>
  <c r="J49" i="6" s="1"/>
  <c r="K49" i="6" s="1"/>
  <c r="O49" i="6" s="1"/>
  <c r="F49" i="6"/>
  <c r="G49" i="6" s="1"/>
  <c r="E49" i="6"/>
  <c r="H48" i="6"/>
  <c r="J48" i="6" s="1"/>
  <c r="K48" i="6" s="1"/>
  <c r="O48" i="6" s="1"/>
  <c r="F48" i="6"/>
  <c r="G48" i="6" s="1"/>
  <c r="E48" i="6"/>
  <c r="H47" i="6"/>
  <c r="J47" i="6" s="1"/>
  <c r="K47" i="6" s="1"/>
  <c r="O47" i="6" s="1"/>
  <c r="F47" i="6"/>
  <c r="G47" i="6" s="1"/>
  <c r="E47" i="6"/>
  <c r="H46" i="6"/>
  <c r="J46" i="6" s="1"/>
  <c r="K46" i="6" s="1"/>
  <c r="O46" i="6" s="1"/>
  <c r="F46" i="6"/>
  <c r="G46" i="6" s="1"/>
  <c r="E46" i="6"/>
  <c r="H45" i="6"/>
  <c r="F45" i="6"/>
  <c r="G45" i="6" s="1"/>
  <c r="E45" i="6"/>
  <c r="H44" i="6"/>
  <c r="J44" i="6" s="1"/>
  <c r="K44" i="6" s="1"/>
  <c r="O44" i="6" s="1"/>
  <c r="G44" i="6"/>
  <c r="H43" i="6"/>
  <c r="J43" i="6" s="1"/>
  <c r="K43" i="6" s="1"/>
  <c r="O43" i="6" s="1"/>
  <c r="F43" i="6"/>
  <c r="G43" i="6" s="1"/>
  <c r="E43" i="6"/>
  <c r="H42" i="6"/>
  <c r="J42" i="6" s="1"/>
  <c r="K42" i="6" s="1"/>
  <c r="O42" i="6" s="1"/>
  <c r="F42" i="6"/>
  <c r="G42" i="6" s="1"/>
  <c r="E42" i="6"/>
  <c r="H41" i="6"/>
  <c r="J41" i="6" s="1"/>
  <c r="K41" i="6" s="1"/>
  <c r="O41" i="6" s="1"/>
  <c r="F41" i="6"/>
  <c r="G41" i="6" s="1"/>
  <c r="E41" i="6"/>
  <c r="J40" i="6"/>
  <c r="K40" i="6" s="1"/>
  <c r="O40" i="6" s="1"/>
  <c r="G40" i="6"/>
  <c r="E40" i="6"/>
  <c r="H39" i="6"/>
  <c r="J39" i="6" s="1"/>
  <c r="K39" i="6" s="1"/>
  <c r="O39" i="6" s="1"/>
  <c r="F39" i="6"/>
  <c r="G39" i="6" s="1"/>
  <c r="E39" i="6"/>
  <c r="J38" i="6"/>
  <c r="K38" i="6" s="1"/>
  <c r="O38" i="6" s="1"/>
  <c r="F38" i="6"/>
  <c r="G38" i="6" s="1"/>
  <c r="H37" i="6"/>
  <c r="J37" i="6" s="1"/>
  <c r="K37" i="6" s="1"/>
  <c r="O37" i="6" s="1"/>
  <c r="F37" i="6"/>
  <c r="G37" i="6" s="1"/>
  <c r="H36" i="6"/>
  <c r="J36" i="6" s="1"/>
  <c r="K36" i="6" s="1"/>
  <c r="O36" i="6" s="1"/>
  <c r="F36" i="6"/>
  <c r="G36" i="6" s="1"/>
  <c r="J35" i="6"/>
  <c r="K35" i="6" s="1"/>
  <c r="O35" i="6" s="1"/>
  <c r="F35" i="6"/>
  <c r="G35" i="6" s="1"/>
  <c r="H34" i="6"/>
  <c r="J34" i="6" s="1"/>
  <c r="K34" i="6" s="1"/>
  <c r="O34" i="6" s="1"/>
  <c r="F34" i="6"/>
  <c r="G34" i="6" s="1"/>
  <c r="H33" i="6"/>
  <c r="F33" i="6"/>
  <c r="J32" i="6"/>
  <c r="K32" i="6" s="1"/>
  <c r="O32" i="6" s="1"/>
  <c r="F32" i="6"/>
  <c r="G32" i="6" s="1"/>
  <c r="H31" i="6"/>
  <c r="J31" i="6" s="1"/>
  <c r="K31" i="6" s="1"/>
  <c r="O31" i="6" s="1"/>
  <c r="F31" i="6"/>
  <c r="G31" i="6" s="1"/>
  <c r="H30" i="6"/>
  <c r="J30" i="6" s="1"/>
  <c r="K30" i="6" s="1"/>
  <c r="O30" i="6" s="1"/>
  <c r="G30" i="6"/>
  <c r="J29" i="6"/>
  <c r="K29" i="6" s="1"/>
  <c r="O29" i="6" s="1"/>
  <c r="F29" i="6"/>
  <c r="G29" i="6" s="1"/>
  <c r="J28" i="6"/>
  <c r="K28" i="6" s="1"/>
  <c r="O28" i="6" s="1"/>
  <c r="F28" i="6"/>
  <c r="G28" i="6" s="1"/>
  <c r="H27" i="6"/>
  <c r="J27" i="6" s="1"/>
  <c r="K27" i="6" s="1"/>
  <c r="O27" i="6" s="1"/>
  <c r="F27" i="6"/>
  <c r="G27" i="6" s="1"/>
  <c r="H26" i="6"/>
  <c r="J26" i="6" s="1"/>
  <c r="K26" i="6" s="1"/>
  <c r="O26" i="6" s="1"/>
  <c r="F26" i="6"/>
  <c r="G26" i="6" s="1"/>
  <c r="H25" i="6"/>
  <c r="J25" i="6" s="1"/>
  <c r="K25" i="6" s="1"/>
  <c r="O25" i="6" s="1"/>
  <c r="F25" i="6"/>
  <c r="G25" i="6" s="1"/>
  <c r="H24" i="6"/>
  <c r="J24" i="6" s="1"/>
  <c r="K24" i="6" s="1"/>
  <c r="O24" i="6" s="1"/>
  <c r="G24" i="6"/>
  <c r="F23" i="6"/>
  <c r="G23" i="6" s="1"/>
  <c r="J22" i="6"/>
  <c r="G22" i="6"/>
  <c r="G16" i="6"/>
  <c r="F16" i="6"/>
  <c r="E16" i="6"/>
  <c r="D16" i="6"/>
  <c r="C16" i="6"/>
  <c r="J33" i="6" l="1"/>
  <c r="K33" i="6" s="1"/>
  <c r="O33" i="6" s="1"/>
  <c r="D9" i="29"/>
  <c r="D11" i="29" s="1"/>
  <c r="D13" i="29" s="1"/>
  <c r="J23" i="6"/>
  <c r="K23" i="6" s="1"/>
  <c r="O23" i="6" s="1"/>
  <c r="C9" i="29"/>
  <c r="J45" i="6"/>
  <c r="K45" i="6" s="1"/>
  <c r="O45" i="6" s="1"/>
  <c r="E9" i="29"/>
  <c r="E11" i="29" s="1"/>
  <c r="E13" i="29" s="1"/>
  <c r="J57" i="6"/>
  <c r="K57" i="6" s="1"/>
  <c r="O57" i="6" s="1"/>
  <c r="F9" i="29"/>
  <c r="F11" i="29" s="1"/>
  <c r="F13" i="29" s="1"/>
  <c r="J69" i="6"/>
  <c r="K69" i="6" s="1"/>
  <c r="O69" i="6" s="1"/>
  <c r="G9" i="29"/>
  <c r="G11" i="29" s="1"/>
  <c r="G13" i="29" s="1"/>
  <c r="K22" i="6"/>
  <c r="L22" i="6"/>
  <c r="M46" i="6"/>
  <c r="M45" i="6"/>
  <c r="L35" i="6"/>
  <c r="L34" i="6"/>
  <c r="M29" i="6"/>
  <c r="M28" i="6"/>
  <c r="M22" i="6"/>
  <c r="O21" i="6"/>
  <c r="L47" i="6" l="1"/>
  <c r="L48" i="6"/>
  <c r="L29" i="6"/>
  <c r="M37" i="6"/>
  <c r="L39" i="6"/>
  <c r="L55" i="6"/>
  <c r="M53" i="6"/>
  <c r="M39" i="6"/>
  <c r="L40" i="6"/>
  <c r="L56" i="6"/>
  <c r="M54" i="6"/>
  <c r="M24" i="6"/>
  <c r="L30" i="6"/>
  <c r="M40" i="6"/>
  <c r="L43" i="6"/>
  <c r="L51" i="6"/>
  <c r="M41" i="6"/>
  <c r="M49" i="6"/>
  <c r="M57" i="6"/>
  <c r="L24" i="6"/>
  <c r="M32" i="6"/>
  <c r="L28" i="6"/>
  <c r="L25" i="6"/>
  <c r="M33" i="6"/>
  <c r="L31" i="6"/>
  <c r="L36" i="6"/>
  <c r="L44" i="6"/>
  <c r="L52" i="6"/>
  <c r="M42" i="6"/>
  <c r="M50" i="6"/>
  <c r="M58" i="6"/>
  <c r="M26" i="6"/>
  <c r="M30" i="6"/>
  <c r="M34" i="6"/>
  <c r="M23" i="6"/>
  <c r="L32" i="6"/>
  <c r="M36" i="6"/>
  <c r="L37" i="6"/>
  <c r="L41" i="6"/>
  <c r="L45" i="6"/>
  <c r="L49" i="6"/>
  <c r="L53" i="6"/>
  <c r="L57" i="6"/>
  <c r="M43" i="6"/>
  <c r="M47" i="6"/>
  <c r="M51" i="6"/>
  <c r="M55" i="6"/>
  <c r="M73" i="6"/>
  <c r="M25" i="6"/>
  <c r="L26" i="6"/>
  <c r="L23" i="6"/>
  <c r="M27" i="6"/>
  <c r="M31" i="6"/>
  <c r="M35" i="6"/>
  <c r="L27" i="6"/>
  <c r="L33" i="6"/>
  <c r="M38" i="6"/>
  <c r="L38" i="6"/>
  <c r="L42" i="6"/>
  <c r="L46" i="6"/>
  <c r="L50" i="6"/>
  <c r="L54" i="6"/>
  <c r="L58" i="6"/>
  <c r="M44" i="6"/>
  <c r="M48" i="6"/>
  <c r="M52" i="6"/>
  <c r="M56" i="6"/>
  <c r="M74" i="6"/>
  <c r="M65" i="6"/>
  <c r="L65" i="6"/>
  <c r="M66" i="6"/>
  <c r="L67" i="6"/>
  <c r="L61" i="6"/>
  <c r="M61" i="6"/>
  <c r="M69" i="6"/>
  <c r="L77" i="6"/>
  <c r="L73" i="6"/>
  <c r="L62" i="6"/>
  <c r="M62" i="6"/>
  <c r="M70" i="6"/>
  <c r="M78" i="6"/>
  <c r="M75" i="6"/>
  <c r="L59" i="6"/>
  <c r="M59" i="6"/>
  <c r="M63" i="6"/>
  <c r="M67" i="6"/>
  <c r="M71" i="6"/>
  <c r="L75" i="6"/>
  <c r="L79" i="6"/>
  <c r="L69" i="6"/>
  <c r="M77" i="6"/>
  <c r="L63" i="6"/>
  <c r="L60" i="6"/>
  <c r="L64" i="6"/>
  <c r="M60" i="6"/>
  <c r="M64" i="6"/>
  <c r="M68" i="6"/>
  <c r="M72" i="6"/>
  <c r="M76" i="6"/>
  <c r="M80" i="6"/>
  <c r="L71" i="6"/>
  <c r="M79" i="6"/>
  <c r="L68" i="6"/>
  <c r="L72" i="6"/>
  <c r="L76" i="6"/>
  <c r="L66" i="6"/>
  <c r="L70" i="6"/>
  <c r="L74" i="6"/>
  <c r="L78" i="6"/>
  <c r="I9" i="29"/>
  <c r="C11" i="29"/>
  <c r="L80" i="6"/>
  <c r="P21" i="6"/>
  <c r="O22" i="6"/>
  <c r="P37" i="6" s="1"/>
  <c r="N80" i="6"/>
  <c r="N81" i="6" s="1"/>
  <c r="N78" i="6"/>
  <c r="Q78" i="6" s="1"/>
  <c r="N76" i="6"/>
  <c r="Q76" i="6" s="1"/>
  <c r="N74" i="6"/>
  <c r="Q74" i="6" s="1"/>
  <c r="N73" i="6"/>
  <c r="Q73" i="6" s="1"/>
  <c r="N72" i="6"/>
  <c r="Q72" i="6" s="1"/>
  <c r="N71" i="6"/>
  <c r="Q71" i="6" s="1"/>
  <c r="N70" i="6"/>
  <c r="Q70" i="6" s="1"/>
  <c r="N69" i="6"/>
  <c r="Q69" i="6" s="1"/>
  <c r="N68" i="6"/>
  <c r="Q68" i="6" s="1"/>
  <c r="N67" i="6"/>
  <c r="Q67" i="6" s="1"/>
  <c r="N66" i="6"/>
  <c r="Q66" i="6" s="1"/>
  <c r="N65" i="6"/>
  <c r="Q65" i="6" s="1"/>
  <c r="N79" i="6"/>
  <c r="Q79" i="6" s="1"/>
  <c r="N77" i="6"/>
  <c r="Q77" i="6" s="1"/>
  <c r="N75" i="6"/>
  <c r="Q75" i="6" s="1"/>
  <c r="N64" i="6"/>
  <c r="Q64" i="6" s="1"/>
  <c r="N63" i="6"/>
  <c r="Q63" i="6" s="1"/>
  <c r="N62" i="6"/>
  <c r="Q62" i="6" s="1"/>
  <c r="N61" i="6"/>
  <c r="Q61" i="6" s="1"/>
  <c r="N60" i="6"/>
  <c r="Q60" i="6" s="1"/>
  <c r="N59" i="6"/>
  <c r="Q59" i="6" s="1"/>
  <c r="N58" i="6"/>
  <c r="Q58" i="6" s="1"/>
  <c r="N57" i="6"/>
  <c r="Q57" i="6" s="1"/>
  <c r="N56" i="6"/>
  <c r="Q56" i="6" s="1"/>
  <c r="N55" i="6"/>
  <c r="Q55" i="6" s="1"/>
  <c r="N54" i="6"/>
  <c r="Q54" i="6" s="1"/>
  <c r="N53" i="6"/>
  <c r="Q53" i="6" s="1"/>
  <c r="N52" i="6"/>
  <c r="Q52" i="6" s="1"/>
  <c r="N51" i="6"/>
  <c r="Q51" i="6" s="1"/>
  <c r="N50" i="6"/>
  <c r="Q50" i="6" s="1"/>
  <c r="N49" i="6"/>
  <c r="Q49" i="6" s="1"/>
  <c r="N48" i="6"/>
  <c r="Q48" i="6" s="1"/>
  <c r="N47" i="6"/>
  <c r="Q47" i="6" s="1"/>
  <c r="N46" i="6"/>
  <c r="Q46" i="6" s="1"/>
  <c r="N45" i="6"/>
  <c r="Q45" i="6" s="1"/>
  <c r="N44" i="6"/>
  <c r="Q44" i="6" s="1"/>
  <c r="N43" i="6"/>
  <c r="Q43" i="6" s="1"/>
  <c r="N42" i="6"/>
  <c r="Q42" i="6" s="1"/>
  <c r="N41" i="6"/>
  <c r="Q41" i="6" s="1"/>
  <c r="N40" i="6"/>
  <c r="Q40" i="6" s="1"/>
  <c r="N39" i="6"/>
  <c r="Q39" i="6" s="1"/>
  <c r="N38" i="6"/>
  <c r="Q38" i="6" s="1"/>
  <c r="N37" i="6"/>
  <c r="Q37" i="6" s="1"/>
  <c r="N36" i="6"/>
  <c r="Q36" i="6" s="1"/>
  <c r="N35" i="6"/>
  <c r="Q35" i="6" s="1"/>
  <c r="N34" i="6"/>
  <c r="Q34" i="6" s="1"/>
  <c r="N33" i="6"/>
  <c r="Q33" i="6" s="1"/>
  <c r="N32" i="6"/>
  <c r="Q32" i="6" s="1"/>
  <c r="N31" i="6"/>
  <c r="Q31" i="6" s="1"/>
  <c r="N30" i="6"/>
  <c r="Q30" i="6" s="1"/>
  <c r="N29" i="6"/>
  <c r="Q29" i="6" s="1"/>
  <c r="N24" i="6"/>
  <c r="Q24" i="6" s="1"/>
  <c r="N22" i="6"/>
  <c r="Q22" i="6" s="1"/>
  <c r="N25" i="6"/>
  <c r="Q25" i="6" s="1"/>
  <c r="N23" i="6"/>
  <c r="Q23" i="6" s="1"/>
  <c r="N21" i="6"/>
  <c r="Q21" i="6" s="1"/>
  <c r="N28" i="6"/>
  <c r="Q28" i="6" s="1"/>
  <c r="N27" i="6"/>
  <c r="Q27" i="6" s="1"/>
  <c r="N26" i="6"/>
  <c r="Q26" i="6" s="1"/>
  <c r="I11" i="29" l="1"/>
  <c r="C13" i="29"/>
  <c r="I13" i="29" s="1"/>
  <c r="P80" i="6"/>
  <c r="P78" i="6"/>
  <c r="P76" i="6"/>
  <c r="P74" i="6"/>
  <c r="P73" i="6"/>
  <c r="P72" i="6"/>
  <c r="P71" i="6"/>
  <c r="P70" i="6"/>
  <c r="P69" i="6"/>
  <c r="P68" i="6"/>
  <c r="P67" i="6"/>
  <c r="P66" i="6"/>
  <c r="P65" i="6"/>
  <c r="P64" i="6"/>
  <c r="P79" i="6"/>
  <c r="P77" i="6"/>
  <c r="P75" i="6"/>
  <c r="P63" i="6"/>
  <c r="P62" i="6"/>
  <c r="P61" i="6"/>
  <c r="P60" i="6"/>
  <c r="P59" i="6"/>
  <c r="P58" i="6"/>
  <c r="P57" i="6"/>
  <c r="P56" i="6"/>
  <c r="P55" i="6"/>
  <c r="P54" i="6"/>
  <c r="P53" i="6"/>
  <c r="P52" i="6"/>
  <c r="P51" i="6"/>
  <c r="P50" i="6"/>
  <c r="P49" i="6"/>
  <c r="P48" i="6"/>
  <c r="P47" i="6"/>
  <c r="P46" i="6"/>
  <c r="P45" i="6"/>
  <c r="P44" i="6"/>
  <c r="P43" i="6"/>
  <c r="P42" i="6"/>
  <c r="P41" i="6"/>
  <c r="P40" i="6"/>
  <c r="P39" i="6"/>
  <c r="P38" i="6"/>
  <c r="P36" i="6"/>
  <c r="P35" i="6"/>
  <c r="P34" i="6"/>
  <c r="P33" i="6"/>
  <c r="P32" i="6"/>
  <c r="P31" i="6"/>
  <c r="P30" i="6"/>
  <c r="P25" i="6"/>
  <c r="P23" i="6"/>
  <c r="P29" i="6"/>
  <c r="P28" i="6"/>
  <c r="P27" i="6"/>
  <c r="P26" i="6"/>
  <c r="P24" i="6"/>
  <c r="P22" i="6"/>
  <c r="Q80" i="6"/>
  <c r="H6" i="42"/>
  <c r="I6" i="42" l="1"/>
  <c r="H7" i="42"/>
  <c r="H15" i="42"/>
  <c r="H13" i="42" l="1"/>
  <c r="I13" i="42" s="1"/>
  <c r="H11" i="42"/>
  <c r="I11" i="42" s="1"/>
  <c r="H8" i="42"/>
  <c r="I8" i="42" s="1"/>
  <c r="H9" i="42"/>
  <c r="I9" i="42" s="1"/>
  <c r="H10" i="42"/>
  <c r="I10" i="42" s="1"/>
  <c r="H12" i="42"/>
  <c r="I12" i="42" s="1"/>
  <c r="H14" i="42"/>
  <c r="I14" i="42" s="1"/>
  <c r="I15" i="42"/>
  <c r="I7" i="42"/>
  <c r="I22" i="42" l="1"/>
  <c r="L7" i="42"/>
  <c r="L6" i="4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CARLOS NUEZ</author>
  </authors>
  <commentList>
    <comment ref="K3" authorId="0" shapeId="0" xr:uid="{3EF35D21-45BE-4157-8298-D089B0661BDE}">
      <text>
        <r>
          <rPr>
            <b/>
            <sz val="9"/>
            <color indexed="81"/>
            <rFont val="Tahoma"/>
            <family val="2"/>
          </rPr>
          <t>CARLOS NUEZ:</t>
        </r>
        <r>
          <rPr>
            <sz val="9"/>
            <color indexed="81"/>
            <rFont val="Tahoma"/>
            <family val="2"/>
          </rPr>
          <t xml:space="preserve">
https://www.icex.es/icex/es/navegacion-principal/todos-nuestros-servicios/informacion-de-mercados/paises/navegacion-principal/el-pais/informacion-economica-y-comercial/estructura-de-la-oferta/index.html?idPais=TZ</t>
        </r>
      </text>
    </comment>
    <comment ref="S4" authorId="0" shapeId="0" xr:uid="{C7CCA56F-8368-4B0B-A66B-2522A42F0C83}">
      <text>
        <r>
          <rPr>
            <b/>
            <sz val="9"/>
            <color indexed="81"/>
            <rFont val="Tahoma"/>
            <family val="2"/>
          </rPr>
          <t>CARLOS NUEZ:</t>
        </r>
        <r>
          <rPr>
            <sz val="9"/>
            <color indexed="81"/>
            <rFont val="Tahoma"/>
            <family val="2"/>
          </rPr>
          <t xml:space="preserve">
https://www.datosmundial.com/africa/tanzania/balance-energetico.php</t>
        </r>
      </text>
    </comment>
    <comment ref="A6" authorId="0" shapeId="0" xr:uid="{5DBA6C51-3FCE-49E9-93A8-6E320559AA6F}">
      <text>
        <r>
          <rPr>
            <b/>
            <sz val="9"/>
            <color indexed="81"/>
            <rFont val="Tahoma"/>
            <family val="2"/>
          </rPr>
          <t>CARLOS NUEZ:</t>
        </r>
        <r>
          <rPr>
            <sz val="9"/>
            <color indexed="81"/>
            <rFont val="Tahoma"/>
            <family val="2"/>
          </rPr>
          <t xml:space="preserve">
Expansión dice 936€</t>
        </r>
      </text>
    </comment>
    <comment ref="S6" authorId="0" shapeId="0" xr:uid="{0D3950D8-4E6C-4BBA-B43D-179E00387107}">
      <text>
        <r>
          <rPr>
            <b/>
            <sz val="9"/>
            <color indexed="81"/>
            <rFont val="Tahoma"/>
            <family val="2"/>
          </rPr>
          <t>CARLOS NUEZ:</t>
        </r>
        <r>
          <rPr>
            <sz val="9"/>
            <color indexed="81"/>
            <rFont val="Tahoma"/>
            <family val="2"/>
          </rPr>
          <t xml:space="preserve">
https://www.aa.com.tr/es/mundo/tanzania-el-pa%C3%ADs-con-la-mayor-deforestaci%C3%B3n-del-mundo-busca-producir-un-carb%C3%B3n-ecol%C3%B3gico/1900016#</t>
        </r>
      </text>
    </comment>
    <comment ref="Q7" authorId="0" shapeId="0" xr:uid="{600AE893-8A76-4EBB-A7CD-657AD9C1F216}">
      <text>
        <r>
          <rPr>
            <b/>
            <sz val="9"/>
            <color indexed="81"/>
            <rFont val="Tahoma"/>
            <family val="2"/>
          </rPr>
          <t>CARLOS NUEZ:</t>
        </r>
        <r>
          <rPr>
            <sz val="9"/>
            <color indexed="81"/>
            <rFont val="Tahoma"/>
            <family val="2"/>
          </rPr>
          <t xml:space="preserve">
(principal centro educativo)</t>
        </r>
      </text>
    </comment>
    <comment ref="O10" authorId="0" shapeId="0" xr:uid="{64B200AF-63CC-4DFE-8E7E-C23258C366F0}">
      <text>
        <r>
          <rPr>
            <b/>
            <sz val="9"/>
            <color indexed="81"/>
            <rFont val="Tahoma"/>
            <family val="2"/>
          </rPr>
          <t>CARLOS NUEZ:</t>
        </r>
        <r>
          <rPr>
            <sz val="9"/>
            <color indexed="81"/>
            <rFont val="Tahoma"/>
            <family val="2"/>
          </rPr>
          <t xml:space="preserve">
 parque nacional Serengueti, la zona de conservación de Ngorongoro, el parque nacional del Lago Manyara, la garganta de Olduvai, el parque nacional de Tarangire, el monte Kilimanjaro y el parque nacional Arusha en el monte Meru.</t>
        </r>
      </text>
    </comment>
    <comment ref="Q14" authorId="0" shapeId="0" xr:uid="{50AC7301-BB86-4AEB-A079-D5C90C8CA296}">
      <text>
        <r>
          <rPr>
            <b/>
            <sz val="9"/>
            <color indexed="81"/>
            <rFont val="Tahoma"/>
            <family val="2"/>
          </rPr>
          <t>CARLOS NUEZ:</t>
        </r>
        <r>
          <rPr>
            <sz val="9"/>
            <color indexed="81"/>
            <rFont val="Tahoma"/>
            <family val="2"/>
          </rPr>
          <t xml:space="preserve">
Famosa su facultad de agricultura</t>
        </r>
      </text>
    </comment>
    <comment ref="P15" authorId="0" shapeId="0" xr:uid="{DCE4BF5E-AB9A-4663-9804-8AFEA8C98869}">
      <text>
        <r>
          <rPr>
            <b/>
            <sz val="9"/>
            <color indexed="81"/>
            <rFont val="Tahoma"/>
            <family val="2"/>
          </rPr>
          <t>CARLOS NUEZ:</t>
        </r>
        <r>
          <rPr>
            <sz val="9"/>
            <color indexed="81"/>
            <rFont val="Tahoma"/>
            <family val="2"/>
          </rPr>
          <t xml:space="preserve">
(principal zona eduativa de la zona)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CARLOS NUEZ</author>
  </authors>
  <commentList>
    <comment ref="B7" authorId="0" shapeId="0" xr:uid="{4D7A18E8-D5FE-44B2-8981-72EE2DB18407}">
      <text>
        <r>
          <rPr>
            <b/>
            <sz val="9"/>
            <color indexed="81"/>
            <rFont val="Tahoma"/>
            <family val="2"/>
          </rPr>
          <t>CARLOS NUEZ:</t>
        </r>
        <r>
          <rPr>
            <sz val="9"/>
            <color indexed="81"/>
            <rFont val="Tahoma"/>
            <family val="2"/>
          </rPr>
          <t xml:space="preserve">
Optimista, crecimiento constante</t>
        </r>
      </text>
    </comment>
    <comment ref="K10" authorId="0" shapeId="0" xr:uid="{D7CC0B82-2B55-4037-BCE4-17A4A77C9B1A}">
      <text>
        <r>
          <rPr>
            <b/>
            <sz val="9"/>
            <color indexed="81"/>
            <rFont val="Tahoma"/>
            <family val="2"/>
          </rPr>
          <t>CARLOS NUEZ:</t>
        </r>
        <r>
          <rPr>
            <sz val="9"/>
            <color indexed="81"/>
            <rFont val="Tahoma"/>
            <family val="2"/>
          </rPr>
          <t xml:space="preserve">
Por no poder pagar los costes variables</t>
        </r>
      </text>
    </comment>
    <comment ref="B21" authorId="0" shapeId="0" xr:uid="{8F28AE10-0B8D-42EE-93A3-82E1A59461C6}">
      <text>
        <r>
          <rPr>
            <b/>
            <sz val="9"/>
            <color indexed="81"/>
            <rFont val="Tahoma"/>
            <family val="2"/>
          </rPr>
          <t>CARLOS NUEZ:</t>
        </r>
        <r>
          <rPr>
            <sz val="9"/>
            <color indexed="81"/>
            <rFont val="Tahoma"/>
            <family val="2"/>
          </rPr>
          <t xml:space="preserve">
Tendencia plana y ganancias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<sst xmlns="http://schemas.openxmlformats.org/spreadsheetml/2006/main" count="1849" uniqueCount="709">
  <si>
    <t>Sales</t>
  </si>
  <si>
    <t>JAN</t>
  </si>
  <si>
    <t>FEB</t>
  </si>
  <si>
    <t>MAR</t>
  </si>
  <si>
    <t>APR</t>
  </si>
  <si>
    <t>MAY</t>
  </si>
  <si>
    <t>JUN</t>
  </si>
  <si>
    <t>JUL</t>
  </si>
  <si>
    <t>AUG</t>
  </si>
  <si>
    <t>SEP</t>
  </si>
  <si>
    <t>OCT</t>
  </si>
  <si>
    <t>NOV</t>
  </si>
  <si>
    <t>DEC</t>
  </si>
  <si>
    <t>Total</t>
  </si>
  <si>
    <t>Year</t>
  </si>
  <si>
    <t>Month</t>
  </si>
  <si>
    <t>Forecast</t>
  </si>
  <si>
    <t>bias</t>
  </si>
  <si>
    <t>MSE</t>
  </si>
  <si>
    <t>MAD</t>
  </si>
  <si>
    <t>Percent Error</t>
  </si>
  <si>
    <t>MAPE</t>
  </si>
  <si>
    <t>TS</t>
  </si>
  <si>
    <t xml:space="preserve">p = 12 </t>
  </si>
  <si>
    <t>(even)</t>
  </si>
  <si>
    <t>SUMMARY OUTPUT</t>
  </si>
  <si>
    <t>Regression Statistics</t>
  </si>
  <si>
    <t>Multiple R</t>
  </si>
  <si>
    <t>R Square</t>
  </si>
  <si>
    <t>Adjusted R Square</t>
  </si>
  <si>
    <t>Standard Error</t>
  </si>
  <si>
    <t>Observations</t>
  </si>
  <si>
    <t>ANOVA</t>
  </si>
  <si>
    <t>df</t>
  </si>
  <si>
    <t>SS</t>
  </si>
  <si>
    <t>MS</t>
  </si>
  <si>
    <t>F</t>
  </si>
  <si>
    <t>Significance F</t>
  </si>
  <si>
    <t>Regression</t>
  </si>
  <si>
    <t>Residual</t>
  </si>
  <si>
    <t>Coefficients</t>
  </si>
  <si>
    <t>t Stat</t>
  </si>
  <si>
    <t>P-value</t>
  </si>
  <si>
    <t>Lower 95%</t>
  </si>
  <si>
    <t>Upper 95%</t>
  </si>
  <si>
    <t>Intercept</t>
  </si>
  <si>
    <t>X Variable 1</t>
  </si>
  <si>
    <t>Forecasts</t>
  </si>
  <si>
    <r>
      <t>Demand D</t>
    </r>
    <r>
      <rPr>
        <vertAlign val="subscript"/>
        <sz val="10"/>
        <rFont val="Arial"/>
        <family val="2"/>
      </rPr>
      <t>t</t>
    </r>
  </si>
  <si>
    <r>
      <t>Deseasonalized Demand D</t>
    </r>
    <r>
      <rPr>
        <vertAlign val="subscript"/>
        <sz val="10"/>
        <rFont val="Arial"/>
        <family val="2"/>
      </rPr>
      <t>t</t>
    </r>
  </si>
  <si>
    <r>
      <t xml:space="preserve"> D</t>
    </r>
    <r>
      <rPr>
        <vertAlign val="subscript"/>
        <sz val="10"/>
        <rFont val="Arial"/>
        <family val="2"/>
      </rPr>
      <t xml:space="preserve">t </t>
    </r>
    <r>
      <rPr>
        <sz val="10"/>
        <rFont val="Arial"/>
        <family val="2"/>
      </rPr>
      <t>(based on regression)</t>
    </r>
  </si>
  <si>
    <r>
      <t>Seasonal Factor S</t>
    </r>
    <r>
      <rPr>
        <vertAlign val="subscript"/>
        <sz val="10"/>
        <rFont val="Arial"/>
        <family val="2"/>
      </rPr>
      <t>t</t>
    </r>
  </si>
  <si>
    <r>
      <t>E</t>
    </r>
    <r>
      <rPr>
        <vertAlign val="subscript"/>
        <sz val="10"/>
        <rFont val="Arial"/>
        <family val="2"/>
      </rPr>
      <t>t</t>
    </r>
  </si>
  <si>
    <r>
      <t>A</t>
    </r>
    <r>
      <rPr>
        <vertAlign val="subscript"/>
        <sz val="10"/>
        <rFont val="Arial"/>
        <family val="2"/>
      </rPr>
      <t>t</t>
    </r>
  </si>
  <si>
    <t>Estimate of standard deviation of forecast error:</t>
  </si>
  <si>
    <t>Period</t>
  </si>
  <si>
    <t>Excersise 7-1: ABC Corporation</t>
  </si>
  <si>
    <t>Static Method for Forecasting</t>
  </si>
  <si>
    <t>Year 1</t>
  </si>
  <si>
    <t>Year 2</t>
  </si>
  <si>
    <t>Year 3</t>
  </si>
  <si>
    <t>Year 4</t>
  </si>
  <si>
    <t>Year 5</t>
  </si>
  <si>
    <t>Year 6</t>
  </si>
  <si>
    <t>Lower 95,0%</t>
  </si>
  <si>
    <t>Upper 95,0%</t>
  </si>
  <si>
    <t>Sacar deseasonalized demand</t>
  </si>
  <si>
    <t>Hacer una gráfica de la deseasonalized demand y hacer una regresión lineal para sacar el intercept y el slope</t>
  </si>
  <si>
    <t>sacar Dt</t>
  </si>
  <si>
    <t>Time es el periodo que en este ejercicio va de 1 a 60</t>
  </si>
  <si>
    <t>Sacar seasonal factor</t>
  </si>
  <si>
    <t>Sacar el forecast</t>
  </si>
  <si>
    <t>Forecast = (L+t*T)*average seasonal factor</t>
  </si>
  <si>
    <t>L</t>
  </si>
  <si>
    <t>t</t>
  </si>
  <si>
    <t>periodo</t>
  </si>
  <si>
    <t>T</t>
  </si>
  <si>
    <t>slope</t>
  </si>
  <si>
    <t>Average seasonal factor es la media del mismo mes para todos los años (ejemplo todos los eneros)</t>
  </si>
  <si>
    <t>p=periodicity</t>
  </si>
  <si>
    <t>ejemplo en un año p=12 meses</t>
  </si>
  <si>
    <t>cuatrimestral p=4</t>
  </si>
  <si>
    <t>dejar vacías dos arriba 2 abajo</t>
  </si>
  <si>
    <t>dejar vacías 6 arriba y 6 abajo</t>
  </si>
  <si>
    <t>Deseasonalizaed demand</t>
  </si>
  <si>
    <t>Seasonal Factor St</t>
  </si>
  <si>
    <t>Etiquetas de fila</t>
  </si>
  <si>
    <t>Total general</t>
  </si>
  <si>
    <t>(Todas)</t>
  </si>
  <si>
    <t>Promedio de Seasonal Factor St</t>
  </si>
  <si>
    <t>Picos de demanda en Agosto y Diciembre</t>
  </si>
  <si>
    <t>Artículo</t>
  </si>
  <si>
    <t>KN</t>
  </si>
  <si>
    <t>PRECIO</t>
  </si>
  <si>
    <t>Fact. Bruta</t>
  </si>
  <si>
    <t>P. Cost. KN</t>
  </si>
  <si>
    <t>M/Brut €</t>
  </si>
  <si>
    <t>M/Brut %</t>
  </si>
  <si>
    <t>Otros costes indirectos</t>
  </si>
  <si>
    <t>M/Net €</t>
  </si>
  <si>
    <t>M/Net %</t>
  </si>
  <si>
    <t>Total LOMO ATUN YF 2/3 SASHIM AHUMD C. 5 KG</t>
  </si>
  <si>
    <t>Total TACO ATUN YF (12X450) BB. FLT 10 PNC C ANO 26</t>
  </si>
  <si>
    <t>Total CALAMAR PATG RELLENO 10-12 (1X11) C.FANDI</t>
  </si>
  <si>
    <t>Total CALAMAR PATG TROC (6X850) MRM 15 C. FANDI  26</t>
  </si>
  <si>
    <t>Total TUBO C/REJ CAL PATG 12/14 (6X1) 0 B.MRM C.FANDI 71</t>
  </si>
  <si>
    <t>Total TUBO C/REJ CALAM. PATG 10/12 12X1 CB EMB 0 C.FANDI</t>
  </si>
  <si>
    <t>Total FTE DORADA 120/160 CP C. 5 KG 20</t>
  </si>
  <si>
    <t>Total FTE. HALIBUT (1X6) DP 10 C.ANONIMA</t>
  </si>
  <si>
    <t>Total COL. LANG. ARG. 20/40 PEL DEV (1X10)</t>
  </si>
  <si>
    <t>Total COL. LANG. ARG. 40/80 PEL DEV (4X3)</t>
  </si>
  <si>
    <t>Total LANGOSTINO ARG. 2 (6X2)</t>
  </si>
  <si>
    <t>Total LANGOSTINO ARG. 3 (6X2)</t>
  </si>
  <si>
    <t>Total FTE. LIMANDA 80/120 SP (1X6) 25</t>
  </si>
  <si>
    <t>Total FTE LUBINA 120/160 CP C. 5 KG 20</t>
  </si>
  <si>
    <t>Total FTE. LUBINA 160/200 (1X2,4) 20 C.ANONI T/F MRM</t>
  </si>
  <si>
    <t>Total MEJILLON  M/C 60/80 (1X6)</t>
  </si>
  <si>
    <t>Total MEJILLON 40/60 M/C (4X1) 10</t>
  </si>
  <si>
    <t>Total FTE. MZA. ARG. 2/4 SP CAJA 15 KG</t>
  </si>
  <si>
    <t>Total FTE. MZA. ARG. 4/6 SP CAJA 15 KG</t>
  </si>
  <si>
    <t>Total ROD. MZA. AUS. 90/140 (10X400) SK TQ MRM C ANO 26</t>
  </si>
  <si>
    <t>Total FTE. MZA. SUD. 2/4 SP (2X6,8) MSC</t>
  </si>
  <si>
    <t>Total LOMO MZA. SUD. 3/6 (10X400) E CARRE  0 C.ANON</t>
  </si>
  <si>
    <t>Total ROD. ESPADA 150/250 (10X900) BB MRM 10 C.ANON 62</t>
  </si>
  <si>
    <t>Total ROD. ESPADA 200/350 (1X4,8) 20 C.FANDI 15</t>
  </si>
  <si>
    <t>Total ANILLA POTA ARG. (10X500) BB NAT 10 C.ANONI 8</t>
  </si>
  <si>
    <t>Total ANILLA POTA ARG. 40/60 ROM (5X1) BB MARE C.ANON.</t>
  </si>
  <si>
    <t>Total TUBO POTA ARG. IQF (3X1,8) 10 C.ANO 8</t>
  </si>
  <si>
    <t>Total RABA POTON PAC IQF (1X6)  C.ANONIMA 26</t>
  </si>
  <si>
    <t>Total ROD. SALMON 150/270 (2X2.25) 5 MRM C.FANDI</t>
  </si>
  <si>
    <t>Total ALMEJA JAPÓNICA 60/80 0 C. (10X1)</t>
  </si>
  <si>
    <t>Total ALMEJA JAPONICA. 80/100(10X1)</t>
  </si>
  <si>
    <t>Total DORADA 200/300 ENT EVISC C. 5 KG 20</t>
  </si>
  <si>
    <t>Total DORADA 300/400 ENT EVISC C. 5 KG 20</t>
  </si>
  <si>
    <t>Total GALLO 3  G.SOL *BORDO</t>
  </si>
  <si>
    <t>Total GALLO 4 C.G.</t>
  </si>
  <si>
    <t>Total GALLO 5 C.G.</t>
  </si>
  <si>
    <t>Total GAMBA 10/30 PELADA 10X1 C.BONFRIG</t>
  </si>
  <si>
    <t>Total GAMBA 30/50 PELADA 10X1 C.BONFRIG</t>
  </si>
  <si>
    <t>Total GAMBA 50/70 PELADA 10X1 C.BONFRIG</t>
  </si>
  <si>
    <t>Total GAMBA PELADA 50/70 (5X1)</t>
  </si>
  <si>
    <t>Total GAMBA PELADA 70/100   (5X1)</t>
  </si>
  <si>
    <t>Total COL. LANGOSTINO VANNAMEI 31/35 (10X2,268)</t>
  </si>
  <si>
    <t>Total COLA LANG VANN (10X2) 40/50</t>
  </si>
  <si>
    <t>Total COLA LANG VANN (10X2) 50/60</t>
  </si>
  <si>
    <t>Total LANGOSTINO VANNAMEI 20/30 (2X10)</t>
  </si>
  <si>
    <t>Total LANGOSTINO VANNAMEI 30/40 (3X6)</t>
  </si>
  <si>
    <t>Total LUBINA 200/300 ENT EVISC C. 5 KG 20</t>
  </si>
  <si>
    <t>Total LUBINA 400/600 ENT EVISC C. 5 KG 20</t>
  </si>
  <si>
    <t>Total COL. RAPE 5 SP  1200 /1800</t>
  </si>
  <si>
    <t>Total COL. RAPE S/P 2000/3000</t>
  </si>
  <si>
    <t>Total COL. RAPE SP 800/1200  (HOSPT)</t>
  </si>
  <si>
    <t>Total ALA RAYA 1 SP C.G.</t>
  </si>
  <si>
    <t>Total ALA RAYA M SP</t>
  </si>
  <si>
    <t>Total RODABALLO 2000/3000</t>
  </si>
  <si>
    <t>Total RODABALLO 600/800</t>
  </si>
  <si>
    <t>Total ROSADA 3 ENV C.G.</t>
  </si>
  <si>
    <t>Total ROSADA 4 ENV C.G.</t>
  </si>
  <si>
    <t>Total SEPIA LIMPIA 1000/1500 (1X12) 15</t>
  </si>
  <si>
    <t>Total FTE. TILAPIA 140/200 SP (5X1) C. 5 KG</t>
  </si>
  <si>
    <t>Total PORC. TINTORERA S/P S/H 80/120  1X6</t>
  </si>
  <si>
    <t>Total VENTRESCA DE ATUN 1X6</t>
  </si>
  <si>
    <t>Total FTE. BACALAO +1000 CP PS (1X11) 10 C.FANDI BC</t>
  </si>
  <si>
    <t>Total FTE. BACALAO 1500/2000 CP GRANEL 10 C.FAND TF C4</t>
  </si>
  <si>
    <t>Total FTE. BACALAO ISLAND. 1000/1500 CP (1X11) 10 MSC</t>
  </si>
  <si>
    <t>Total FTE. BACALAO ISLAND. 500/1000 CP (1X11) 10 MSC</t>
  </si>
  <si>
    <t>Total LOMO BACALAO C/P 200/300 (6X2) ICEL.</t>
  </si>
  <si>
    <t>Total LOMO BACALAO C/P 300/400 (6X2) ICEL.</t>
  </si>
  <si>
    <t>Total BOGAVANTE (400/450) (1X5)</t>
  </si>
  <si>
    <t>Total BOGAVANTE (550/650) (1X5)</t>
  </si>
  <si>
    <t>Total BOGAVANTE (800/1000) (1X5)</t>
  </si>
  <si>
    <t>Total LENGUADO HOL.N.3 S/A (1X5)300/350</t>
  </si>
  <si>
    <t>Total LENGUADO HOL.N3 S/A(1X5) 275/325</t>
  </si>
  <si>
    <t>GASTOS</t>
  </si>
  <si>
    <t>5 tiendas</t>
  </si>
  <si>
    <t>salario</t>
  </si>
  <si>
    <t>MENSUALES</t>
  </si>
  <si>
    <t>Tenderos</t>
  </si>
  <si>
    <t>Cámara</t>
  </si>
  <si>
    <t xml:space="preserve">Dirección </t>
  </si>
  <si>
    <t>Administración</t>
  </si>
  <si>
    <t>Chóferes</t>
  </si>
  <si>
    <t>TOTAL SALARIOS + SS</t>
  </si>
  <si>
    <t>Amortización</t>
  </si>
  <si>
    <t>Tiendas</t>
  </si>
  <si>
    <t>Camión</t>
  </si>
  <si>
    <t>Coche</t>
  </si>
  <si>
    <t>Consumos</t>
  </si>
  <si>
    <t>Electricidad</t>
  </si>
  <si>
    <t>Gasóleo</t>
  </si>
  <si>
    <t>Desplazamientos</t>
  </si>
  <si>
    <t>Otros</t>
  </si>
  <si>
    <t>Reparaciones</t>
  </si>
  <si>
    <t>Instalaciones</t>
  </si>
  <si>
    <t>Otros C. Fijos</t>
  </si>
  <si>
    <t>Tasas</t>
  </si>
  <si>
    <t>Seguros</t>
  </si>
  <si>
    <t>Intereses</t>
  </si>
  <si>
    <t>Contabilidad</t>
  </si>
  <si>
    <t>Sociedad Matriz</t>
  </si>
  <si>
    <t>TOTAL COSTES MES</t>
  </si>
  <si>
    <t>COSTE INDIRECTO POR KG</t>
  </si>
  <si>
    <t>Año 1</t>
  </si>
  <si>
    <t>Año 2</t>
  </si>
  <si>
    <t>Año 3</t>
  </si>
  <si>
    <t>Año 4</t>
  </si>
  <si>
    <t>Año 5</t>
  </si>
  <si>
    <t>Volumen de ventas</t>
  </si>
  <si>
    <t>Margen Neto</t>
  </si>
  <si>
    <t>TOTAL</t>
  </si>
  <si>
    <t>kg</t>
  </si>
  <si>
    <t>€</t>
  </si>
  <si>
    <t>CASO 2</t>
  </si>
  <si>
    <t>Porcentaje de ventas</t>
  </si>
  <si>
    <t>En que momento requiere contratar a un chofer y un camión mas</t>
  </si>
  <si>
    <t>En que momento requiere despedir  un chofer</t>
  </si>
  <si>
    <t>En que momento cerramos una tienda</t>
  </si>
  <si>
    <t>En que momento abrimos tienda</t>
  </si>
  <si>
    <t>Proxima inversión</t>
  </si>
  <si>
    <t>por tienda</t>
  </si>
  <si>
    <t>*</t>
  </si>
  <si>
    <t>Hay pérdidas por debajo de</t>
  </si>
  <si>
    <t>NOTA</t>
  </si>
  <si>
    <t>No se contabilizan las compras no vendidas xq al ser pescado congelado se guarda para el mes siguiente.</t>
  </si>
  <si>
    <t>Se tendría en cuenta en inversión inicial?</t>
  </si>
  <si>
    <t>ROI</t>
  </si>
  <si>
    <t>Inversión incial</t>
  </si>
  <si>
    <t>En que momento pagamos dividendos</t>
  </si>
  <si>
    <t>Volumen Forecast</t>
  </si>
  <si>
    <t>Porcentaje Forecast</t>
  </si>
  <si>
    <t>Margen Forecast</t>
  </si>
  <si>
    <t>Ciudades</t>
  </si>
  <si>
    <t>Población</t>
  </si>
  <si>
    <t>Daar Es-Salam</t>
  </si>
  <si>
    <t>Distancia respecto DC</t>
  </si>
  <si>
    <t>Mwanza</t>
  </si>
  <si>
    <t>Zanzibar</t>
  </si>
  <si>
    <t>Arusha</t>
  </si>
  <si>
    <t>Mbeya</t>
  </si>
  <si>
    <t>Morogoro</t>
  </si>
  <si>
    <t>Tanga</t>
  </si>
  <si>
    <t>Dodoma</t>
  </si>
  <si>
    <t>Moshi Kilimanjaro</t>
  </si>
  <si>
    <t>-</t>
  </si>
  <si>
    <t>Tiempo</t>
  </si>
  <si>
    <t>Ciudad atravesada</t>
  </si>
  <si>
    <t>Morogoro y Dodoma</t>
  </si>
  <si>
    <t>Ferri</t>
  </si>
  <si>
    <t>Tanzania: Economía y demografía 2021 | datosmacro.com (expansion.com)</t>
  </si>
  <si>
    <t>PIB p.c. USD</t>
  </si>
  <si>
    <t>DC</t>
  </si>
  <si>
    <t>Supermercados</t>
  </si>
  <si>
    <t>LEJOS</t>
  </si>
  <si>
    <t>Primera criva</t>
  </si>
  <si>
    <t>Aeropuerto</t>
  </si>
  <si>
    <t>Hoteles (4*)</t>
  </si>
  <si>
    <t>Restaurantes 4* (+30 reseñas)</t>
  </si>
  <si>
    <t>Universidad</t>
  </si>
  <si>
    <t>Industria</t>
  </si>
  <si>
    <t>Producción energética</t>
  </si>
  <si>
    <t>Negocio principal</t>
  </si>
  <si>
    <t>Turismo</t>
  </si>
  <si>
    <t>Agricultura (arroz, caña de azucar)</t>
  </si>
  <si>
    <t>Colegios</t>
  </si>
  <si>
    <t>Agricultura (café, te, sisal, algodon)</t>
  </si>
  <si>
    <t>Petroleo, alimentación, textiles y mobiliario</t>
  </si>
  <si>
    <t>OK</t>
  </si>
  <si>
    <t>ANÁLISIS ECONÓMICO</t>
  </si>
  <si>
    <t>ANÁLISIS LOGÍSTICO</t>
  </si>
  <si>
    <t>Problemas climáticos</t>
  </si>
  <si>
    <t>Alta deforestación (+ alta del mundo) y alto uso de carbón (85% de la energía)</t>
  </si>
  <si>
    <t>puerta de acceso para el transporte de mercancías hacia otros seis países sin litoral del centro de África: Malawi, Zambia, República Democrática del Congo, Burundi, Ruanda y Uganda</t>
  </si>
  <si>
    <t>bien comunicado por vía aérea, dispone de 58 aeropuertos y más de 300 pequeñas pistas</t>
  </si>
  <si>
    <t>Puerto de gran tráfico (90% del comercio internacional), turismo, centro económico del país</t>
  </si>
  <si>
    <t>Energía geotermica</t>
  </si>
  <si>
    <t>4G</t>
  </si>
  <si>
    <t>2G y 3G (90% de la población accede a internet por el móvil.)</t>
  </si>
  <si>
    <t>El Índice de Gini de Tanzania, que mide la desigualdad en la distribución de la renta, en 2017 fue de 40,5 habiéndose incrementado desde 37,8 en 2011. Esto supone una distribución de la riqueza menos igualitaria. A efectos de comparación, este indicador es para España del 34,7 (2017), para Kenia del 40,8 (2015) y para Uganda del 42,8 (2016)</t>
  </si>
  <si>
    <t>Distribución de la riqueza</t>
  </si>
  <si>
    <t>INDICE DE DESARROLLO</t>
  </si>
  <si>
    <t>Segunda criva</t>
  </si>
  <si>
    <t>Páginas - Recomendación de viaje (exteriores.gob.es)</t>
  </si>
  <si>
    <t>Telecomunicaciones</t>
  </si>
  <si>
    <t>Agricultura</t>
  </si>
  <si>
    <t>Puerto y agricultura</t>
  </si>
  <si>
    <t>Estado vía de transporte</t>
  </si>
  <si>
    <t>Muy bien</t>
  </si>
  <si>
    <t>Por mar</t>
  </si>
  <si>
    <t>Buena</t>
  </si>
  <si>
    <t>Bebidas gaseadas (cerveza), Harina de cereales y pienso, mobiliario</t>
  </si>
  <si>
    <t>Administración y gobierno central</t>
  </si>
  <si>
    <t>Decente</t>
  </si>
  <si>
    <t>desviación cerca de Tanga</t>
  </si>
  <si>
    <t>POTENCIALES CLIENTES</t>
  </si>
  <si>
    <t>Hoteles, restaurantes, supermercados y ciudadanos</t>
  </si>
  <si>
    <t>Hoteles y restaurantes. Producto muy barato a ciudadanos.</t>
  </si>
  <si>
    <t>Poca demanda</t>
  </si>
  <si>
    <t>Si e implantar varias tiendas</t>
  </si>
  <si>
    <t>Envío bajo pedido</t>
  </si>
  <si>
    <t>Descartar salvo envío por pedido</t>
  </si>
  <si>
    <t>Tienda de producto barato</t>
  </si>
  <si>
    <t>&gt;</t>
  </si>
  <si>
    <t>En el momento que no podamos satisfacer la demanda y sea económicamente viable</t>
  </si>
  <si>
    <t xml:space="preserve">En el momento en que la rotación de producto sea superior al reabastecimiento de la misma durante 2 meses seguidos y </t>
  </si>
  <si>
    <t>Final de año un x% de beneficios</t>
  </si>
  <si>
    <t>Diferentes casos: en general, pérdidas durante 4 meses seguidos</t>
  </si>
  <si>
    <t>4 meses sin necesitar sus servicio por falta de demanda</t>
  </si>
  <si>
    <t>Planificación de compra inicial (por tienda)</t>
  </si>
  <si>
    <t>AÑADIR DESCANSOS CHOFERES</t>
  </si>
  <si>
    <t>TIEMPOS DE DESCARGA</t>
  </si>
  <si>
    <t>Tiempos de descanso</t>
  </si>
  <si>
    <t>metros cuadrados y facturación</t>
  </si>
  <si>
    <t>BUSCAR MÁS</t>
  </si>
  <si>
    <t>Suelen ser ciudades con más potencial</t>
  </si>
  <si>
    <t>Ver si los hoteles tienen restaurantes</t>
  </si>
  <si>
    <t>Incluídos lo de los hoteles</t>
  </si>
  <si>
    <t>class neighboring</t>
  </si>
  <si>
    <t>IDENTIFICAR ZONAS</t>
  </si>
  <si>
    <t>piscinas</t>
  </si>
  <si>
    <t>restaurantes</t>
  </si>
  <si>
    <t>IMPORTANTE, densidad de población</t>
  </si>
  <si>
    <t>cash and carry para oreca (MACRO)</t>
  </si>
  <si>
    <t>Si lo abres al publico la restauracion se queja por no tenr mismos precios</t>
  </si>
  <si>
    <t>formatos distintos</t>
  </si>
  <si>
    <t>Tienda/establecimiento para los hoteles</t>
  </si>
  <si>
    <t>estilo macro</t>
  </si>
  <si>
    <t>no hay nivel de renta</t>
  </si>
  <si>
    <t>muy lejos</t>
  </si>
  <si>
    <t>una vez se de por conocida por el pais la marca</t>
  </si>
  <si>
    <t>DUDA</t>
  </si>
  <si>
    <t>Crecimiento anual</t>
  </si>
  <si>
    <t xml:space="preserve">Concepto </t>
  </si>
  <si>
    <t>Producto</t>
  </si>
  <si>
    <t>Unidades</t>
  </si>
  <si>
    <t>Lugar de compra</t>
  </si>
  <si>
    <t>Transporte</t>
  </si>
  <si>
    <t>Precio transporte</t>
  </si>
  <si>
    <t>Vida útil</t>
  </si>
  <si>
    <t>Amortización anual</t>
  </si>
  <si>
    <t>Amacén</t>
  </si>
  <si>
    <t>Estanterías congelador</t>
  </si>
  <si>
    <t>Arcones congelador</t>
  </si>
  <si>
    <t>Mobiliario</t>
  </si>
  <si>
    <t>Apartado</t>
  </si>
  <si>
    <t>Iluminación</t>
  </si>
  <si>
    <t>VAT</t>
  </si>
  <si>
    <t xml:space="preserve"> Aranceles</t>
  </si>
  <si>
    <t>Impuestos</t>
  </si>
  <si>
    <t>IVI</t>
  </si>
  <si>
    <t>Climatización</t>
  </si>
  <si>
    <t>Estantería baja, estantería alta, mesas (cata y venta), silla y cristalera del dependiente/a</t>
  </si>
  <si>
    <t>Sistema de seguridad</t>
  </si>
  <si>
    <t>Decoración</t>
  </si>
  <si>
    <t>Ciberseguridad</t>
  </si>
  <si>
    <t>Página web</t>
  </si>
  <si>
    <t>Sistema informático robusto</t>
  </si>
  <si>
    <t>Software</t>
  </si>
  <si>
    <t>Hardware</t>
  </si>
  <si>
    <t>Subcontratado</t>
  </si>
  <si>
    <t>En precio</t>
  </si>
  <si>
    <t>Local</t>
  </si>
  <si>
    <t>Carretilla</t>
  </si>
  <si>
    <t>Material de oficina</t>
  </si>
  <si>
    <t>Material de limpieza</t>
  </si>
  <si>
    <t>Estanterías industriales</t>
  </si>
  <si>
    <t>Base rotatoria plastificadora de pallets</t>
  </si>
  <si>
    <t>416 442</t>
  </si>
  <si>
    <t>323 198 sbrbs</t>
  </si>
  <si>
    <t>cerca de Moshi</t>
  </si>
  <si>
    <t>Hoteles, restaurantes y ciudadanos.</t>
  </si>
  <si>
    <t>Distancia larga pero muy rentable</t>
  </si>
  <si>
    <t>En la primera ampliación del negocio establacer un segundo DC aquí</t>
  </si>
  <si>
    <t>principal centro turístico del país, agricultura, madera</t>
  </si>
  <si>
    <t>Precio TZ/kg</t>
  </si>
  <si>
    <t>Precio €/kg</t>
  </si>
  <si>
    <t>Nosotros</t>
  </si>
  <si>
    <t>Supermercado</t>
  </si>
  <si>
    <t>Supermercado local</t>
  </si>
  <si>
    <t>Año</t>
  </si>
  <si>
    <t>Importaciones (M€)</t>
  </si>
  <si>
    <t>Importaciones % del PIB</t>
  </si>
  <si>
    <t>Exportaciones (M€)</t>
  </si>
  <si>
    <t>Exportaciones % del PIB</t>
  </si>
  <si>
    <t>PIB (M€)</t>
  </si>
  <si>
    <t>Var PIB %</t>
  </si>
  <si>
    <t>PIB per cápita</t>
  </si>
  <si>
    <t>Variación PIB per cápita</t>
  </si>
  <si>
    <t>INCOME STATEMENT</t>
  </si>
  <si>
    <t>DATA</t>
  </si>
  <si>
    <t>Revenue</t>
  </si>
  <si>
    <t>Energy Billed Increase</t>
  </si>
  <si>
    <t>Energy PurCASHed increase</t>
  </si>
  <si>
    <t>Services</t>
  </si>
  <si>
    <t>Procurements</t>
  </si>
  <si>
    <t>Personal Expense Increase</t>
  </si>
  <si>
    <t>Contribution Margin</t>
  </si>
  <si>
    <t>Production fixed assets (% OC)</t>
  </si>
  <si>
    <t>Staff costs and operating expenses</t>
  </si>
  <si>
    <t>Receivables impairment</t>
  </si>
  <si>
    <t>Impairment loss on accounts receivable</t>
  </si>
  <si>
    <t>Capitalised operating expenses</t>
  </si>
  <si>
    <t>FA Depreciation (% Gross Profit Asset)</t>
  </si>
  <si>
    <t>EBITDA</t>
  </si>
  <si>
    <t>Finance Cost</t>
  </si>
  <si>
    <t>Depreciation and amortization charge</t>
  </si>
  <si>
    <t>EBIT</t>
  </si>
  <si>
    <t>Investment</t>
  </si>
  <si>
    <t>Finances cots (net)</t>
  </si>
  <si>
    <t>Income from non-current non-financial assets</t>
  </si>
  <si>
    <t>Tax</t>
  </si>
  <si>
    <t>Income tax</t>
  </si>
  <si>
    <t>PROFIT FOR THE YEAR</t>
  </si>
  <si>
    <t>Paymente PurCASHe Days</t>
  </si>
  <si>
    <t>Receipts Days</t>
  </si>
  <si>
    <t>Financial Debt Years</t>
  </si>
  <si>
    <t>EQUITY AND LIABILITIES</t>
  </si>
  <si>
    <t>Inventories</t>
  </si>
  <si>
    <t>No change</t>
  </si>
  <si>
    <t>EQUITY</t>
  </si>
  <si>
    <t>Share Capital</t>
  </si>
  <si>
    <t>Capital stock</t>
  </si>
  <si>
    <t>NO CHANGE</t>
  </si>
  <si>
    <t>Reserves</t>
  </si>
  <si>
    <t>RESERVE-1 + PROFIT-1</t>
  </si>
  <si>
    <t>Profit for the year</t>
  </si>
  <si>
    <t>NON CURRENT LIABILITIES</t>
  </si>
  <si>
    <t>Bank borrowings</t>
  </si>
  <si>
    <t>Finacial Debt Years</t>
  </si>
  <si>
    <t>CURRENT LIABILITIES</t>
  </si>
  <si>
    <t>Accounts payable for purchases and services</t>
  </si>
  <si>
    <t>PROCURMENT/PERIOD</t>
  </si>
  <si>
    <t>Short therm bank borrowings</t>
  </si>
  <si>
    <t>TOTAL SHAREHOLDER'S EQUITY AND LIABILITIES</t>
  </si>
  <si>
    <t>ASSETS</t>
  </si>
  <si>
    <t>NON-CURRENT ASSETS</t>
  </si>
  <si>
    <t>Property, plant and equipment</t>
  </si>
  <si>
    <t>PREVIOUS YEAR + INVESTMENT + CAPITALIZED OE</t>
  </si>
  <si>
    <t>PPE accumulated depreciation</t>
  </si>
  <si>
    <t>Net Fixed Assets</t>
  </si>
  <si>
    <t>CURRENT ASSETS</t>
  </si>
  <si>
    <t>TOTAL ASSETS- NON CURRENT ASSETS</t>
  </si>
  <si>
    <t>Trade and other receivables</t>
  </si>
  <si>
    <t>SALES/PERIOD</t>
  </si>
  <si>
    <t>Provisions</t>
  </si>
  <si>
    <t>Impairment loss</t>
  </si>
  <si>
    <t>Cash ad cash equivalents</t>
  </si>
  <si>
    <t>CURRENT ASSETS-(INVENTORIES + TRADES + PROVISIONS)</t>
  </si>
  <si>
    <t>TOTAL ASSETS</t>
  </si>
  <si>
    <t>TOTAL ASSETS = TOTAL SHAREHOLDER'S EQUITY AND LIABILITIES</t>
  </si>
  <si>
    <t>CASH FLOW STATEMENTS</t>
  </si>
  <si>
    <t>Net change in provisions</t>
  </si>
  <si>
    <t>Changes in working capital</t>
  </si>
  <si>
    <t>Changes in trade receivables</t>
  </si>
  <si>
    <t>Changes in other current assets</t>
  </si>
  <si>
    <t>Changes in accounts payable</t>
  </si>
  <si>
    <t>Changes in short therm debt</t>
  </si>
  <si>
    <t>BANK</t>
  </si>
  <si>
    <t>Changes in other current liabilities</t>
  </si>
  <si>
    <t>NET CASH FLOW FROM OPERATING ACTIVITIES</t>
  </si>
  <si>
    <t>Investments</t>
  </si>
  <si>
    <t>FIXED ASSETS INCREASE - CAPITALIZED OPERATING EXPENSES</t>
  </si>
  <si>
    <t>Changes in other non current liabilities</t>
  </si>
  <si>
    <t>Income from non current non financial assets</t>
  </si>
  <si>
    <t>NET CASH FLOW GENERATED FROM INVESTING ACTIVITIES</t>
  </si>
  <si>
    <t>FREE CASH FLOW</t>
  </si>
  <si>
    <t>Finance costs (net)</t>
  </si>
  <si>
    <t>Changes in Equity</t>
  </si>
  <si>
    <t>Changes in long term debt</t>
  </si>
  <si>
    <t>NET CASH FLOW FROM FINANCING ACTIVITIES</t>
  </si>
  <si>
    <t>NET CASH FLOW GENERATED IN THE PERIOD</t>
  </si>
  <si>
    <t>Net increase/decrease in cash</t>
  </si>
  <si>
    <t>CASH AT THE BEGINNING OF THE YEAR</t>
  </si>
  <si>
    <t>CASH AT THE END OF THE YEAR</t>
  </si>
  <si>
    <t>Camión 6T</t>
  </si>
  <si>
    <t>GASOLINA 1L</t>
  </si>
  <si>
    <r>
      <t>0.82 EUR </t>
    </r>
    <r>
      <rPr>
        <sz val="10"/>
        <color rgb="FF2C3E50"/>
        <rFont val="Lato"/>
        <family val="2"/>
      </rPr>
      <t>(0.70-0.88)</t>
    </r>
  </si>
  <si>
    <t>Internet (60 Mbps o más, sin límite de datos, Cable/ADSL)</t>
  </si>
  <si>
    <r>
      <t>50 EUR </t>
    </r>
    <r>
      <rPr>
        <sz val="10"/>
        <color rgb="FF2C3E50"/>
        <rFont val="Lato"/>
        <family val="2"/>
      </rPr>
      <t>(37-73)</t>
    </r>
  </si>
  <si>
    <t>Precio por metro cuadrado para comprar un apartamento en el centro de la ciudad</t>
  </si>
  <si>
    <r>
      <t>1,600 EUR </t>
    </r>
    <r>
      <rPr>
        <sz val="10"/>
        <color rgb="FF2C3E50"/>
        <rFont val="Lato"/>
        <family val="2"/>
      </rPr>
      <t>(723-4,400</t>
    </r>
  </si>
  <si>
    <t>Promedio mensual del salario neto (después de pagar impuestos)</t>
  </si>
  <si>
    <t>201 EUR</t>
  </si>
  <si>
    <t>Tasas de interés de hipoteca en porcentajes (%), anual</t>
  </si>
  <si>
    <r>
      <t>19.67% </t>
    </r>
    <r>
      <rPr>
        <sz val="10"/>
        <color rgb="FF2C3E50"/>
        <rFont val="Lato"/>
        <family val="2"/>
      </rPr>
      <t>(17.83% - 21.00%)</t>
    </r>
  </si>
  <si>
    <t>Precio</t>
  </si>
  <si>
    <t>Concepto</t>
  </si>
  <si>
    <t>Precio por metro cuadrado para comprar un apartamento fuera del centro</t>
  </si>
  <si>
    <r>
      <t>771 EUR </t>
    </r>
    <r>
      <rPr>
        <sz val="10"/>
        <color rgb="FF2C3E50"/>
        <rFont val="Lato"/>
        <family val="2"/>
      </rPr>
      <t>(553-1,100)</t>
    </r>
  </si>
  <si>
    <t>El precio de la gasolina en Tanzania es alrededor de</t>
  </si>
  <si>
    <t>Precio del combustible diesel en Tanzania es alrededor de</t>
  </si>
  <si>
    <t>12.6</t>
  </si>
  <si>
    <t>Dealing with construction permits</t>
  </si>
  <si>
    <t>Dealing with construction permits: Cost (% of Warehouse value)</t>
  </si>
  <si>
    <t>5.4</t>
  </si>
  <si>
    <t>Dealing with construction permits: Time (days)</t>
  </si>
  <si>
    <t>184.0</t>
  </si>
  <si>
    <t>Getting electricity</t>
  </si>
  <si>
    <t>Getting electricity: Cost to get electricity (% of income per capita) - Score</t>
  </si>
  <si>
    <t>91.5</t>
  </si>
  <si>
    <t>Getting electricity: Time (days) - Score</t>
  </si>
  <si>
    <t>62.2</t>
  </si>
  <si>
    <t>Paying taxes</t>
  </si>
  <si>
    <t>Other taxes (% of profits)</t>
  </si>
  <si>
    <t>5.7</t>
  </si>
  <si>
    <t>Paying taxes: Labor tax and contributions (% of profits)</t>
  </si>
  <si>
    <t>17.5</t>
  </si>
  <si>
    <t>Paying taxes: Profit tax (% of profits)</t>
  </si>
  <si>
    <t>20.8</t>
  </si>
  <si>
    <t>Paying taxes: Total tax and contribution rate (% of profit)</t>
  </si>
  <si>
    <t>43.8</t>
  </si>
  <si>
    <t>Paying taxes: Total tax and contribution rate (% of profit) - Score</t>
  </si>
  <si>
    <t>74.7</t>
  </si>
  <si>
    <t>Registering property</t>
  </si>
  <si>
    <t>Registering property: Cost (% of property value)</t>
  </si>
  <si>
    <t>5.2</t>
  </si>
  <si>
    <t>Trading across borders</t>
  </si>
  <si>
    <t>18.0</t>
  </si>
  <si>
    <t>Productos del mar</t>
  </si>
  <si>
    <t>25.0</t>
  </si>
  <si>
    <t>https://databank.worldbank.org/source/doing-business#</t>
  </si>
  <si>
    <t>https://www.numbeo.com/cost-of-living/in/Dar-Es-Salaam</t>
  </si>
  <si>
    <t>CONSUMOS</t>
  </si>
  <si>
    <t>KWh</t>
  </si>
  <si>
    <t>Instalación frigorifica (anual)</t>
  </si>
  <si>
    <r>
      <t>0,80</t>
    </r>
    <r>
      <rPr>
        <sz val="12"/>
        <color rgb="FF222222"/>
        <rFont val="Arial"/>
        <family val="2"/>
      </rPr>
      <t>(US$/litro</t>
    </r>
  </si>
  <si>
    <r>
      <t>0,87</t>
    </r>
    <r>
      <rPr>
        <sz val="12"/>
        <color rgb="FF222222"/>
        <rFont val="Arial"/>
        <family val="2"/>
      </rPr>
      <t>(US$/litro)</t>
    </r>
  </si>
  <si>
    <t>https://knoema.es/atlas/Rep%c3%bablica-Unida-de-Tanzania/topics/Econom%c3%ada/Inflaci%c3%b3n-y-Precios/Precio-de-la-gasolina</t>
  </si>
  <si>
    <t>FECHA</t>
  </si>
  <si>
    <t>VALOR</t>
  </si>
  <si>
    <t>CAMBIAR, %</t>
  </si>
  <si>
    <t>Índice de precios al consumo</t>
  </si>
  <si>
    <t>aprox</t>
  </si>
  <si>
    <t>Parking</t>
  </si>
  <si>
    <t>Propio o alquilar</t>
  </si>
  <si>
    <t>Instalación refrigerante</t>
  </si>
  <si>
    <t>Aislamiento cámara</t>
  </si>
  <si>
    <t>Edificación</t>
  </si>
  <si>
    <t>€/kg</t>
  </si>
  <si>
    <t>Pedido inicial</t>
  </si>
  <si>
    <t>Inversión inicial</t>
  </si>
  <si>
    <t>Tiendas (x4)</t>
  </si>
  <si>
    <t>Posicionamiento en google</t>
  </si>
  <si>
    <t>Diseño página web</t>
  </si>
  <si>
    <t>App móvil</t>
  </si>
  <si>
    <t>E-commerce</t>
  </si>
  <si>
    <t>Televisión</t>
  </si>
  <si>
    <t>Moviles</t>
  </si>
  <si>
    <t>Tablet</t>
  </si>
  <si>
    <t>Pantallas</t>
  </si>
  <si>
    <t>Ordenadores</t>
  </si>
  <si>
    <t>Microsoft Office</t>
  </si>
  <si>
    <t>Licencias SAP</t>
  </si>
  <si>
    <t>Base de datos</t>
  </si>
  <si>
    <t xml:space="preserve">Actualización Web con ofertas y noticias </t>
  </si>
  <si>
    <t>Actualización app</t>
  </si>
  <si>
    <t>Diseño App (apple store &amp; Android)</t>
  </si>
  <si>
    <t>Publicidad</t>
  </si>
  <si>
    <t>Redes sociales</t>
  </si>
  <si>
    <t>Carteles</t>
  </si>
  <si>
    <t>Folletos de plastico</t>
  </si>
  <si>
    <t>Precio suelo</t>
  </si>
  <si>
    <t>Price of electricity (US cents per kWh)</t>
  </si>
  <si>
    <t>US$/kWh</t>
  </si>
  <si>
    <t xml:space="preserve">Price of electricity </t>
  </si>
  <si>
    <t>Salarios</t>
  </si>
  <si>
    <t>Precio unitario</t>
  </si>
  <si>
    <t>Unidad de medida</t>
  </si>
  <si>
    <t>US$/litro</t>
  </si>
  <si>
    <t>Gasolina</t>
  </si>
  <si>
    <t>Diesel</t>
  </si>
  <si>
    <t>€ / m2</t>
  </si>
  <si>
    <t>Proveedor</t>
  </si>
  <si>
    <t>Precio instalación</t>
  </si>
  <si>
    <t>Limpieza</t>
  </si>
  <si>
    <t>€ / m</t>
  </si>
  <si>
    <t>Frecuencia (al mes)</t>
  </si>
  <si>
    <t>Instalación frigorífica</t>
  </si>
  <si>
    <t>&gt;&gt;</t>
  </si>
  <si>
    <t>Informática</t>
  </si>
  <si>
    <t>Acometida de agua y saneamiento</t>
  </si>
  <si>
    <t xml:space="preserve"> Acometida alimentación eléctrica</t>
  </si>
  <si>
    <t>€ / kW</t>
  </si>
  <si>
    <t>Acometida alimentación eléctrica</t>
  </si>
  <si>
    <t>Pintura, cristaleras, carteles (cartón o plástico), plantas (bambu), rótulo exterior y pegatinas en cristal</t>
  </si>
  <si>
    <t>Puerta seccional automática</t>
  </si>
  <si>
    <t>Puerta seccional</t>
  </si>
  <si>
    <t>Enchufes</t>
  </si>
  <si>
    <t>Lugar</t>
  </si>
  <si>
    <t>Potencia</t>
  </si>
  <si>
    <t>Frecuencia (de 24h)</t>
  </si>
  <si>
    <t>kWh</t>
  </si>
  <si>
    <t>Frigoríficos</t>
  </si>
  <si>
    <t>Puerta automática</t>
  </si>
  <si>
    <t>Internet</t>
  </si>
  <si>
    <t>Contrato wifi</t>
  </si>
  <si>
    <t>Tienda (x4)</t>
  </si>
  <si>
    <t>Importación Productos del mar</t>
  </si>
  <si>
    <t>NO SE DE QUÉ ES</t>
  </si>
  <si>
    <r>
      <t>19,67% </t>
    </r>
    <r>
      <rPr>
        <sz val="10"/>
        <color rgb="FF2C3E50"/>
        <rFont val="Lato"/>
        <family val="2"/>
      </rPr>
      <t>(17.83% - 21.00%)</t>
    </r>
  </si>
  <si>
    <t>Impuesto de sociedad</t>
  </si>
  <si>
    <t>NO LO ENCONTRÉ</t>
  </si>
  <si>
    <t xml:space="preserve">Amortización </t>
  </si>
  <si>
    <t>Instalación</t>
  </si>
  <si>
    <t>Costes mensuales</t>
  </si>
  <si>
    <t>Mantenimiento y reparación</t>
  </si>
  <si>
    <t>Media</t>
  </si>
  <si>
    <t>Varianza</t>
  </si>
  <si>
    <t>Muestra 1</t>
  </si>
  <si>
    <t>Muestra 2</t>
  </si>
  <si>
    <t>Muestra 3</t>
  </si>
  <si>
    <t>Muestra 4</t>
  </si>
  <si>
    <t>Muestra 5</t>
  </si>
  <si>
    <t>Muestra 6</t>
  </si>
  <si>
    <t>Muestra 7</t>
  </si>
  <si>
    <t>Muestra 8</t>
  </si>
  <si>
    <t>Media de hijos 4,5</t>
  </si>
  <si>
    <t>6,5 pers/casa</t>
  </si>
  <si>
    <t>6-8 kg / pers</t>
  </si>
  <si>
    <t>Población / m2</t>
  </si>
  <si>
    <t>Área (ha)</t>
  </si>
  <si>
    <t>Área (m2)</t>
  </si>
  <si>
    <t>Estimación población superior</t>
  </si>
  <si>
    <t>Estimación población inferior</t>
  </si>
  <si>
    <t>Demanda máxima anual superior (kg)</t>
  </si>
  <si>
    <t>Demanda máxima anual inferior (kg)</t>
  </si>
  <si>
    <t>CENTRO</t>
  </si>
  <si>
    <t>UPANGA EAST</t>
  </si>
  <si>
    <t>MASAKI</t>
  </si>
  <si>
    <t>OYSTER BAY</t>
  </si>
  <si>
    <t>DEMANDA</t>
  </si>
  <si>
    <t>7 KG / PERS · AÑO</t>
  </si>
  <si>
    <t>porcentaje sobre el total de alimentación</t>
  </si>
  <si>
    <t>En España</t>
  </si>
  <si>
    <t>En Tanzania</t>
  </si>
  <si>
    <t>Daar es salam</t>
  </si>
  <si>
    <t>En Daar es-Salaam</t>
  </si>
  <si>
    <t>Consumo per capita</t>
  </si>
  <si>
    <t>Daar es Salam clase media y alta</t>
  </si>
  <si>
    <t>Poblacion (k)</t>
  </si>
  <si>
    <t>PIB (k)</t>
  </si>
  <si>
    <t>Consumo producto congelado (k)</t>
  </si>
  <si>
    <t>Población (k)</t>
  </si>
  <si>
    <t>Demanda max (€)</t>
  </si>
  <si>
    <t>Demanda mín (€)</t>
  </si>
  <si>
    <t>Muestreo</t>
  </si>
  <si>
    <t>n</t>
  </si>
  <si>
    <t>Previsión Centro</t>
  </si>
  <si>
    <t>Demanda media</t>
  </si>
  <si>
    <t>Potencial de mercado</t>
  </si>
  <si>
    <t>p = 6</t>
  </si>
  <si>
    <t>Predicción = Porcentajes de población * Potencial de mercado</t>
  </si>
  <si>
    <t>Estadísticas de la regresión</t>
  </si>
  <si>
    <t>Coeficiente de correlación múltiple</t>
  </si>
  <si>
    <t>Coeficiente de determinación R^2</t>
  </si>
  <si>
    <t>R^2  ajustado</t>
  </si>
  <si>
    <t>Error típico</t>
  </si>
  <si>
    <t>Observaciones</t>
  </si>
  <si>
    <t>ANÁLISIS DE VARIANZA</t>
  </si>
  <si>
    <t>Regresión</t>
  </si>
  <si>
    <t>Residuos</t>
  </si>
  <si>
    <t>Intercepción</t>
  </si>
  <si>
    <t>Grados de libertad</t>
  </si>
  <si>
    <t>Suma de cuadrados</t>
  </si>
  <si>
    <t>Promedio de los cuadrados</t>
  </si>
  <si>
    <t>Valor crítico de F</t>
  </si>
  <si>
    <t>Coeficientes</t>
  </si>
  <si>
    <t>Estadístico t</t>
  </si>
  <si>
    <t>Probabilidad</t>
  </si>
  <si>
    <t>Inferior 95%</t>
  </si>
  <si>
    <t>Superior 95%</t>
  </si>
  <si>
    <t>Inferior 95,0%</t>
  </si>
  <si>
    <t>Superior 95,0%</t>
  </si>
  <si>
    <t>Variable X 1</t>
  </si>
  <si>
    <t>Mes</t>
  </si>
  <si>
    <t>Yt</t>
  </si>
  <si>
    <t>Tt</t>
  </si>
  <si>
    <t>Ene</t>
  </si>
  <si>
    <t>Feb</t>
  </si>
  <si>
    <t>Mar</t>
  </si>
  <si>
    <t>Abr</t>
  </si>
  <si>
    <t>May</t>
  </si>
  <si>
    <t>Jun</t>
  </si>
  <si>
    <t>Jul</t>
  </si>
  <si>
    <t>Ago</t>
  </si>
  <si>
    <t>Sep</t>
  </si>
  <si>
    <t>Oct</t>
  </si>
  <si>
    <t>Nov</t>
  </si>
  <si>
    <t>Dic</t>
  </si>
  <si>
    <t>α</t>
  </si>
  <si>
    <t>β</t>
  </si>
  <si>
    <t>PRONÓSTICO</t>
  </si>
  <si>
    <t>Ft</t>
  </si>
  <si>
    <t>ME</t>
  </si>
  <si>
    <t>et</t>
  </si>
  <si>
    <t>et2</t>
  </si>
  <si>
    <t>consumo medio</t>
  </si>
  <si>
    <t>dimensionamiento tiendas</t>
  </si>
  <si>
    <t>27 kW</t>
  </si>
  <si>
    <t xml:space="preserve">ventas </t>
  </si>
  <si>
    <t>margen bruto</t>
  </si>
  <si>
    <t>Factor correlativo</t>
  </si>
  <si>
    <t>Matadepera (Barcelona)</t>
  </si>
  <si>
    <t>Pozuelo de Alarcón (Madrid)</t>
  </si>
  <si>
    <t>Boadilla del Monte (Madrid)</t>
  </si>
  <si>
    <t>Alcobendas (Madrid)</t>
  </si>
  <si>
    <t>Renta bruta media (Euros per cápita)</t>
  </si>
  <si>
    <t>Renta disponible media (Euros per cápita)</t>
  </si>
  <si>
    <t>86 422</t>
  </si>
  <si>
    <t>1886,8 kW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</si>
</sst>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6" formatCode="#,##0\ &quot;€&quot;;[Red]\-#,##0\ &quot;€&quot;"/>
    <numFmt numFmtId="8" formatCode="#,##0.00\ &quot;€&quot;;[Red]\-#,##0.00\ &quot;€&quot;"/>
    <numFmt numFmtId="44" formatCode="_-* #,##0.00\ &quot;€&quot;_-;\-* #,##0.00\ &quot;€&quot;_-;_-* &quot;-&quot;??\ &quot;€&quot;_-;_-@_-"/>
    <numFmt numFmtId="164" formatCode="#,##0.00000"/>
    <numFmt numFmtId="165" formatCode="0.000%"/>
    <numFmt numFmtId="166" formatCode="0.000000%"/>
    <numFmt numFmtId="167" formatCode="#,##0.00\ _€;[Red]#,##0.00\ _€"/>
    <numFmt numFmtId="168" formatCode="#,##0.00;[Red]#,##0.00"/>
    <numFmt numFmtId="169" formatCode="#,##0.000\ &quot;€&quot;;[Red]\-#,##0.000\ &quot;€&quot;"/>
    <numFmt numFmtId="170" formatCode="_-[$$-540A]* #,##0.000_ ;_-[$$-540A]* \-#,##0.000\ ;_-[$$-540A]* &quot;-&quot;??_ ;_-@_ "/>
    <numFmt numFmtId="171" formatCode="#,##0.0000"/>
  </numFmts>
  <fonts count="39" x14ac:knownFonts="1">
    <font>
      <sz val="10"/>
      <name val="Arial"/>
    </font>
    <font>
      <b/>
      <u/>
      <sz val="10"/>
      <name val="Arial"/>
      <family val="2"/>
    </font>
    <font>
      <b/>
      <sz val="10"/>
      <name val="Arial"/>
      <family val="2"/>
    </font>
    <font>
      <sz val="10"/>
      <name val="Arial"/>
      <family val="2"/>
    </font>
    <font>
      <vertAlign val="subscript"/>
      <sz val="10"/>
      <name val="Arial"/>
      <family val="2"/>
    </font>
    <font>
      <sz val="8"/>
      <name val="Arial"/>
      <family val="2"/>
    </font>
    <font>
      <i/>
      <sz val="10"/>
      <name val="Arial"/>
      <family val="2"/>
      <charset val="162"/>
    </font>
    <font>
      <sz val="10"/>
      <name val="Arial"/>
      <family val="2"/>
    </font>
    <font>
      <sz val="11"/>
      <color rgb="FFFF0000"/>
      <name val="Calibri"/>
      <family val="2"/>
      <scheme val="minor"/>
    </font>
    <font>
      <b/>
      <sz val="11"/>
      <color theme="1"/>
      <name val="Calibri"/>
      <family val="2"/>
      <scheme val="minor"/>
    </font>
    <font>
      <sz val="9"/>
      <color indexed="81"/>
      <name val="Tahoma"/>
      <family val="2"/>
    </font>
    <font>
      <b/>
      <sz val="9"/>
      <color indexed="81"/>
      <name val="Tahoma"/>
      <family val="2"/>
    </font>
    <font>
      <b/>
      <sz val="11"/>
      <color rgb="FFFF0000"/>
      <name val="Calibri"/>
      <family val="2"/>
      <scheme val="minor"/>
    </font>
    <font>
      <sz val="8"/>
      <name val="Arial"/>
      <family val="2"/>
    </font>
    <font>
      <sz val="10"/>
      <color rgb="FF1A252F"/>
      <name val="Segoe UI"/>
      <family val="2"/>
    </font>
    <font>
      <u/>
      <sz val="10"/>
      <color theme="10"/>
      <name val="Arial"/>
      <family val="2"/>
    </font>
    <font>
      <sz val="10"/>
      <color rgb="FFFF0000"/>
      <name val="Arial"/>
      <family val="2"/>
    </font>
    <font>
      <sz val="10"/>
      <color rgb="FFFFC000"/>
      <name val="Arial"/>
      <family val="2"/>
    </font>
    <font>
      <sz val="8"/>
      <color rgb="FF333333"/>
      <name val="Arial"/>
      <family val="2"/>
    </font>
    <font>
      <sz val="12"/>
      <color theme="1"/>
      <name val="Calibri"/>
      <family val="2"/>
      <scheme val="minor"/>
    </font>
    <font>
      <sz val="9"/>
      <name val="Arial"/>
      <family val="2"/>
    </font>
    <font>
      <b/>
      <sz val="9"/>
      <color theme="1"/>
      <name val="Calibri"/>
      <family val="2"/>
      <scheme val="minor"/>
    </font>
    <font>
      <sz val="9"/>
      <color theme="1"/>
      <name val="Calibri"/>
      <family val="2"/>
      <scheme val="minor"/>
    </font>
    <font>
      <sz val="12"/>
      <color rgb="FF2C3E50"/>
      <name val="Lato"/>
      <family val="2"/>
    </font>
    <font>
      <sz val="10"/>
      <color rgb="FF2C3E50"/>
      <name val="Lato"/>
      <family val="2"/>
    </font>
    <font>
      <sz val="10"/>
      <color theme="0"/>
      <name val="Arial"/>
      <family val="2"/>
    </font>
    <font>
      <sz val="12"/>
      <color theme="0"/>
      <name val="Lato"/>
      <family val="2"/>
    </font>
    <font>
      <sz val="12"/>
      <color rgb="FF000000"/>
      <name val="Arial"/>
      <family val="2"/>
    </font>
    <font>
      <b/>
      <sz val="14"/>
      <color rgb="FF000000"/>
      <name val="Arial"/>
      <family val="2"/>
    </font>
    <font>
      <sz val="14"/>
      <name val="Arial"/>
      <family val="2"/>
    </font>
    <font>
      <sz val="14"/>
      <color rgb="FF000000"/>
      <name val="Arial"/>
      <family val="2"/>
    </font>
    <font>
      <sz val="16"/>
      <name val="Arial"/>
      <family val="2"/>
    </font>
    <font>
      <sz val="16"/>
      <color rgb="FF000000"/>
      <name val="Arial"/>
      <family val="2"/>
    </font>
    <font>
      <b/>
      <sz val="25"/>
      <color rgb="FF222222"/>
      <name val="Arial"/>
      <family val="2"/>
    </font>
    <font>
      <sz val="12"/>
      <color rgb="FF222222"/>
      <name val="Arial"/>
      <family val="2"/>
    </font>
    <font>
      <b/>
      <sz val="12"/>
      <color rgb="FF222240"/>
      <name val="Arial"/>
      <family val="2"/>
    </font>
    <font>
      <sz val="12"/>
      <color rgb="FF000000"/>
      <name val="Georgia"/>
      <family val="1"/>
    </font>
    <font>
      <i/>
      <sz val="10"/>
      <name val="Arial"/>
      <family val="2"/>
    </font>
    <font>
      <sz val="10"/>
      <name val="Calibri"/>
      <family val="2"/>
    </font>
  </fonts>
  <fills count="24">
    <fill>
      <patternFill patternType="none"/>
    </fill>
    <fill>
      <patternFill patternType="gray125"/>
    </fill>
    <fill>
      <patternFill patternType="solid">
        <fgColor indexed="40"/>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0"/>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FFF1E0"/>
        <bgColor indexed="64"/>
      </patternFill>
    </fill>
    <fill>
      <patternFill patternType="solid">
        <fgColor rgb="FFF0E4D3"/>
        <bgColor indexed="64"/>
      </patternFill>
    </fill>
    <fill>
      <patternFill patternType="solid">
        <fgColor theme="2"/>
        <bgColor indexed="64"/>
      </patternFill>
    </fill>
    <fill>
      <patternFill patternType="solid">
        <fgColor rgb="FFFFFFFF"/>
        <bgColor indexed="64"/>
      </patternFill>
    </fill>
    <fill>
      <patternFill patternType="solid">
        <fgColor rgb="FFF5F5F5"/>
        <bgColor indexed="64"/>
      </patternFill>
    </fill>
    <fill>
      <patternFill patternType="solid">
        <fgColor theme="6" tint="-0.249977111117893"/>
        <bgColor indexed="64"/>
      </patternFill>
    </fill>
    <fill>
      <patternFill patternType="solid">
        <fgColor rgb="FFF9F9F9"/>
        <bgColor indexed="64"/>
      </patternFill>
    </fill>
    <fill>
      <patternFill patternType="solid">
        <fgColor rgb="FFFFFFFF"/>
      </patternFill>
    </fill>
    <fill>
      <patternFill patternType="solid">
        <fgColor rgb="FFFEEAC0"/>
      </patternFill>
    </fill>
    <fill>
      <patternFill patternType="solid">
        <fgColor rgb="FFF0F0EC"/>
        <bgColor indexed="64"/>
      </patternFill>
    </fill>
    <fill>
      <patternFill patternType="solid">
        <fgColor rgb="FFFF0000"/>
        <bgColor indexed="64"/>
      </patternFill>
    </fill>
  </fills>
  <borders count="4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medium">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medium">
        <color rgb="FFB8B2AD"/>
      </left>
      <right/>
      <top style="medium">
        <color rgb="FFB8B2AD"/>
      </top>
      <bottom/>
      <diagonal/>
    </border>
    <border>
      <left/>
      <right/>
      <top style="medium">
        <color rgb="FFB8B2AD"/>
      </top>
      <bottom/>
      <diagonal/>
    </border>
    <border>
      <left/>
      <right style="medium">
        <color rgb="FFB8B2AD"/>
      </right>
      <top style="medium">
        <color rgb="FFB8B2AD"/>
      </top>
      <bottom/>
      <diagonal/>
    </border>
    <border>
      <left style="medium">
        <color rgb="FFB8B2AD"/>
      </left>
      <right/>
      <top style="medium">
        <color rgb="FFB8B2AD"/>
      </top>
      <bottom style="medium">
        <color rgb="FFB8B2AD"/>
      </bottom>
      <diagonal/>
    </border>
    <border>
      <left/>
      <right/>
      <top style="medium">
        <color rgb="FFB8B2AD"/>
      </top>
      <bottom style="medium">
        <color rgb="FFB8B2AD"/>
      </bottom>
      <diagonal/>
    </border>
    <border>
      <left/>
      <right style="medium">
        <color rgb="FFB8B2AD"/>
      </right>
      <top style="medium">
        <color rgb="FFB8B2AD"/>
      </top>
      <bottom style="medium">
        <color rgb="FFB8B2AD"/>
      </bottom>
      <diagonal/>
    </border>
    <border>
      <left style="medium">
        <color rgb="FFDDDDDD"/>
      </left>
      <right style="medium">
        <color rgb="FFDDDDDD"/>
      </right>
      <top style="medium">
        <color rgb="FFDDDDDD"/>
      </top>
      <bottom style="medium">
        <color rgb="FFDDDDDD"/>
      </bottom>
      <diagonal/>
    </border>
    <border>
      <left/>
      <right/>
      <top/>
      <bottom style="medium">
        <color rgb="FFDDDDDD"/>
      </bottom>
      <diagonal/>
    </border>
    <border>
      <left/>
      <right style="medium">
        <color rgb="FFDDDDDD"/>
      </right>
      <top/>
      <bottom style="medium">
        <color rgb="FFDDDDDD"/>
      </bottom>
      <diagonal/>
    </border>
    <border>
      <left style="thin">
        <color rgb="FFA9A9A9"/>
      </left>
      <right style="thin">
        <color rgb="FFA9A9A9"/>
      </right>
      <top style="thin">
        <color rgb="FFA9A9A9"/>
      </top>
      <bottom style="thin">
        <color rgb="FFA9A9A9"/>
      </bottom>
      <diagonal/>
    </border>
    <border>
      <left/>
      <right/>
      <top style="thin">
        <color rgb="FFA9A9A9"/>
      </top>
      <bottom style="thin">
        <color rgb="FFA9A9A9"/>
      </bottom>
      <diagonal/>
    </border>
    <border>
      <left/>
      <right/>
      <top style="thin">
        <color rgb="FFA9A9A9"/>
      </top>
      <bottom/>
      <diagonal/>
    </border>
    <border>
      <left/>
      <right/>
      <top/>
      <bottom style="thin">
        <color rgb="FFA9A9A9"/>
      </bottom>
      <diagonal/>
    </border>
    <border>
      <left/>
      <right/>
      <top style="medium">
        <color rgb="FFDDDDDD"/>
      </top>
      <bottom/>
      <diagonal/>
    </border>
    <border>
      <left/>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s>
  <cellStyleXfs count="5">
    <xf numFmtId="0" fontId="0" fillId="0" borderId="0"/>
    <xf numFmtId="9" fontId="7" fillId="0" borderId="0" applyFont="0" applyFill="0" applyBorder="0" applyAlignment="0" applyProtection="0"/>
    <xf numFmtId="0" fontId="15" fillId="0" borderId="0" applyNumberFormat="0" applyFill="0" applyBorder="0" applyAlignment="0" applyProtection="0"/>
    <xf numFmtId="0" fontId="19" fillId="0" borderId="0"/>
    <xf numFmtId="44" fontId="7" fillId="0" borderId="0" applyFont="0" applyFill="0" applyBorder="0" applyAlignment="0" applyProtection="0"/>
  </cellStyleXfs>
  <cellXfs count="354">
    <xf numFmtId="0" fontId="0" fillId="0" borderId="0" xfId="0"/>
    <xf numFmtId="0" fontId="1" fillId="0" borderId="0" xfId="0" applyFont="1"/>
    <xf numFmtId="0" fontId="0" fillId="0" borderId="0" xfId="0" applyAlignment="1">
      <alignment horizontal="center"/>
    </xf>
    <xf numFmtId="2" fontId="0" fillId="0" borderId="0" xfId="0" applyNumberFormat="1"/>
    <xf numFmtId="0" fontId="2" fillId="0" borderId="1" xfId="0" applyFont="1" applyBorder="1"/>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xf numFmtId="0" fontId="0" fillId="0" borderId="0"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3" fillId="0" borderId="6" xfId="0" applyFont="1" applyBorder="1" applyAlignment="1">
      <alignment horizontal="center" wrapText="1"/>
    </xf>
    <xf numFmtId="0" fontId="0" fillId="0" borderId="0" xfId="0" applyBorder="1" applyAlignment="1">
      <alignment horizontal="center" wrapText="1"/>
    </xf>
    <xf numFmtId="2" fontId="3" fillId="0" borderId="6" xfId="0" applyNumberFormat="1" applyFont="1" applyBorder="1" applyAlignment="1">
      <alignment horizontal="center" wrapText="1"/>
    </xf>
    <xf numFmtId="0" fontId="0" fillId="0" borderId="0" xfId="0" applyAlignment="1">
      <alignment horizontal="center" wrapText="1"/>
    </xf>
    <xf numFmtId="0" fontId="3" fillId="0" borderId="7" xfId="0" applyFont="1" applyBorder="1" applyAlignment="1">
      <alignment horizontal="center"/>
    </xf>
    <xf numFmtId="1" fontId="3" fillId="0" borderId="7" xfId="0" applyNumberFormat="1" applyFont="1" applyBorder="1" applyAlignment="1">
      <alignment horizontal="center"/>
    </xf>
    <xf numFmtId="2" fontId="3" fillId="0" borderId="7" xfId="0" applyNumberFormat="1" applyFont="1" applyBorder="1" applyAlignment="1">
      <alignment horizontal="center"/>
    </xf>
    <xf numFmtId="1" fontId="0" fillId="0" borderId="7" xfId="0" applyNumberFormat="1" applyBorder="1" applyAlignment="1">
      <alignment horizontal="center"/>
    </xf>
    <xf numFmtId="1" fontId="0" fillId="0" borderId="0" xfId="0" applyNumberFormat="1" applyBorder="1" applyAlignment="1">
      <alignment horizontal="center"/>
    </xf>
    <xf numFmtId="2" fontId="0" fillId="0" borderId="7" xfId="0" applyNumberFormat="1" applyBorder="1" applyAlignment="1">
      <alignment horizontal="center"/>
    </xf>
    <xf numFmtId="0" fontId="2" fillId="0" borderId="0" xfId="0" applyFont="1"/>
    <xf numFmtId="0" fontId="3" fillId="0" borderId="10" xfId="0" applyFont="1" applyBorder="1" applyAlignment="1">
      <alignment horizontal="center"/>
    </xf>
    <xf numFmtId="1" fontId="3" fillId="0" borderId="10" xfId="0" applyNumberFormat="1" applyFont="1" applyBorder="1" applyAlignment="1">
      <alignment horizontal="center"/>
    </xf>
    <xf numFmtId="2" fontId="3" fillId="0" borderId="10" xfId="0" applyNumberFormat="1" applyFont="1" applyBorder="1" applyAlignment="1">
      <alignment horizontal="center"/>
    </xf>
    <xf numFmtId="1" fontId="0" fillId="0" borderId="10" xfId="0" applyNumberFormat="1" applyBorder="1" applyAlignment="1">
      <alignment horizontal="center"/>
    </xf>
    <xf numFmtId="2" fontId="0" fillId="0" borderId="10" xfId="0" applyNumberFormat="1" applyBorder="1" applyAlignment="1">
      <alignment horizontal="center"/>
    </xf>
    <xf numFmtId="0" fontId="0" fillId="0" borderId="11" xfId="0" applyBorder="1" applyAlignment="1">
      <alignment horizontal="center"/>
    </xf>
    <xf numFmtId="0" fontId="1" fillId="0" borderId="0" xfId="0" applyFont="1" applyAlignment="1">
      <alignment horizontal="center"/>
    </xf>
    <xf numFmtId="2" fontId="0" fillId="0" borderId="0" xfId="0" applyNumberFormat="1" applyAlignment="1">
      <alignment horizontal="center"/>
    </xf>
    <xf numFmtId="1" fontId="0" fillId="0" borderId="0" xfId="0" applyNumberFormat="1" applyFill="1" applyBorder="1" applyAlignment="1">
      <alignment horizontal="center"/>
    </xf>
    <xf numFmtId="2" fontId="0" fillId="0" borderId="0" xfId="0" applyNumberFormat="1" applyFill="1" applyBorder="1" applyAlignment="1">
      <alignment horizontal="center"/>
    </xf>
    <xf numFmtId="0" fontId="0" fillId="0" borderId="0" xfId="0" applyFill="1"/>
    <xf numFmtId="2" fontId="0" fillId="0" borderId="0" xfId="0" applyNumberFormat="1" applyFill="1"/>
    <xf numFmtId="1" fontId="5" fillId="0" borderId="0" xfId="0" applyNumberFormat="1" applyFont="1" applyFill="1" applyBorder="1" applyAlignment="1">
      <alignment horizontal="right"/>
    </xf>
    <xf numFmtId="1" fontId="0" fillId="0" borderId="12" xfId="0" applyNumberFormat="1" applyFill="1" applyBorder="1" applyAlignment="1">
      <alignment horizontal="center"/>
    </xf>
    <xf numFmtId="0" fontId="0" fillId="0" borderId="0" xfId="0" applyAlignment="1">
      <alignment horizontal="left"/>
    </xf>
    <xf numFmtId="0" fontId="3" fillId="2" borderId="6" xfId="0" applyFont="1" applyFill="1" applyBorder="1" applyAlignment="1">
      <alignment horizontal="center" wrapText="1"/>
    </xf>
    <xf numFmtId="0" fontId="3" fillId="0" borderId="6" xfId="0" applyFont="1" applyFill="1" applyBorder="1" applyAlignment="1">
      <alignment horizontal="center" wrapText="1"/>
    </xf>
    <xf numFmtId="0" fontId="3" fillId="0" borderId="7" xfId="0" applyFont="1" applyFill="1" applyBorder="1" applyAlignment="1">
      <alignment horizontal="center"/>
    </xf>
    <xf numFmtId="0" fontId="3" fillId="0" borderId="10" xfId="0" applyFont="1" applyFill="1" applyBorder="1" applyAlignment="1">
      <alignment horizontal="center"/>
    </xf>
    <xf numFmtId="0" fontId="0" fillId="0" borderId="11" xfId="0" applyFill="1" applyBorder="1" applyAlignment="1">
      <alignment horizontal="center"/>
    </xf>
    <xf numFmtId="0" fontId="0" fillId="0" borderId="7" xfId="0" applyFill="1" applyBorder="1" applyAlignment="1">
      <alignment horizontal="center"/>
    </xf>
    <xf numFmtId="0" fontId="0" fillId="0" borderId="10" xfId="0" applyFill="1" applyBorder="1" applyAlignment="1">
      <alignment horizontal="center"/>
    </xf>
    <xf numFmtId="0" fontId="0" fillId="0" borderId="0" xfId="0" applyFill="1" applyAlignment="1">
      <alignment horizontal="center"/>
    </xf>
    <xf numFmtId="0" fontId="2" fillId="0" borderId="0" xfId="0" applyFont="1" applyBorder="1"/>
    <xf numFmtId="0" fontId="2" fillId="0" borderId="0" xfId="0" applyFont="1" applyBorder="1" applyAlignment="1">
      <alignment horizontal="center"/>
    </xf>
    <xf numFmtId="0" fontId="3" fillId="0" borderId="11" xfId="0" applyFont="1" applyBorder="1" applyAlignment="1">
      <alignment horizontal="center"/>
    </xf>
    <xf numFmtId="0" fontId="0" fillId="3" borderId="0" xfId="0" applyFill="1"/>
    <xf numFmtId="0" fontId="0" fillId="3" borderId="0" xfId="0" applyFill="1" applyAlignment="1">
      <alignment horizontal="left"/>
    </xf>
    <xf numFmtId="0" fontId="3" fillId="3" borderId="6" xfId="0" applyFont="1" applyFill="1" applyBorder="1" applyAlignment="1">
      <alignment horizontal="center" wrapText="1"/>
    </xf>
    <xf numFmtId="0" fontId="0" fillId="3" borderId="6" xfId="0" applyFill="1" applyBorder="1" applyAlignment="1">
      <alignment horizontal="center" wrapText="1"/>
    </xf>
    <xf numFmtId="0" fontId="0" fillId="0" borderId="0" xfId="0" applyFill="1" applyBorder="1" applyAlignment="1"/>
    <xf numFmtId="0" fontId="0" fillId="0" borderId="9" xfId="0" applyFill="1" applyBorder="1" applyAlignment="1"/>
    <xf numFmtId="0" fontId="6" fillId="0" borderId="8" xfId="0" applyFont="1" applyFill="1" applyBorder="1" applyAlignment="1">
      <alignment horizontal="center"/>
    </xf>
    <xf numFmtId="0" fontId="6" fillId="0" borderId="8" xfId="0" applyFont="1" applyFill="1" applyBorder="1" applyAlignment="1">
      <alignment horizontal="centerContinuous"/>
    </xf>
    <xf numFmtId="0" fontId="0" fillId="3" borderId="0" xfId="0" applyFill="1" applyBorder="1" applyAlignment="1"/>
    <xf numFmtId="1" fontId="0" fillId="4" borderId="7" xfId="0" applyNumberFormat="1" applyFill="1" applyBorder="1" applyAlignment="1">
      <alignment horizontal="center"/>
    </xf>
    <xf numFmtId="0" fontId="3" fillId="0" borderId="0" xfId="0" applyFont="1"/>
    <xf numFmtId="0" fontId="3" fillId="0" borderId="14" xfId="0" applyFont="1" applyBorder="1"/>
    <xf numFmtId="0" fontId="0" fillId="0" borderId="0" xfId="0" applyFill="1" applyBorder="1" applyAlignment="1">
      <alignment horizontal="center"/>
    </xf>
    <xf numFmtId="0" fontId="0" fillId="0" borderId="5" xfId="0" applyFill="1" applyBorder="1" applyAlignment="1">
      <alignment horizontal="center"/>
    </xf>
    <xf numFmtId="0" fontId="0" fillId="0" borderId="0" xfId="0" pivotButton="1"/>
    <xf numFmtId="0" fontId="0" fillId="0" borderId="0" xfId="0" applyNumberFormat="1"/>
    <xf numFmtId="0" fontId="0" fillId="3" borderId="0" xfId="0" applyNumberFormat="1" applyFill="1"/>
    <xf numFmtId="0" fontId="0" fillId="0" borderId="16" xfId="0" applyBorder="1"/>
    <xf numFmtId="0" fontId="2" fillId="6" borderId="17" xfId="0" applyFont="1" applyFill="1" applyBorder="1" applyAlignment="1">
      <alignment horizontal="center" vertical="center"/>
    </xf>
    <xf numFmtId="3" fontId="2" fillId="7" borderId="18" xfId="0" applyNumberFormat="1" applyFont="1" applyFill="1" applyBorder="1" applyAlignment="1">
      <alignment horizontal="center" vertical="center"/>
    </xf>
    <xf numFmtId="4" fontId="2" fillId="7" borderId="6" xfId="0" applyNumberFormat="1" applyFont="1" applyFill="1" applyBorder="1" applyAlignment="1">
      <alignment horizontal="center" vertical="center" wrapText="1"/>
    </xf>
    <xf numFmtId="3" fontId="2" fillId="7" borderId="19" xfId="0" applyNumberFormat="1" applyFont="1" applyFill="1" applyBorder="1" applyAlignment="1">
      <alignment horizontal="center" vertical="center"/>
    </xf>
    <xf numFmtId="3" fontId="2" fillId="8" borderId="17" xfId="0" applyNumberFormat="1" applyFont="1" applyFill="1" applyBorder="1" applyAlignment="1">
      <alignment horizontal="center" vertical="center"/>
    </xf>
    <xf numFmtId="3" fontId="2" fillId="9" borderId="18" xfId="0" applyNumberFormat="1" applyFont="1" applyFill="1" applyBorder="1" applyAlignment="1">
      <alignment horizontal="center" vertical="center"/>
    </xf>
    <xf numFmtId="3" fontId="2" fillId="9" borderId="6" xfId="0" applyNumberFormat="1" applyFont="1" applyFill="1" applyBorder="1" applyAlignment="1">
      <alignment horizontal="center" vertical="center" wrapText="1"/>
    </xf>
    <xf numFmtId="3" fontId="2" fillId="8" borderId="6" xfId="0" applyNumberFormat="1" applyFont="1" applyFill="1" applyBorder="1" applyAlignment="1">
      <alignment horizontal="center" vertical="center" wrapText="1"/>
    </xf>
    <xf numFmtId="3" fontId="2" fillId="3" borderId="20" xfId="0" applyNumberFormat="1" applyFont="1" applyFill="1" applyBorder="1" applyAlignment="1">
      <alignment horizontal="center" vertical="center"/>
    </xf>
    <xf numFmtId="10" fontId="2" fillId="3" borderId="6" xfId="0" applyNumberFormat="1" applyFont="1" applyFill="1" applyBorder="1" applyAlignment="1">
      <alignment horizontal="center" vertical="center" wrapText="1"/>
    </xf>
    <xf numFmtId="3" fontId="0" fillId="0" borderId="0" xfId="0" applyNumberFormat="1" applyAlignment="1">
      <alignment horizontal="center"/>
    </xf>
    <xf numFmtId="4" fontId="0" fillId="0" borderId="0" xfId="0" applyNumberFormat="1" applyAlignment="1">
      <alignment horizontal="center"/>
    </xf>
    <xf numFmtId="4" fontId="8" fillId="0" borderId="0" xfId="0" applyNumberFormat="1" applyFont="1" applyAlignment="1">
      <alignment horizontal="center"/>
    </xf>
    <xf numFmtId="10" fontId="0" fillId="0" borderId="0" xfId="1" applyNumberFormat="1" applyFont="1" applyAlignment="1">
      <alignment horizontal="center"/>
    </xf>
    <xf numFmtId="3" fontId="8" fillId="0" borderId="0" xfId="0" applyNumberFormat="1" applyFont="1" applyAlignment="1">
      <alignment horizontal="center"/>
    </xf>
    <xf numFmtId="10" fontId="0" fillId="0" borderId="0" xfId="0" applyNumberFormat="1"/>
    <xf numFmtId="3" fontId="9" fillId="0" borderId="6" xfId="0" applyNumberFormat="1" applyFont="1" applyBorder="1" applyAlignment="1">
      <alignment horizontal="center"/>
    </xf>
    <xf numFmtId="3" fontId="9" fillId="0" borderId="0" xfId="0" applyNumberFormat="1" applyFont="1" applyAlignment="1">
      <alignment horizontal="center"/>
    </xf>
    <xf numFmtId="10" fontId="9" fillId="0" borderId="0" xfId="1" applyNumberFormat="1" applyFont="1" applyAlignment="1">
      <alignment horizontal="center"/>
    </xf>
    <xf numFmtId="3" fontId="12" fillId="0" borderId="6" xfId="0" applyNumberFormat="1" applyFont="1" applyBorder="1" applyAlignment="1">
      <alignment horizontal="center"/>
    </xf>
    <xf numFmtId="3" fontId="9" fillId="4" borderId="6" xfId="0" applyNumberFormat="1" applyFont="1" applyFill="1" applyBorder="1" applyAlignment="1">
      <alignment horizontal="center"/>
    </xf>
    <xf numFmtId="3" fontId="0" fillId="0" borderId="0" xfId="0" applyNumberFormat="1"/>
    <xf numFmtId="4" fontId="9" fillId="0" borderId="6" xfId="0" applyNumberFormat="1" applyFont="1" applyBorder="1" applyAlignment="1">
      <alignment horizontal="center"/>
    </xf>
    <xf numFmtId="3" fontId="0" fillId="0" borderId="0" xfId="0" applyNumberFormat="1" applyAlignment="1">
      <alignment horizontal="right"/>
    </xf>
    <xf numFmtId="20" fontId="0" fillId="0" borderId="0" xfId="0" applyNumberFormat="1"/>
    <xf numFmtId="4" fontId="0" fillId="0" borderId="11" xfId="0" applyNumberFormat="1" applyBorder="1" applyAlignment="1">
      <alignment horizontal="center"/>
    </xf>
    <xf numFmtId="4" fontId="0" fillId="0" borderId="7" xfId="0" applyNumberFormat="1" applyBorder="1" applyAlignment="1">
      <alignment horizontal="center"/>
    </xf>
    <xf numFmtId="4" fontId="0" fillId="0" borderId="10" xfId="0" applyNumberFormat="1" applyBorder="1" applyAlignment="1">
      <alignment horizontal="center"/>
    </xf>
    <xf numFmtId="4" fontId="9" fillId="0" borderId="6" xfId="0" applyNumberFormat="1" applyFont="1" applyBorder="1"/>
    <xf numFmtId="0" fontId="0" fillId="0" borderId="0" xfId="0" applyAlignment="1">
      <alignment horizontal="center" vertical="center" wrapText="1"/>
    </xf>
    <xf numFmtId="0" fontId="0" fillId="0" borderId="0" xfId="0" applyAlignment="1">
      <alignment horizontal="center" vertical="center"/>
    </xf>
    <xf numFmtId="3" fontId="12" fillId="0" borderId="0" xfId="0" applyNumberFormat="1" applyFont="1" applyAlignment="1">
      <alignment horizontal="center"/>
    </xf>
    <xf numFmtId="3" fontId="3" fillId="0" borderId="0" xfId="0" applyNumberFormat="1" applyFont="1" applyAlignment="1">
      <alignment horizontal="center" vertical="center" wrapText="1"/>
    </xf>
    <xf numFmtId="3" fontId="0" fillId="0" borderId="0" xfId="0" applyNumberFormat="1" applyAlignment="1">
      <alignment horizontal="center" vertical="center"/>
    </xf>
    <xf numFmtId="9" fontId="0" fillId="0" borderId="0" xfId="1" applyFont="1" applyAlignment="1">
      <alignment horizontal="center" vertical="center"/>
    </xf>
    <xf numFmtId="164" fontId="0" fillId="0" borderId="0" xfId="0" applyNumberFormat="1" applyAlignment="1">
      <alignment horizontal="center" vertical="center"/>
    </xf>
    <xf numFmtId="10" fontId="3" fillId="0" borderId="0" xfId="0" applyNumberFormat="1" applyFont="1" applyAlignment="1">
      <alignment horizontal="center" vertical="center" wrapText="1"/>
    </xf>
    <xf numFmtId="10" fontId="3" fillId="0" borderId="0" xfId="0" applyNumberFormat="1" applyFont="1" applyAlignment="1">
      <alignment horizontal="center" vertical="center"/>
    </xf>
    <xf numFmtId="10" fontId="0" fillId="0" borderId="0" xfId="0" applyNumberFormat="1" applyAlignment="1">
      <alignment horizontal="center" vertical="center"/>
    </xf>
    <xf numFmtId="3" fontId="3" fillId="0" borderId="0" xfId="0" applyNumberFormat="1" applyFont="1" applyAlignment="1">
      <alignment horizontal="center" vertical="center"/>
    </xf>
    <xf numFmtId="2" fontId="0" fillId="0" borderId="0" xfId="0" applyNumberForma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right"/>
    </xf>
    <xf numFmtId="166" fontId="0" fillId="0" borderId="0" xfId="1" applyNumberFormat="1" applyFont="1"/>
    <xf numFmtId="165" fontId="0" fillId="0" borderId="15" xfId="1" applyNumberFormat="1" applyFont="1" applyBorder="1"/>
    <xf numFmtId="20" fontId="3" fillId="0" borderId="0" xfId="0" applyNumberFormat="1" applyFont="1"/>
    <xf numFmtId="0" fontId="0" fillId="10" borderId="0" xfId="0" applyFill="1" applyBorder="1" applyAlignment="1">
      <alignment horizontal="center"/>
    </xf>
    <xf numFmtId="0" fontId="0" fillId="10" borderId="5" xfId="0" applyFill="1" applyBorder="1" applyAlignment="1">
      <alignment horizontal="center"/>
    </xf>
    <xf numFmtId="1" fontId="0" fillId="0" borderId="0" xfId="0" applyNumberFormat="1" applyAlignment="1">
      <alignment horizontal="center" vertical="center" wrapText="1"/>
    </xf>
    <xf numFmtId="0" fontId="3" fillId="0" borderId="0" xfId="0" applyFont="1" applyBorder="1"/>
    <xf numFmtId="0" fontId="0" fillId="0" borderId="0" xfId="0" applyBorder="1"/>
    <xf numFmtId="165" fontId="0" fillId="0" borderId="0" xfId="1" applyNumberFormat="1" applyFont="1" applyBorder="1"/>
    <xf numFmtId="10" fontId="0" fillId="0" borderId="0" xfId="1" applyNumberFormat="1" applyFont="1" applyAlignment="1">
      <alignment horizontal="center" vertical="center" wrapText="1"/>
    </xf>
    <xf numFmtId="1" fontId="0" fillId="0" borderId="0" xfId="0" applyNumberFormat="1" applyAlignment="1">
      <alignment horizontal="center" vertical="center"/>
    </xf>
    <xf numFmtId="20" fontId="3" fillId="0" borderId="0" xfId="0" applyNumberFormat="1" applyFont="1" applyAlignment="1">
      <alignment horizontal="center" vertical="center" wrapText="1"/>
    </xf>
    <xf numFmtId="20" fontId="0" fillId="0" borderId="0" xfId="0" applyNumberFormat="1" applyAlignment="1">
      <alignment horizontal="center" vertical="center" wrapText="1"/>
    </xf>
    <xf numFmtId="20" fontId="16"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13" xfId="0" applyFont="1" applyBorder="1" applyAlignment="1">
      <alignment horizontal="center" vertical="center" wrapText="1"/>
    </xf>
    <xf numFmtId="0" fontId="3" fillId="0" borderId="13" xfId="0" applyFont="1" applyFill="1" applyBorder="1" applyAlignment="1">
      <alignment horizontal="center" vertical="center" wrapText="1"/>
    </xf>
    <xf numFmtId="0" fontId="3" fillId="0" borderId="4" xfId="0" applyFont="1" applyBorder="1" applyAlignment="1">
      <alignment horizontal="center" vertical="center" wrapText="1"/>
    </xf>
    <xf numFmtId="0" fontId="14" fillId="0" borderId="4" xfId="0" applyFont="1" applyBorder="1" applyAlignment="1">
      <alignment horizontal="center" vertical="center" wrapText="1"/>
    </xf>
    <xf numFmtId="0" fontId="15" fillId="0" borderId="0" xfId="2"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15" fillId="0" borderId="0" xfId="2" applyAlignment="1">
      <alignment wrapText="1"/>
    </xf>
    <xf numFmtId="0" fontId="0" fillId="0" borderId="0" xfId="0" applyAlignment="1">
      <alignment vertical="center"/>
    </xf>
    <xf numFmtId="0" fontId="3" fillId="0" borderId="0" xfId="0" applyFont="1" applyAlignment="1">
      <alignment vertical="center"/>
    </xf>
    <xf numFmtId="2" fontId="14" fillId="0" borderId="0" xfId="0" applyNumberFormat="1" applyFont="1" applyAlignment="1">
      <alignment horizontal="center" vertical="center" wrapText="1"/>
    </xf>
    <xf numFmtId="2" fontId="3" fillId="0" borderId="0" xfId="0" applyNumberFormat="1" applyFont="1" applyAlignment="1">
      <alignment horizontal="center" vertical="center" wrapText="1"/>
    </xf>
    <xf numFmtId="20" fontId="17" fillId="0" borderId="0" xfId="0" applyNumberFormat="1" applyFont="1" applyAlignment="1">
      <alignment horizontal="center" vertical="center" wrapText="1"/>
    </xf>
    <xf numFmtId="10" fontId="14" fillId="0" borderId="0" xfId="1" applyNumberFormat="1" applyFont="1" applyAlignment="1">
      <alignment horizontal="center" vertical="center" wrapText="1"/>
    </xf>
    <xf numFmtId="0" fontId="0" fillId="0" borderId="0" xfId="0" applyAlignment="1">
      <alignment horizontal="left" vertical="center" wrapText="1"/>
    </xf>
    <xf numFmtId="20" fontId="17" fillId="0" borderId="0" xfId="0" applyNumberFormat="1" applyFont="1" applyFill="1" applyAlignment="1">
      <alignment horizontal="center" vertical="center" wrapText="1"/>
    </xf>
    <xf numFmtId="0" fontId="0" fillId="0" borderId="0" xfId="0" applyAlignment="1">
      <alignment wrapText="1"/>
    </xf>
    <xf numFmtId="10" fontId="0" fillId="0" borderId="0" xfId="1" applyNumberFormat="1" applyFont="1" applyAlignment="1">
      <alignment wrapText="1"/>
    </xf>
    <xf numFmtId="0" fontId="0" fillId="13" borderId="21" xfId="0" applyFill="1" applyBorder="1" applyAlignment="1">
      <alignment wrapText="1"/>
    </xf>
    <xf numFmtId="0" fontId="0" fillId="13" borderId="22" xfId="0" applyFill="1" applyBorder="1" applyAlignment="1">
      <alignment wrapText="1"/>
    </xf>
    <xf numFmtId="10" fontId="0" fillId="13" borderId="22" xfId="1" applyNumberFormat="1" applyFont="1" applyFill="1" applyBorder="1" applyAlignment="1">
      <alignment wrapText="1"/>
    </xf>
    <xf numFmtId="10" fontId="0" fillId="13" borderId="23" xfId="1" applyNumberFormat="1" applyFont="1" applyFill="1" applyBorder="1" applyAlignment="1">
      <alignment wrapText="1"/>
    </xf>
    <xf numFmtId="0" fontId="18" fillId="14" borderId="21" xfId="0" applyFont="1" applyFill="1" applyBorder="1" applyAlignment="1">
      <alignment horizontal="right" vertical="top" wrapText="1"/>
    </xf>
    <xf numFmtId="4" fontId="18" fillId="14" borderId="22" xfId="0" applyNumberFormat="1" applyFont="1" applyFill="1" applyBorder="1" applyAlignment="1">
      <alignment horizontal="right" vertical="top" wrapText="1"/>
    </xf>
    <xf numFmtId="10" fontId="18" fillId="14" borderId="22" xfId="1" applyNumberFormat="1" applyFont="1" applyFill="1" applyBorder="1" applyAlignment="1">
      <alignment horizontal="right" vertical="top" wrapText="1"/>
    </xf>
    <xf numFmtId="4" fontId="18" fillId="14" borderId="21" xfId="0" applyNumberFormat="1" applyFont="1" applyFill="1" applyBorder="1" applyAlignment="1">
      <alignment horizontal="right" vertical="top"/>
    </xf>
    <xf numFmtId="0" fontId="0" fillId="13" borderId="23" xfId="0" applyFill="1" applyBorder="1"/>
    <xf numFmtId="10" fontId="18" fillId="14" borderId="23" xfId="1" applyNumberFormat="1" applyFont="1" applyFill="1" applyBorder="1" applyAlignment="1">
      <alignment horizontal="right" vertical="top" wrapText="1"/>
    </xf>
    <xf numFmtId="0" fontId="18" fillId="13" borderId="21" xfId="0" applyFont="1" applyFill="1" applyBorder="1" applyAlignment="1">
      <alignment horizontal="right" vertical="top" wrapText="1"/>
    </xf>
    <xf numFmtId="4" fontId="18" fillId="13" borderId="22" xfId="0" applyNumberFormat="1" applyFont="1" applyFill="1" applyBorder="1" applyAlignment="1">
      <alignment horizontal="right" vertical="top" wrapText="1"/>
    </xf>
    <xf numFmtId="10" fontId="18" fillId="13" borderId="22" xfId="1" applyNumberFormat="1" applyFont="1" applyFill="1" applyBorder="1" applyAlignment="1">
      <alignment horizontal="right" vertical="top" wrapText="1"/>
    </xf>
    <xf numFmtId="4" fontId="18" fillId="13" borderId="22" xfId="0" applyNumberFormat="1" applyFont="1" applyFill="1" applyBorder="1" applyAlignment="1">
      <alignment horizontal="right" vertical="top"/>
    </xf>
    <xf numFmtId="10" fontId="18" fillId="13" borderId="23" xfId="0" applyNumberFormat="1" applyFont="1" applyFill="1" applyBorder="1" applyAlignment="1">
      <alignment horizontal="right" vertical="top"/>
    </xf>
    <xf numFmtId="10" fontId="18" fillId="13" borderId="23" xfId="0" applyNumberFormat="1" applyFont="1" applyFill="1" applyBorder="1" applyAlignment="1">
      <alignment horizontal="right" vertical="top" wrapText="1"/>
    </xf>
    <xf numFmtId="4" fontId="18" fillId="14" borderId="22" xfId="0" applyNumberFormat="1" applyFont="1" applyFill="1" applyBorder="1" applyAlignment="1">
      <alignment horizontal="right" vertical="top"/>
    </xf>
    <xf numFmtId="10" fontId="18" fillId="14" borderId="23" xfId="0" applyNumberFormat="1" applyFont="1" applyFill="1" applyBorder="1" applyAlignment="1">
      <alignment horizontal="right" vertical="top"/>
    </xf>
    <xf numFmtId="10" fontId="18" fillId="14" borderId="23" xfId="0" applyNumberFormat="1" applyFont="1" applyFill="1" applyBorder="1" applyAlignment="1">
      <alignment horizontal="right" vertical="top" wrapText="1"/>
    </xf>
    <xf numFmtId="0" fontId="18" fillId="13" borderId="22" xfId="0" applyFont="1" applyFill="1" applyBorder="1" applyAlignment="1">
      <alignment horizontal="right" vertical="top"/>
    </xf>
    <xf numFmtId="0" fontId="18" fillId="14" borderId="22" xfId="0" applyFont="1" applyFill="1" applyBorder="1" applyAlignment="1">
      <alignment horizontal="right" vertical="top"/>
    </xf>
    <xf numFmtId="0" fontId="18" fillId="13" borderId="24" xfId="0" applyFont="1" applyFill="1" applyBorder="1" applyAlignment="1">
      <alignment horizontal="right" vertical="top" wrapText="1"/>
    </xf>
    <xf numFmtId="4" fontId="18" fillId="13" borderId="25" xfId="0" applyNumberFormat="1" applyFont="1" applyFill="1" applyBorder="1" applyAlignment="1">
      <alignment horizontal="right" vertical="top" wrapText="1"/>
    </xf>
    <xf numFmtId="10" fontId="18" fillId="13" borderId="25" xfId="1" applyNumberFormat="1" applyFont="1" applyFill="1" applyBorder="1" applyAlignment="1">
      <alignment horizontal="right" vertical="top" wrapText="1"/>
    </xf>
    <xf numFmtId="0" fontId="18" fillId="13" borderId="25" xfId="0" applyFont="1" applyFill="1" applyBorder="1" applyAlignment="1">
      <alignment horizontal="right" vertical="top"/>
    </xf>
    <xf numFmtId="10" fontId="18" fillId="13" borderId="26" xfId="0" applyNumberFormat="1" applyFont="1" applyFill="1" applyBorder="1" applyAlignment="1">
      <alignment horizontal="right" vertical="top"/>
    </xf>
    <xf numFmtId="0" fontId="18" fillId="0" borderId="0" xfId="0" applyFont="1" applyAlignment="1">
      <alignment horizontal="right" vertical="top"/>
    </xf>
    <xf numFmtId="0" fontId="20" fillId="0" borderId="0" xfId="0" applyFont="1"/>
    <xf numFmtId="0" fontId="21" fillId="15" borderId="0" xfId="3" applyFont="1" applyFill="1"/>
    <xf numFmtId="0" fontId="22" fillId="0" borderId="0" xfId="3" applyFont="1"/>
    <xf numFmtId="167" fontId="22" fillId="0" borderId="0" xfId="3" applyNumberFormat="1" applyFont="1"/>
    <xf numFmtId="0" fontId="22" fillId="0" borderId="0" xfId="3" applyFont="1" applyAlignment="1">
      <alignment horizontal="left" indent="1"/>
    </xf>
    <xf numFmtId="0" fontId="21" fillId="0" borderId="0" xfId="3" applyFont="1"/>
    <xf numFmtId="167" fontId="21" fillId="0" borderId="0" xfId="3" applyNumberFormat="1" applyFont="1"/>
    <xf numFmtId="168" fontId="22" fillId="0" borderId="0" xfId="3" applyNumberFormat="1" applyFont="1"/>
    <xf numFmtId="168" fontId="22" fillId="3" borderId="0" xfId="3" applyNumberFormat="1" applyFont="1" applyFill="1"/>
    <xf numFmtId="0" fontId="0" fillId="0" borderId="0" xfId="0" applyAlignment="1">
      <alignment horizontal="center" vertical="center" wrapText="1"/>
    </xf>
    <xf numFmtId="0" fontId="3" fillId="0" borderId="0" xfId="0" applyFont="1" applyAlignment="1">
      <alignment horizontal="left" vertical="center" wrapText="1"/>
    </xf>
    <xf numFmtId="0" fontId="0" fillId="16" borderId="0" xfId="0" applyFill="1"/>
    <xf numFmtId="0" fontId="23" fillId="17" borderId="27" xfId="0" applyFont="1" applyFill="1" applyBorder="1" applyAlignment="1">
      <alignment vertical="top" wrapText="1"/>
    </xf>
    <xf numFmtId="0" fontId="25" fillId="18" borderId="0" xfId="0" applyFont="1" applyFill="1"/>
    <xf numFmtId="0" fontId="23" fillId="0" borderId="27" xfId="0" applyFont="1" applyFill="1" applyBorder="1" applyAlignment="1">
      <alignment vertical="top" wrapText="1"/>
    </xf>
    <xf numFmtId="0" fontId="25" fillId="0" borderId="0" xfId="0" applyFont="1" applyFill="1"/>
    <xf numFmtId="0" fontId="26" fillId="0" borderId="27" xfId="0" applyFont="1" applyFill="1" applyBorder="1" applyAlignment="1">
      <alignment vertical="top" wrapText="1"/>
    </xf>
    <xf numFmtId="0" fontId="25" fillId="0" borderId="28" xfId="0" applyFont="1" applyFill="1" applyBorder="1"/>
    <xf numFmtId="0" fontId="25" fillId="0" borderId="29" xfId="0" applyFont="1" applyFill="1" applyBorder="1"/>
    <xf numFmtId="0" fontId="23" fillId="19" borderId="27" xfId="0" applyFont="1" applyFill="1" applyBorder="1" applyAlignment="1">
      <alignment vertical="top" wrapText="1"/>
    </xf>
    <xf numFmtId="0" fontId="31" fillId="0" borderId="0" xfId="0" applyFont="1"/>
    <xf numFmtId="49" fontId="32" fillId="21" borderId="30" xfId="0" applyNumberFormat="1" applyFont="1" applyFill="1" applyBorder="1" applyAlignment="1">
      <alignment vertical="center" shrinkToFit="1"/>
    </xf>
    <xf numFmtId="49" fontId="32" fillId="20" borderId="31" xfId="0" applyNumberFormat="1" applyFont="1" applyFill="1" applyBorder="1" applyAlignment="1">
      <alignment vertical="center" shrinkToFit="1"/>
    </xf>
    <xf numFmtId="49" fontId="32" fillId="20" borderId="32" xfId="0" applyNumberFormat="1" applyFont="1" applyFill="1" applyBorder="1" applyAlignment="1">
      <alignment vertical="center" shrinkToFit="1"/>
    </xf>
    <xf numFmtId="49" fontId="32" fillId="20" borderId="33" xfId="0" applyNumberFormat="1" applyFont="1" applyFill="1" applyBorder="1" applyAlignment="1">
      <alignment vertical="center" shrinkToFit="1"/>
    </xf>
    <xf numFmtId="49" fontId="32" fillId="20" borderId="30" xfId="0" applyNumberFormat="1" applyFont="1" applyFill="1" applyBorder="1" applyAlignment="1">
      <alignment horizontal="left" vertical="center" shrinkToFit="1"/>
    </xf>
    <xf numFmtId="44" fontId="29" fillId="0" borderId="0" xfId="4" applyFont="1"/>
    <xf numFmtId="44" fontId="28" fillId="21" borderId="30" xfId="4" applyFont="1" applyFill="1" applyBorder="1" applyAlignment="1">
      <alignment vertical="center" shrinkToFit="1"/>
    </xf>
    <xf numFmtId="44" fontId="30" fillId="20" borderId="30" xfId="4" applyFont="1" applyFill="1" applyBorder="1" applyAlignment="1">
      <alignment horizontal="right" vertical="center" shrinkToFit="1"/>
    </xf>
    <xf numFmtId="44" fontId="0" fillId="0" borderId="0" xfId="4" applyFont="1"/>
    <xf numFmtId="44" fontId="25" fillId="18" borderId="0" xfId="4" applyFont="1" applyFill="1"/>
    <xf numFmtId="44" fontId="23" fillId="0" borderId="27" xfId="4" applyFont="1" applyFill="1" applyBorder="1" applyAlignment="1">
      <alignment vertical="top" wrapText="1"/>
    </xf>
    <xf numFmtId="44" fontId="23" fillId="17" borderId="27" xfId="4" applyFont="1" applyFill="1" applyBorder="1" applyAlignment="1">
      <alignment vertical="top" wrapText="1"/>
    </xf>
    <xf numFmtId="49" fontId="27" fillId="20" borderId="30" xfId="0" applyNumberFormat="1" applyFont="1" applyFill="1" applyBorder="1" applyAlignment="1">
      <alignment horizontal="left" vertical="center" wrapText="1" shrinkToFit="1"/>
    </xf>
    <xf numFmtId="0" fontId="29" fillId="0" borderId="0" xfId="4" applyNumberFormat="1" applyFont="1"/>
    <xf numFmtId="0" fontId="33" fillId="0" borderId="0" xfId="0" applyFont="1"/>
    <xf numFmtId="0" fontId="34" fillId="0" borderId="0" xfId="0" applyFont="1"/>
    <xf numFmtId="0" fontId="35" fillId="22" borderId="0" xfId="0" applyFont="1" applyFill="1" applyAlignment="1">
      <alignment horizontal="left" vertical="center" wrapText="1" indent="1"/>
    </xf>
    <xf numFmtId="0" fontId="34" fillId="16" borderId="0" xfId="0" applyFont="1" applyFill="1" applyAlignment="1">
      <alignment horizontal="left" vertical="center" wrapText="1" indent="1"/>
    </xf>
    <xf numFmtId="10" fontId="34" fillId="16" borderId="0" xfId="0" applyNumberFormat="1" applyFont="1" applyFill="1" applyAlignment="1">
      <alignment horizontal="left" vertical="center" wrapText="1" indent="1"/>
    </xf>
    <xf numFmtId="0" fontId="34" fillId="17" borderId="0" xfId="0" applyFont="1" applyFill="1" applyAlignment="1">
      <alignment horizontal="left" vertical="center" wrapText="1" indent="1"/>
    </xf>
    <xf numFmtId="10" fontId="34" fillId="17" borderId="0" xfId="0" applyNumberFormat="1" applyFont="1" applyFill="1" applyAlignment="1">
      <alignment horizontal="left" vertical="center" wrapText="1" indent="1"/>
    </xf>
    <xf numFmtId="0" fontId="25" fillId="18" borderId="0" xfId="0" applyFont="1" applyFill="1" applyAlignment="1">
      <alignment horizontal="center" vertical="center" wrapText="1"/>
    </xf>
    <xf numFmtId="44" fontId="25" fillId="18" borderId="0" xfId="4" applyFont="1" applyFill="1" applyAlignment="1">
      <alignment horizontal="center" vertical="center" wrapText="1"/>
    </xf>
    <xf numFmtId="44" fontId="0" fillId="0" borderId="0" xfId="4" applyFont="1" applyAlignment="1">
      <alignment horizontal="center" vertical="center" wrapText="1"/>
    </xf>
    <xf numFmtId="0" fontId="0" fillId="0" borderId="0" xfId="0" applyBorder="1" applyAlignment="1">
      <alignment horizontal="center" vertical="center" wrapText="1"/>
    </xf>
    <xf numFmtId="169" fontId="0" fillId="0" borderId="0" xfId="0" applyNumberFormat="1" applyAlignment="1">
      <alignment horizontal="left" vertical="center" wrapText="1"/>
    </xf>
    <xf numFmtId="0" fontId="0" fillId="0" borderId="0" xfId="0" applyFill="1" applyAlignment="1">
      <alignment horizontal="left" vertical="center" wrapText="1"/>
    </xf>
    <xf numFmtId="170" fontId="0" fillId="0" borderId="0" xfId="0" applyNumberFormat="1" applyAlignment="1">
      <alignment horizontal="left" vertical="center" wrapText="1"/>
    </xf>
    <xf numFmtId="0" fontId="0" fillId="0" borderId="0" xfId="0" applyBorder="1" applyAlignment="1">
      <alignment horizontal="left" vertical="center" wrapText="1"/>
    </xf>
    <xf numFmtId="169" fontId="0" fillId="0" borderId="0" xfId="0" applyNumberFormat="1" applyBorder="1" applyAlignment="1">
      <alignment horizontal="left" vertical="center" wrapText="1"/>
    </xf>
    <xf numFmtId="0" fontId="0" fillId="0" borderId="13" xfId="0" applyBorder="1" applyAlignment="1">
      <alignment horizontal="left" vertical="center" wrapText="1"/>
    </xf>
    <xf numFmtId="169" fontId="0" fillId="0" borderId="13" xfId="0" applyNumberFormat="1" applyBorder="1" applyAlignment="1">
      <alignment horizontal="left" vertical="center" wrapText="1"/>
    </xf>
    <xf numFmtId="170" fontId="0" fillId="0" borderId="13" xfId="0" applyNumberFormat="1" applyBorder="1" applyAlignment="1">
      <alignment horizontal="left" vertical="center" wrapText="1"/>
    </xf>
    <xf numFmtId="0" fontId="3" fillId="0" borderId="13" xfId="0" applyFont="1" applyBorder="1" applyAlignment="1">
      <alignment horizontal="left" vertical="center" wrapText="1"/>
    </xf>
    <xf numFmtId="0" fontId="3" fillId="0" borderId="2" xfId="0" applyFont="1" applyBorder="1" applyAlignment="1">
      <alignment horizontal="left" vertical="center" wrapText="1"/>
    </xf>
    <xf numFmtId="0" fontId="0" fillId="0" borderId="2" xfId="0" applyBorder="1" applyAlignment="1">
      <alignment horizontal="left" vertical="center" wrapText="1"/>
    </xf>
    <xf numFmtId="0" fontId="0" fillId="0" borderId="35" xfId="0" applyBorder="1" applyAlignment="1">
      <alignment horizontal="left" vertical="center" wrapText="1"/>
    </xf>
    <xf numFmtId="0" fontId="3" fillId="0" borderId="0" xfId="0" applyFont="1" applyBorder="1" applyAlignment="1">
      <alignment horizontal="left" vertical="center" wrapText="1"/>
    </xf>
    <xf numFmtId="3" fontId="0" fillId="0" borderId="0" xfId="0" applyNumberFormat="1" applyBorder="1" applyAlignment="1">
      <alignment horizontal="left"/>
    </xf>
    <xf numFmtId="3" fontId="0" fillId="0" borderId="13" xfId="0" applyNumberFormat="1" applyBorder="1" applyAlignment="1">
      <alignment horizontal="left"/>
    </xf>
    <xf numFmtId="0" fontId="3" fillId="0" borderId="0" xfId="0" applyFont="1" applyBorder="1" applyAlignment="1">
      <alignment horizontal="center" vertical="center" wrapText="1"/>
    </xf>
    <xf numFmtId="0" fontId="3" fillId="0" borderId="12" xfId="0" applyFont="1" applyBorder="1" applyAlignment="1">
      <alignment horizontal="left" vertical="center" wrapText="1"/>
    </xf>
    <xf numFmtId="0" fontId="3" fillId="0" borderId="35" xfId="0" applyFont="1" applyBorder="1" applyAlignment="1">
      <alignment horizontal="left" vertical="center" wrapText="1"/>
    </xf>
    <xf numFmtId="169" fontId="0" fillId="0" borderId="2" xfId="0" applyNumberFormat="1" applyBorder="1" applyAlignment="1">
      <alignment horizontal="left" vertical="center" wrapText="1"/>
    </xf>
    <xf numFmtId="10" fontId="3" fillId="0" borderId="0" xfId="1" applyNumberFormat="1" applyFont="1" applyAlignment="1">
      <alignment horizontal="left" vertical="center" wrapText="1"/>
    </xf>
    <xf numFmtId="10" fontId="3" fillId="0" borderId="0" xfId="0" applyNumberFormat="1" applyFont="1" applyAlignment="1">
      <alignment horizontal="left" vertical="center" wrapText="1"/>
    </xf>
    <xf numFmtId="0" fontId="3" fillId="3" borderId="0" xfId="0" applyFont="1" applyFill="1" applyAlignment="1">
      <alignment horizontal="left" vertical="center" wrapText="1"/>
    </xf>
    <xf numFmtId="0" fontId="0" fillId="0" borderId="6" xfId="0" applyBorder="1" applyAlignment="1">
      <alignment horizontal="center" vertical="center"/>
    </xf>
    <xf numFmtId="0" fontId="0" fillId="0" borderId="6" xfId="0" applyBorder="1"/>
    <xf numFmtId="0" fontId="2" fillId="0" borderId="6"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xf numFmtId="0" fontId="0" fillId="0" borderId="0" xfId="0"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35" xfId="0" applyBorder="1" applyAlignment="1">
      <alignment horizontal="center" vertical="center" wrapText="1"/>
    </xf>
    <xf numFmtId="0" fontId="0" fillId="0" borderId="13" xfId="0" applyBorder="1" applyAlignment="1">
      <alignment horizontal="center" vertical="center" wrapText="1"/>
    </xf>
    <xf numFmtId="0" fontId="3" fillId="0" borderId="0" xfId="0" applyFont="1" applyAlignment="1">
      <alignment horizontal="left" vertical="center" wrapText="1"/>
    </xf>
    <xf numFmtId="0" fontId="2" fillId="0" borderId="6" xfId="0" applyFont="1" applyBorder="1" applyAlignment="1">
      <alignment wrapText="1"/>
    </xf>
    <xf numFmtId="0" fontId="0" fillId="0" borderId="6" xfId="0" applyBorder="1" applyAlignment="1">
      <alignment wrapText="1"/>
    </xf>
    <xf numFmtId="0" fontId="0" fillId="0" borderId="36" xfId="0" applyBorder="1"/>
    <xf numFmtId="0" fontId="0" fillId="0" borderId="0" xfId="0" applyAlignment="1">
      <alignment horizontal="center" wrapText="1"/>
    </xf>
    <xf numFmtId="3" fontId="0" fillId="0" borderId="0" xfId="0" applyNumberFormat="1" applyBorder="1" applyAlignment="1">
      <alignment horizontal="center" vertical="center"/>
    </xf>
    <xf numFmtId="3" fontId="0" fillId="0" borderId="13" xfId="0" applyNumberFormat="1" applyBorder="1" applyAlignment="1">
      <alignment horizontal="center" vertical="center"/>
    </xf>
    <xf numFmtId="3" fontId="0" fillId="0" borderId="2" xfId="0" applyNumberFormat="1" applyBorder="1" applyAlignment="1">
      <alignment horizontal="center" vertical="center"/>
    </xf>
    <xf numFmtId="0" fontId="2" fillId="0" borderId="0" xfId="0" applyFont="1" applyAlignment="1">
      <alignment horizontal="left" vertical="center" wrapText="1"/>
    </xf>
    <xf numFmtId="0" fontId="2" fillId="0" borderId="2" xfId="0" applyFont="1" applyBorder="1" applyAlignment="1">
      <alignment horizontal="left" vertical="center" wrapText="1"/>
    </xf>
    <xf numFmtId="0" fontId="2" fillId="0" borderId="0" xfId="0" applyFont="1" applyBorder="1" applyAlignment="1">
      <alignment horizontal="left" vertical="center" wrapText="1"/>
    </xf>
    <xf numFmtId="0" fontId="2" fillId="0" borderId="13" xfId="0" applyFont="1" applyBorder="1" applyAlignment="1">
      <alignment horizontal="left" vertical="center" wrapText="1"/>
    </xf>
    <xf numFmtId="0" fontId="2" fillId="0" borderId="35" xfId="0" applyFont="1" applyBorder="1" applyAlignment="1">
      <alignment horizontal="left" vertical="center" wrapText="1"/>
    </xf>
    <xf numFmtId="0" fontId="0" fillId="0" borderId="36" xfId="0" applyBorder="1" applyAlignment="1">
      <alignment horizontal="center" vertical="center"/>
    </xf>
    <xf numFmtId="0" fontId="2" fillId="0" borderId="0" xfId="0" applyFont="1" applyBorder="1" applyAlignment="1">
      <alignment horizontal="center" vertical="center"/>
    </xf>
    <xf numFmtId="0" fontId="0" fillId="0" borderId="0" xfId="0" applyBorder="1" applyAlignment="1">
      <alignment horizontal="center" vertical="center"/>
    </xf>
    <xf numFmtId="0" fontId="0" fillId="0" borderId="4" xfId="0" applyBorder="1"/>
    <xf numFmtId="0" fontId="0" fillId="0" borderId="4" xfId="0" applyBorder="1" applyAlignment="1">
      <alignment wrapText="1"/>
    </xf>
    <xf numFmtId="0" fontId="3" fillId="0" borderId="0" xfId="0" applyFont="1" applyAlignment="1">
      <alignment wrapText="1"/>
    </xf>
    <xf numFmtId="0" fontId="36" fillId="0" borderId="0" xfId="0" applyFont="1"/>
    <xf numFmtId="0" fontId="3" fillId="0" borderId="6" xfId="0" applyFont="1" applyBorder="1" applyAlignment="1">
      <alignment wrapText="1"/>
    </xf>
    <xf numFmtId="0" fontId="3" fillId="0" borderId="6" xfId="0" applyFont="1" applyBorder="1" applyAlignment="1">
      <alignment horizontal="center" vertical="center"/>
    </xf>
    <xf numFmtId="0" fontId="0" fillId="0" borderId="0" xfId="0" applyAlignment="1">
      <alignment horizontal="left" vertical="center"/>
    </xf>
    <xf numFmtId="0" fontId="3" fillId="0" borderId="6" xfId="0" applyFont="1" applyBorder="1" applyAlignment="1">
      <alignment horizontal="left" vertical="center"/>
    </xf>
    <xf numFmtId="0" fontId="3" fillId="0" borderId="6" xfId="0" applyFont="1" applyBorder="1" applyAlignment="1">
      <alignment horizontal="left" vertical="center" wrapText="1"/>
    </xf>
    <xf numFmtId="0" fontId="0" fillId="0" borderId="6" xfId="0" applyBorder="1" applyAlignment="1">
      <alignment horizontal="left" vertical="center" wrapText="1"/>
    </xf>
    <xf numFmtId="0" fontId="0" fillId="0" borderId="6" xfId="0" applyFill="1" applyBorder="1" applyAlignment="1">
      <alignment horizontal="left" vertical="center" wrapText="1"/>
    </xf>
    <xf numFmtId="0" fontId="0" fillId="0" borderId="6" xfId="0" applyBorder="1" applyAlignment="1">
      <alignment horizontal="left" vertical="center"/>
    </xf>
    <xf numFmtId="6" fontId="0" fillId="0" borderId="6" xfId="0" applyNumberFormat="1" applyBorder="1" applyAlignment="1">
      <alignment horizontal="left" vertical="center" wrapText="1"/>
    </xf>
    <xf numFmtId="0" fontId="0" fillId="0" borderId="6" xfId="0" applyNumberFormat="1" applyBorder="1" applyAlignment="1">
      <alignment horizontal="left" vertical="center"/>
    </xf>
    <xf numFmtId="10" fontId="0" fillId="0" borderId="6" xfId="0" applyNumberFormat="1" applyBorder="1" applyAlignment="1">
      <alignment horizontal="left" vertical="center" wrapText="1"/>
    </xf>
    <xf numFmtId="6" fontId="0" fillId="0" borderId="6" xfId="0" applyNumberFormat="1" applyBorder="1" applyAlignment="1">
      <alignment horizontal="left" vertical="center"/>
    </xf>
    <xf numFmtId="8" fontId="0" fillId="0" borderId="6" xfId="0" applyNumberFormat="1" applyBorder="1" applyAlignment="1">
      <alignment horizontal="left" vertical="center" wrapText="1"/>
    </xf>
    <xf numFmtId="0" fontId="2" fillId="0" borderId="7" xfId="0" applyFont="1" applyFill="1" applyBorder="1" applyAlignment="1">
      <alignment wrapText="1"/>
    </xf>
    <xf numFmtId="0" fontId="2" fillId="0" borderId="6" xfId="0" applyFont="1" applyFill="1" applyBorder="1" applyAlignment="1">
      <alignment wrapText="1"/>
    </xf>
    <xf numFmtId="8" fontId="0" fillId="0" borderId="6" xfId="0" applyNumberFormat="1" applyBorder="1"/>
    <xf numFmtId="0" fontId="0" fillId="23" borderId="0" xfId="0" applyFill="1"/>
    <xf numFmtId="0" fontId="2" fillId="0" borderId="6" xfId="0" applyFont="1" applyFill="1" applyBorder="1" applyAlignment="1">
      <alignment horizontal="center" vertical="center"/>
    </xf>
    <xf numFmtId="1" fontId="0" fillId="0" borderId="6" xfId="0" applyNumberForma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 fillId="0" borderId="38"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39" xfId="0" applyFont="1" applyBorder="1" applyAlignment="1">
      <alignment horizontal="center" vertical="center"/>
    </xf>
    <xf numFmtId="0" fontId="3" fillId="0" borderId="40" xfId="0" applyFont="1" applyBorder="1" applyAlignment="1">
      <alignment horizontal="center" vertical="center"/>
    </xf>
    <xf numFmtId="0" fontId="2" fillId="0" borderId="40" xfId="0" applyFont="1" applyBorder="1" applyAlignment="1">
      <alignment horizontal="center" vertical="center" wrapText="1"/>
    </xf>
    <xf numFmtId="0" fontId="3" fillId="0" borderId="40" xfId="0" applyFont="1" applyBorder="1" applyAlignment="1">
      <alignment horizontal="center" vertical="center" wrapText="1"/>
    </xf>
    <xf numFmtId="1" fontId="3" fillId="0" borderId="40" xfId="0" applyNumberFormat="1" applyFont="1" applyBorder="1" applyAlignment="1">
      <alignment horizontal="center" vertical="center"/>
    </xf>
    <xf numFmtId="8" fontId="0" fillId="0" borderId="0" xfId="0" applyNumberFormat="1"/>
    <xf numFmtId="0" fontId="3" fillId="0" borderId="14" xfId="0" applyFont="1" applyBorder="1" applyAlignment="1">
      <alignment horizontal="center" vertical="center" wrapText="1"/>
    </xf>
    <xf numFmtId="8" fontId="0" fillId="0" borderId="15" xfId="0" applyNumberFormat="1" applyBorder="1" applyAlignment="1">
      <alignment horizontal="center" vertical="center" wrapText="1"/>
    </xf>
    <xf numFmtId="171" fontId="0" fillId="0" borderId="0" xfId="0" applyNumberFormat="1"/>
    <xf numFmtId="0" fontId="0" fillId="0" borderId="15" xfId="0" applyBorder="1"/>
    <xf numFmtId="0" fontId="37" fillId="0" borderId="8" xfId="0" applyFont="1" applyFill="1" applyBorder="1" applyAlignment="1">
      <alignment horizontal="center"/>
    </xf>
    <xf numFmtId="0" fontId="37" fillId="0" borderId="8" xfId="0" applyFont="1" applyFill="1" applyBorder="1" applyAlignment="1">
      <alignment horizontal="centerContinuous"/>
    </xf>
    <xf numFmtId="8" fontId="0" fillId="0" borderId="6" xfId="0" applyNumberFormat="1" applyBorder="1" applyAlignment="1">
      <alignment horizontal="center" vertical="center"/>
    </xf>
    <xf numFmtId="0" fontId="38" fillId="0" borderId="6" xfId="0" applyFont="1" applyBorder="1" applyAlignment="1">
      <alignment horizontal="center" vertical="center"/>
    </xf>
    <xf numFmtId="8" fontId="0" fillId="0" borderId="0" xfId="0" applyNumberFormat="1" applyAlignment="1">
      <alignment horizontal="center" vertical="center"/>
    </xf>
    <xf numFmtId="0" fontId="3" fillId="0" borderId="37" xfId="0" applyFont="1" applyBorder="1" applyAlignment="1">
      <alignment vertical="center"/>
    </xf>
    <xf numFmtId="0" fontId="3" fillId="0" borderId="4" xfId="0" applyFont="1" applyBorder="1" applyAlignment="1">
      <alignment vertical="center"/>
    </xf>
    <xf numFmtId="0" fontId="3" fillId="0" borderId="0" xfId="0" applyFont="1" applyBorder="1" applyAlignment="1">
      <alignment vertical="center"/>
    </xf>
    <xf numFmtId="0" fontId="3" fillId="0" borderId="41" xfId="0" applyFont="1" applyBorder="1" applyAlignment="1">
      <alignment vertical="center"/>
    </xf>
    <xf numFmtId="0" fontId="3" fillId="0" borderId="13" xfId="0" applyFont="1" applyBorder="1" applyAlignment="1">
      <alignment vertical="center"/>
    </xf>
    <xf numFmtId="8" fontId="3" fillId="0" borderId="10" xfId="0" applyNumberFormat="1" applyFont="1" applyBorder="1" applyAlignment="1">
      <alignment horizontal="center" vertical="center"/>
    </xf>
    <xf numFmtId="8" fontId="0" fillId="0" borderId="10" xfId="0" applyNumberFormat="1" applyBorder="1" applyAlignment="1">
      <alignment horizontal="center" vertical="center"/>
    </xf>
    <xf numFmtId="10" fontId="0" fillId="0" borderId="6" xfId="1" applyNumberFormat="1" applyFont="1" applyBorder="1"/>
    <xf numFmtId="44" fontId="0" fillId="0" borderId="0" xfId="0" applyNumberFormat="1" applyAlignment="1">
      <alignment horizontal="center" vertical="center" wrapText="1"/>
    </xf>
    <xf numFmtId="44" fontId="3" fillId="0" borderId="0" xfId="4" applyFont="1" applyAlignment="1">
      <alignment horizontal="center" vertical="center" wrapText="1"/>
    </xf>
    <xf numFmtId="44" fontId="0" fillId="0" borderId="13" xfId="4" applyFont="1" applyBorder="1" applyAlignment="1">
      <alignment horizontal="center" vertical="center" wrapText="1"/>
    </xf>
    <xf numFmtId="44" fontId="0" fillId="0" borderId="2" xfId="4" applyFont="1" applyBorder="1" applyAlignment="1">
      <alignment horizontal="center" vertical="center" wrapText="1"/>
    </xf>
    <xf numFmtId="0" fontId="0" fillId="0" borderId="2" xfId="0" applyBorder="1" applyAlignment="1">
      <alignment horizontal="center" vertical="center" wrapText="1"/>
    </xf>
    <xf numFmtId="44" fontId="0" fillId="0" borderId="0" xfId="4" applyFont="1" applyBorder="1" applyAlignment="1">
      <alignment horizontal="center" vertical="center" wrapText="1"/>
    </xf>
    <xf numFmtId="44" fontId="0" fillId="0" borderId="35" xfId="4" applyFont="1" applyBorder="1" applyAlignment="1">
      <alignment horizontal="center" vertical="center" wrapText="1"/>
    </xf>
    <xf numFmtId="44" fontId="0" fillId="0" borderId="13" xfId="0" applyNumberFormat="1" applyBorder="1" applyAlignment="1">
      <alignment horizontal="center" vertical="center" wrapText="1"/>
    </xf>
    <xf numFmtId="0" fontId="3" fillId="0" borderId="0" xfId="0" applyFont="1" applyAlignment="1">
      <alignment horizontal="center" wrapText="1"/>
    </xf>
    <xf numFmtId="0" fontId="0" fillId="0" borderId="0" xfId="0" applyAlignment="1">
      <alignment horizontal="center" wrapText="1"/>
    </xf>
    <xf numFmtId="0" fontId="3" fillId="0" borderId="0" xfId="0" applyFont="1" applyAlignment="1">
      <alignment horizontal="center" vertical="center" wrapText="1"/>
    </xf>
    <xf numFmtId="0" fontId="0" fillId="11" borderId="0" xfId="0" applyFill="1" applyAlignment="1">
      <alignment horizontal="center" vertical="center" wrapText="1"/>
    </xf>
    <xf numFmtId="0" fontId="0" fillId="12" borderId="0" xfId="0" applyFill="1" applyAlignment="1">
      <alignment horizontal="center" vertical="center" wrapText="1"/>
    </xf>
    <xf numFmtId="0" fontId="0" fillId="0" borderId="0" xfId="0" applyAlignment="1">
      <alignment horizontal="center" vertical="center" wrapText="1"/>
    </xf>
    <xf numFmtId="0" fontId="29" fillId="0" borderId="13" xfId="0" applyFont="1" applyBorder="1" applyAlignment="1">
      <alignment horizontal="center" vertical="center" wrapText="1"/>
    </xf>
    <xf numFmtId="0" fontId="2" fillId="0" borderId="35" xfId="0" applyFont="1" applyBorder="1" applyAlignment="1">
      <alignment horizontal="left" vertical="center" wrapText="1"/>
    </xf>
    <xf numFmtId="0" fontId="2" fillId="0" borderId="13" xfId="0" applyFont="1" applyBorder="1" applyAlignment="1">
      <alignment horizontal="left" vertical="center" wrapText="1"/>
    </xf>
    <xf numFmtId="0" fontId="15" fillId="16" borderId="34" xfId="2" applyFill="1" applyBorder="1" applyAlignment="1">
      <alignment horizontal="center" wrapText="1"/>
    </xf>
    <xf numFmtId="0" fontId="0" fillId="16" borderId="0" xfId="0" applyFill="1" applyBorder="1" applyAlignment="1">
      <alignment horizontal="center" wrapText="1"/>
    </xf>
    <xf numFmtId="0" fontId="3" fillId="0" borderId="0" xfId="0" applyFont="1" applyAlignment="1">
      <alignment horizontal="left" vertical="center" wrapText="1"/>
    </xf>
    <xf numFmtId="0" fontId="3" fillId="0" borderId="0" xfId="0" applyFont="1" applyAlignment="1">
      <alignment horizontal="left" vertical="top" wrapText="1"/>
    </xf>
    <xf numFmtId="3" fontId="0" fillId="0" borderId="0" xfId="0" applyNumberFormat="1" applyAlignment="1">
      <alignment horizontal="center" vertical="center"/>
    </xf>
    <xf numFmtId="0" fontId="3" fillId="0" borderId="13" xfId="0" applyFont="1" applyBorder="1" applyAlignment="1">
      <alignment horizontal="center"/>
    </xf>
    <xf numFmtId="0" fontId="0" fillId="0" borderId="13" xfId="0" applyBorder="1" applyAlignment="1">
      <alignment horizontal="center"/>
    </xf>
    <xf numFmtId="0" fontId="0" fillId="5" borderId="14" xfId="0" applyFill="1" applyBorder="1" applyAlignment="1">
      <alignment horizontal="center"/>
    </xf>
    <xf numFmtId="0" fontId="0" fillId="5" borderId="16" xfId="0" applyFill="1" applyBorder="1" applyAlignment="1">
      <alignment horizontal="center"/>
    </xf>
    <xf numFmtId="0" fontId="0" fillId="5" borderId="15" xfId="0" applyFill="1" applyBorder="1" applyAlignment="1">
      <alignment horizontal="center"/>
    </xf>
    <xf numFmtId="0" fontId="0" fillId="0" borderId="11" xfId="0" applyBorder="1" applyAlignment="1">
      <alignment horizontal="center" vertical="center"/>
    </xf>
    <xf numFmtId="0" fontId="0" fillId="0" borderId="7" xfId="0" applyBorder="1" applyAlignment="1">
      <alignment horizontal="center" vertical="center"/>
    </xf>
    <xf numFmtId="0" fontId="0" fillId="0" borderId="10" xfId="0" applyBorder="1" applyAlignment="1">
      <alignment horizontal="center" vertical="center"/>
    </xf>
    <xf numFmtId="0" fontId="0" fillId="3" borderId="0" xfId="0" pivotButton="1" applyFill="1"/>
    <xf numFmtId="164" fontId="0" fillId="0" borderId="0" xfId="0" applyNumberFormat="1"/>
    <xf numFmtId="3" fontId="3" fillId="0" borderId="0" xfId="0" applyNumberFormat="1" applyFont="1"/>
    <xf numFmtId="3" fontId="3" fillId="0" borderId="0" xfId="0" applyNumberFormat="1" applyFont="1" applyAlignment="1">
      <alignment horizontal="center"/>
    </xf>
    <xf numFmtId="2" fontId="0" fillId="0" borderId="15" xfId="0" applyNumberFormat="1" applyBorder="1" applyAlignment="1">
      <alignment horizontal="center" vertical="center" wrapText="1"/>
    </xf>
    <xf numFmtId="2" fontId="0" fillId="0" borderId="5" xfId="0" applyNumberFormat="1" applyFill="1" applyBorder="1" applyAlignment="1">
      <alignment horizontal="center"/>
    </xf>
    <xf numFmtId="0" fontId="0" fillId="0" borderId="6" xfId="0" applyBorder="1" applyAlignment="1">
      <alignment horizontal="center" vertical="center" wrapText="1"/>
    </xf>
    <xf numFmtId="3" fontId="0" fillId="0" borderId="6" xfId="0" applyNumberFormat="1" applyBorder="1" applyAlignment="1">
      <alignment horizontal="center" vertical="center" wrapText="1"/>
    </xf>
    <xf numFmtId="0" fontId="0" fillId="0" borderId="7" xfId="0" applyFill="1" applyBorder="1"/>
  </cellXfs>
  <cellStyles count="5">
    <cellStyle name="Hipervínculo" xfId="2" builtinId="8"/>
    <cellStyle name="Moneda" xfId="4" builtinId="4"/>
    <cellStyle name="Normal" xfId="0" builtinId="0"/>
    <cellStyle name="Normal 2" xfId="3" xr:uid="{15E42ED8-E1D2-47DF-8A59-906FBB1361B7}"/>
    <cellStyle name="Porcentaje" xfId="1" builtinId="5"/>
  </cellStyles>
  <dxfs count="22">
    <dxf>
      <font>
        <color rgb="FF9C0006"/>
      </font>
      <fill>
        <patternFill>
          <bgColor rgb="FFFFC7CE"/>
        </patternFill>
      </fill>
    </dxf>
    <dxf>
      <font>
        <color rgb="FF9C0006"/>
      </font>
      <fill>
        <patternFill>
          <bgColor rgb="FFFFC7CE"/>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s>
  <tableStyles count="0" defaultTableStyle="TableStyleMedium9" defaultPivotStyle="PivotStyleLight16"/>
  <colors>
    <mruColors>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25" b="1" i="0" u="none" strike="noStrike" baseline="0">
                <a:solidFill>
                  <a:srgbClr val="000000"/>
                </a:solidFill>
                <a:latin typeface="Arial"/>
                <a:ea typeface="Arial"/>
                <a:cs typeface="Arial"/>
              </a:defRPr>
            </a:pPr>
            <a:r>
              <a:rPr lang="en-US"/>
              <a:t>Monthly Demand ABC Corporation </a:t>
            </a:r>
          </a:p>
        </c:rich>
      </c:tx>
      <c:layout>
        <c:manualLayout>
          <c:xMode val="edge"/>
          <c:yMode val="edge"/>
          <c:x val="0.18217081391957773"/>
          <c:y val="2.9962660327836378E-2"/>
        </c:manualLayout>
      </c:layout>
      <c:overlay val="0"/>
      <c:spPr>
        <a:noFill/>
        <a:ln w="25400">
          <a:noFill/>
        </a:ln>
      </c:spPr>
    </c:title>
    <c:autoTitleDeleted val="0"/>
    <c:plotArea>
      <c:layout>
        <c:manualLayout>
          <c:layoutTarget val="inner"/>
          <c:xMode val="edge"/>
          <c:yMode val="edge"/>
          <c:x val="0.13436709459672602"/>
          <c:y val="0.11610508124319939"/>
          <c:w val="0.83204239346434095"/>
          <c:h val="0.7059938004626799"/>
        </c:manualLayout>
      </c:layout>
      <c:lineChart>
        <c:grouping val="standard"/>
        <c:varyColors val="0"/>
        <c:ser>
          <c:idx val="0"/>
          <c:order val="0"/>
          <c:spPr>
            <a:ln w="12700">
              <a:solidFill>
                <a:srgbClr val="000080"/>
              </a:solidFill>
              <a:prstDash val="solid"/>
            </a:ln>
          </c:spPr>
          <c:marker>
            <c:symbol val="diamond"/>
            <c:size val="5"/>
            <c:spPr>
              <a:solidFill>
                <a:srgbClr val="000080"/>
              </a:solidFill>
              <a:ln>
                <a:solidFill>
                  <a:srgbClr val="000080"/>
                </a:solidFill>
                <a:prstDash val="solid"/>
              </a:ln>
            </c:spPr>
          </c:marker>
          <c:cat>
            <c:strRef>
              <c:f>'Previsión Centro'!$B$21:$B$80</c:f>
              <c:strCache>
                <c:ptCount val="60"/>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pt idx="48">
                  <c:v>JAN</c:v>
                </c:pt>
                <c:pt idx="49">
                  <c:v>FEB</c:v>
                </c:pt>
                <c:pt idx="50">
                  <c:v>MAR</c:v>
                </c:pt>
                <c:pt idx="51">
                  <c:v>APR</c:v>
                </c:pt>
                <c:pt idx="52">
                  <c:v>MAY</c:v>
                </c:pt>
                <c:pt idx="53">
                  <c:v>JUN</c:v>
                </c:pt>
                <c:pt idx="54">
                  <c:v>JUL</c:v>
                </c:pt>
                <c:pt idx="55">
                  <c:v>AUG</c:v>
                </c:pt>
                <c:pt idx="56">
                  <c:v>SEP</c:v>
                </c:pt>
                <c:pt idx="57">
                  <c:v>OCT</c:v>
                </c:pt>
                <c:pt idx="58">
                  <c:v>NOV</c:v>
                </c:pt>
                <c:pt idx="59">
                  <c:v>DEC</c:v>
                </c:pt>
              </c:strCache>
            </c:strRef>
          </c:cat>
          <c:val>
            <c:numRef>
              <c:f>'Previsión Centro'!$D$21:$D$80</c:f>
              <c:numCache>
                <c:formatCode>General</c:formatCode>
                <c:ptCount val="60"/>
                <c:pt idx="0">
                  <c:v>10000</c:v>
                </c:pt>
                <c:pt idx="1">
                  <c:v>32000</c:v>
                </c:pt>
                <c:pt idx="2">
                  <c:v>39000</c:v>
                </c:pt>
                <c:pt idx="3">
                  <c:v>42000</c:v>
                </c:pt>
                <c:pt idx="4">
                  <c:v>45000</c:v>
                </c:pt>
                <c:pt idx="5">
                  <c:v>49000</c:v>
                </c:pt>
                <c:pt idx="6">
                  <c:v>53000</c:v>
                </c:pt>
                <c:pt idx="7">
                  <c:v>56499.999999999993</c:v>
                </c:pt>
                <c:pt idx="8">
                  <c:v>62000</c:v>
                </c:pt>
                <c:pt idx="9">
                  <c:v>67000</c:v>
                </c:pt>
                <c:pt idx="10">
                  <c:v>71000</c:v>
                </c:pt>
                <c:pt idx="11">
                  <c:v>72000</c:v>
                </c:pt>
                <c:pt idx="12">
                  <c:v>73000</c:v>
                </c:pt>
                <c:pt idx="13">
                  <c:v>72000</c:v>
                </c:pt>
                <c:pt idx="14">
                  <c:v>73000</c:v>
                </c:pt>
                <c:pt idx="15">
                  <c:v>72000</c:v>
                </c:pt>
                <c:pt idx="16">
                  <c:v>71000</c:v>
                </c:pt>
                <c:pt idx="17">
                  <c:v>73000</c:v>
                </c:pt>
                <c:pt idx="18">
                  <c:v>77000</c:v>
                </c:pt>
                <c:pt idx="19">
                  <c:v>79000</c:v>
                </c:pt>
                <c:pt idx="20">
                  <c:v>81000</c:v>
                </c:pt>
                <c:pt idx="21">
                  <c:v>84000</c:v>
                </c:pt>
                <c:pt idx="22">
                  <c:v>83000</c:v>
                </c:pt>
                <c:pt idx="23">
                  <c:v>82000</c:v>
                </c:pt>
                <c:pt idx="24">
                  <c:v>79000</c:v>
                </c:pt>
                <c:pt idx="25">
                  <c:v>76000</c:v>
                </c:pt>
                <c:pt idx="26">
                  <c:v>73000</c:v>
                </c:pt>
                <c:pt idx="27">
                  <c:v>72000</c:v>
                </c:pt>
                <c:pt idx="28">
                  <c:v>75000</c:v>
                </c:pt>
                <c:pt idx="29">
                  <c:v>77000</c:v>
                </c:pt>
                <c:pt idx="30">
                  <c:v>79000</c:v>
                </c:pt>
                <c:pt idx="31">
                  <c:v>81000</c:v>
                </c:pt>
                <c:pt idx="32">
                  <c:v>83000</c:v>
                </c:pt>
                <c:pt idx="33">
                  <c:v>85000</c:v>
                </c:pt>
                <c:pt idx="34">
                  <c:v>85000</c:v>
                </c:pt>
                <c:pt idx="35">
                  <c:v>87000</c:v>
                </c:pt>
                <c:pt idx="36">
                  <c:v>91000</c:v>
                </c:pt>
                <c:pt idx="37">
                  <c:v>87000</c:v>
                </c:pt>
                <c:pt idx="38">
                  <c:v>85000</c:v>
                </c:pt>
                <c:pt idx="39">
                  <c:v>86000</c:v>
                </c:pt>
                <c:pt idx="40">
                  <c:v>86500</c:v>
                </c:pt>
                <c:pt idx="41">
                  <c:v>87500</c:v>
                </c:pt>
                <c:pt idx="42">
                  <c:v>88000</c:v>
                </c:pt>
                <c:pt idx="43">
                  <c:v>92000</c:v>
                </c:pt>
                <c:pt idx="44">
                  <c:v>90000</c:v>
                </c:pt>
                <c:pt idx="45">
                  <c:v>88000</c:v>
                </c:pt>
                <c:pt idx="46">
                  <c:v>87000</c:v>
                </c:pt>
                <c:pt idx="47">
                  <c:v>93000</c:v>
                </c:pt>
                <c:pt idx="48">
                  <c:v>95000</c:v>
                </c:pt>
                <c:pt idx="49">
                  <c:v>91000</c:v>
                </c:pt>
                <c:pt idx="50">
                  <c:v>90000</c:v>
                </c:pt>
                <c:pt idx="51">
                  <c:v>91000</c:v>
                </c:pt>
                <c:pt idx="52">
                  <c:v>89000</c:v>
                </c:pt>
                <c:pt idx="53">
                  <c:v>89000</c:v>
                </c:pt>
                <c:pt idx="54">
                  <c:v>92000</c:v>
                </c:pt>
                <c:pt idx="55">
                  <c:v>96000</c:v>
                </c:pt>
                <c:pt idx="56">
                  <c:v>93000</c:v>
                </c:pt>
                <c:pt idx="57">
                  <c:v>92000</c:v>
                </c:pt>
                <c:pt idx="58">
                  <c:v>96000</c:v>
                </c:pt>
                <c:pt idx="59">
                  <c:v>99000</c:v>
                </c:pt>
              </c:numCache>
            </c:numRef>
          </c:val>
          <c:smooth val="0"/>
          <c:extLst>
            <c:ext xmlns:c16="http://schemas.microsoft.com/office/drawing/2014/chart" uri="{C3380CC4-5D6E-409C-BE32-E72D297353CC}">
              <c16:uniqueId val="{00000000-1CEA-4151-A185-F3FE08F7C511}"/>
            </c:ext>
          </c:extLst>
        </c:ser>
        <c:dLbls>
          <c:showLegendKey val="0"/>
          <c:showVal val="0"/>
          <c:showCatName val="0"/>
          <c:showSerName val="0"/>
          <c:showPercent val="0"/>
          <c:showBubbleSize val="0"/>
        </c:dLbls>
        <c:marker val="1"/>
        <c:smooth val="0"/>
        <c:axId val="125040128"/>
        <c:axId val="134426624"/>
      </c:lineChart>
      <c:catAx>
        <c:axId val="125040128"/>
        <c:scaling>
          <c:orientation val="minMax"/>
        </c:scaling>
        <c:delete val="0"/>
        <c:axPos val="b"/>
        <c:title>
          <c:tx>
            <c:rich>
              <a:bodyPr/>
              <a:lstStyle/>
              <a:p>
                <a:pPr>
                  <a:defRPr sz="1175" b="1" i="0" u="none" strike="noStrike" baseline="0">
                    <a:solidFill>
                      <a:srgbClr val="000000"/>
                    </a:solidFill>
                    <a:latin typeface="Arial"/>
                    <a:ea typeface="Arial"/>
                    <a:cs typeface="Arial"/>
                  </a:defRPr>
                </a:pPr>
                <a:r>
                  <a:rPr lang="en-US"/>
                  <a:t>Month</a:t>
                </a:r>
              </a:p>
            </c:rich>
          </c:tx>
          <c:layout>
            <c:manualLayout>
              <c:xMode val="edge"/>
              <c:yMode val="edge"/>
              <c:x val="0.51550455417878971"/>
              <c:y val="0.921349972762838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2700000" vert="horz"/>
          <a:lstStyle/>
          <a:p>
            <a:pPr>
              <a:defRPr sz="1175" b="0" i="0" u="none" strike="noStrike" baseline="0">
                <a:solidFill>
                  <a:srgbClr val="000000"/>
                </a:solidFill>
                <a:latin typeface="Arial"/>
                <a:ea typeface="Arial"/>
                <a:cs typeface="Arial"/>
              </a:defRPr>
            </a:pPr>
            <a:endParaRPr lang="es-ES"/>
          </a:p>
        </c:txPr>
        <c:crossAx val="134426624"/>
        <c:crosses val="autoZero"/>
        <c:auto val="1"/>
        <c:lblAlgn val="ctr"/>
        <c:lblOffset val="100"/>
        <c:tickLblSkip val="3"/>
        <c:tickMarkSkip val="1"/>
        <c:noMultiLvlLbl val="0"/>
      </c:catAx>
      <c:valAx>
        <c:axId val="134426624"/>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000000"/>
                    </a:solidFill>
                    <a:latin typeface="Arial"/>
                    <a:ea typeface="Arial"/>
                    <a:cs typeface="Arial"/>
                  </a:defRPr>
                </a:pPr>
                <a:r>
                  <a:rPr lang="en-US"/>
                  <a:t>Sales</a:t>
                </a:r>
              </a:p>
            </c:rich>
          </c:tx>
          <c:layout>
            <c:manualLayout>
              <c:xMode val="edge"/>
              <c:yMode val="edge"/>
              <c:x val="1.8087855297157646E-2"/>
              <c:y val="0.42322171049373525"/>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a:ea typeface="Arial"/>
                <a:cs typeface="Arial"/>
              </a:defRPr>
            </a:pPr>
            <a:endParaRPr lang="es-ES"/>
          </a:p>
        </c:txPr>
        <c:crossAx val="125040128"/>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a:ea typeface="Arial"/>
          <a:cs typeface="Arial"/>
        </a:defRPr>
      </a:pPr>
      <a:endParaRPr lang="es-ES"/>
    </a:p>
  </c:txPr>
  <c:printSettings>
    <c:headerFooter/>
    <c:pageMargins b="0.75000000000000022" l="0.70000000000000018" r="0.70000000000000018" t="0.75000000000000022" header="0.3000000000000001" footer="0.3000000000000001"/>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'Previsión Centro'!$D$20</c:f>
              <c:strCache>
                <c:ptCount val="1"/>
                <c:pt idx="0">
                  <c:v>Demand Dt</c:v>
                </c:pt>
              </c:strCache>
            </c:strRef>
          </c:tx>
          <c:xVal>
            <c:numRef>
              <c:f>'Previsión Centro'!$C$21:$C$80</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'Previsión Centro'!$D$21:$D$80</c:f>
              <c:numCache>
                <c:formatCode>General</c:formatCode>
                <c:ptCount val="60"/>
                <c:pt idx="0">
                  <c:v>10000</c:v>
                </c:pt>
                <c:pt idx="1">
                  <c:v>32000</c:v>
                </c:pt>
                <c:pt idx="2">
                  <c:v>39000</c:v>
                </c:pt>
                <c:pt idx="3">
                  <c:v>42000</c:v>
                </c:pt>
                <c:pt idx="4">
                  <c:v>45000</c:v>
                </c:pt>
                <c:pt idx="5">
                  <c:v>49000</c:v>
                </c:pt>
                <c:pt idx="6">
                  <c:v>53000</c:v>
                </c:pt>
                <c:pt idx="7">
                  <c:v>56499.999999999993</c:v>
                </c:pt>
                <c:pt idx="8">
                  <c:v>62000</c:v>
                </c:pt>
                <c:pt idx="9">
                  <c:v>67000</c:v>
                </c:pt>
                <c:pt idx="10">
                  <c:v>71000</c:v>
                </c:pt>
                <c:pt idx="11">
                  <c:v>72000</c:v>
                </c:pt>
                <c:pt idx="12">
                  <c:v>73000</c:v>
                </c:pt>
                <c:pt idx="13">
                  <c:v>72000</c:v>
                </c:pt>
                <c:pt idx="14">
                  <c:v>73000</c:v>
                </c:pt>
                <c:pt idx="15">
                  <c:v>72000</c:v>
                </c:pt>
                <c:pt idx="16">
                  <c:v>71000</c:v>
                </c:pt>
                <c:pt idx="17">
                  <c:v>73000</c:v>
                </c:pt>
                <c:pt idx="18">
                  <c:v>77000</c:v>
                </c:pt>
                <c:pt idx="19">
                  <c:v>79000</c:v>
                </c:pt>
                <c:pt idx="20">
                  <c:v>81000</c:v>
                </c:pt>
                <c:pt idx="21">
                  <c:v>84000</c:v>
                </c:pt>
                <c:pt idx="22">
                  <c:v>83000</c:v>
                </c:pt>
                <c:pt idx="23">
                  <c:v>82000</c:v>
                </c:pt>
                <c:pt idx="24">
                  <c:v>79000</c:v>
                </c:pt>
                <c:pt idx="25">
                  <c:v>76000</c:v>
                </c:pt>
                <c:pt idx="26">
                  <c:v>73000</c:v>
                </c:pt>
                <c:pt idx="27">
                  <c:v>72000</c:v>
                </c:pt>
                <c:pt idx="28">
                  <c:v>75000</c:v>
                </c:pt>
                <c:pt idx="29">
                  <c:v>77000</c:v>
                </c:pt>
                <c:pt idx="30">
                  <c:v>79000</c:v>
                </c:pt>
                <c:pt idx="31">
                  <c:v>81000</c:v>
                </c:pt>
                <c:pt idx="32">
                  <c:v>83000</c:v>
                </c:pt>
                <c:pt idx="33">
                  <c:v>85000</c:v>
                </c:pt>
                <c:pt idx="34">
                  <c:v>85000</c:v>
                </c:pt>
                <c:pt idx="35">
                  <c:v>87000</c:v>
                </c:pt>
                <c:pt idx="36">
                  <c:v>91000</c:v>
                </c:pt>
                <c:pt idx="37">
                  <c:v>87000</c:v>
                </c:pt>
                <c:pt idx="38">
                  <c:v>85000</c:v>
                </c:pt>
                <c:pt idx="39">
                  <c:v>86000</c:v>
                </c:pt>
                <c:pt idx="40">
                  <c:v>86500</c:v>
                </c:pt>
                <c:pt idx="41">
                  <c:v>87500</c:v>
                </c:pt>
                <c:pt idx="42">
                  <c:v>88000</c:v>
                </c:pt>
                <c:pt idx="43">
                  <c:v>92000</c:v>
                </c:pt>
                <c:pt idx="44">
                  <c:v>90000</c:v>
                </c:pt>
                <c:pt idx="45">
                  <c:v>88000</c:v>
                </c:pt>
                <c:pt idx="46">
                  <c:v>87000</c:v>
                </c:pt>
                <c:pt idx="47">
                  <c:v>93000</c:v>
                </c:pt>
                <c:pt idx="48">
                  <c:v>95000</c:v>
                </c:pt>
                <c:pt idx="49">
                  <c:v>91000</c:v>
                </c:pt>
                <c:pt idx="50">
                  <c:v>90000</c:v>
                </c:pt>
                <c:pt idx="51">
                  <c:v>91000</c:v>
                </c:pt>
                <c:pt idx="52">
                  <c:v>89000</c:v>
                </c:pt>
                <c:pt idx="53">
                  <c:v>89000</c:v>
                </c:pt>
                <c:pt idx="54">
                  <c:v>92000</c:v>
                </c:pt>
                <c:pt idx="55">
                  <c:v>96000</c:v>
                </c:pt>
                <c:pt idx="56">
                  <c:v>93000</c:v>
                </c:pt>
                <c:pt idx="57">
                  <c:v>92000</c:v>
                </c:pt>
                <c:pt idx="58">
                  <c:v>96000</c:v>
                </c:pt>
                <c:pt idx="59">
                  <c:v>99000</c:v>
                </c:pt>
              </c:numCache>
            </c:numRef>
          </c:yVal>
          <c:smooth val="0"/>
          <c:extLst>
            <c:ext xmlns:c16="http://schemas.microsoft.com/office/drawing/2014/chart" uri="{C3380CC4-5D6E-409C-BE32-E72D297353CC}">
              <c16:uniqueId val="{00000000-44FC-44B2-8CF6-C270A2AF82B4}"/>
            </c:ext>
          </c:extLst>
        </c:ser>
        <c:ser>
          <c:idx val="1"/>
          <c:order val="1"/>
          <c:tx>
            <c:strRef>
              <c:f>'Previsión Centro'!$E$20</c:f>
              <c:strCache>
                <c:ptCount val="1"/>
                <c:pt idx="0">
                  <c:v>Deseasonalized Demand Dt</c:v>
                </c:pt>
              </c:strCache>
            </c:strRef>
          </c:tx>
          <c:trendline>
            <c:trendlineType val="linear"/>
            <c:dispRSqr val="1"/>
            <c:dispEq val="1"/>
            <c:trendlineLbl>
              <c:numFmt formatCode="General" sourceLinked="0"/>
            </c:trendlineLbl>
          </c:trendline>
          <c:xVal>
            <c:numRef>
              <c:f>'Previsión Centro'!$C$24:$C$74</c:f>
              <c:numCache>
                <c:formatCode>General</c:formatCode>
                <c:ptCount val="51"/>
                <c:pt idx="0">
                  <c:v>4</c:v>
                </c:pt>
                <c:pt idx="1">
                  <c:v>5</c:v>
                </c:pt>
                <c:pt idx="2">
                  <c:v>6</c:v>
                </c:pt>
                <c:pt idx="3">
                  <c:v>7</c:v>
                </c:pt>
                <c:pt idx="4">
                  <c:v>8</c:v>
                </c:pt>
                <c:pt idx="5">
                  <c:v>9</c:v>
                </c:pt>
                <c:pt idx="6">
                  <c:v>10</c:v>
                </c:pt>
                <c:pt idx="7">
                  <c:v>11</c:v>
                </c:pt>
                <c:pt idx="8">
                  <c:v>12</c:v>
                </c:pt>
                <c:pt idx="9">
                  <c:v>13</c:v>
                </c:pt>
                <c:pt idx="10">
                  <c:v>14</c:v>
                </c:pt>
                <c:pt idx="11">
                  <c:v>15</c:v>
                </c:pt>
                <c:pt idx="12">
                  <c:v>16</c:v>
                </c:pt>
                <c:pt idx="13">
                  <c:v>17</c:v>
                </c:pt>
                <c:pt idx="14">
                  <c:v>18</c:v>
                </c:pt>
                <c:pt idx="15">
                  <c:v>19</c:v>
                </c:pt>
                <c:pt idx="16">
                  <c:v>20</c:v>
                </c:pt>
                <c:pt idx="17">
                  <c:v>21</c:v>
                </c:pt>
                <c:pt idx="18">
                  <c:v>22</c:v>
                </c:pt>
                <c:pt idx="19">
                  <c:v>23</c:v>
                </c:pt>
                <c:pt idx="20">
                  <c:v>24</c:v>
                </c:pt>
                <c:pt idx="21">
                  <c:v>25</c:v>
                </c:pt>
                <c:pt idx="22">
                  <c:v>26</c:v>
                </c:pt>
                <c:pt idx="23">
                  <c:v>27</c:v>
                </c:pt>
                <c:pt idx="24">
                  <c:v>28</c:v>
                </c:pt>
                <c:pt idx="25">
                  <c:v>29</c:v>
                </c:pt>
                <c:pt idx="26">
                  <c:v>30</c:v>
                </c:pt>
                <c:pt idx="27">
                  <c:v>31</c:v>
                </c:pt>
                <c:pt idx="28">
                  <c:v>32</c:v>
                </c:pt>
                <c:pt idx="29">
                  <c:v>33</c:v>
                </c:pt>
                <c:pt idx="30">
                  <c:v>34</c:v>
                </c:pt>
                <c:pt idx="31">
                  <c:v>35</c:v>
                </c:pt>
                <c:pt idx="32">
                  <c:v>36</c:v>
                </c:pt>
                <c:pt idx="33">
                  <c:v>37</c:v>
                </c:pt>
                <c:pt idx="34">
                  <c:v>38</c:v>
                </c:pt>
                <c:pt idx="35">
                  <c:v>39</c:v>
                </c:pt>
                <c:pt idx="36">
                  <c:v>40</c:v>
                </c:pt>
                <c:pt idx="37">
                  <c:v>41</c:v>
                </c:pt>
                <c:pt idx="38">
                  <c:v>42</c:v>
                </c:pt>
                <c:pt idx="39">
                  <c:v>43</c:v>
                </c:pt>
                <c:pt idx="40">
                  <c:v>44</c:v>
                </c:pt>
                <c:pt idx="41">
                  <c:v>45</c:v>
                </c:pt>
                <c:pt idx="42">
                  <c:v>46</c:v>
                </c:pt>
                <c:pt idx="43">
                  <c:v>47</c:v>
                </c:pt>
                <c:pt idx="44">
                  <c:v>48</c:v>
                </c:pt>
                <c:pt idx="45">
                  <c:v>49</c:v>
                </c:pt>
                <c:pt idx="46">
                  <c:v>50</c:v>
                </c:pt>
                <c:pt idx="47">
                  <c:v>51</c:v>
                </c:pt>
                <c:pt idx="48">
                  <c:v>52</c:v>
                </c:pt>
                <c:pt idx="49">
                  <c:v>53</c:v>
                </c:pt>
                <c:pt idx="50">
                  <c:v>54</c:v>
                </c:pt>
              </c:numCache>
            </c:numRef>
          </c:xVal>
          <c:yVal>
            <c:numRef>
              <c:f>'Previsión Centro'!$E$24:$E$74</c:f>
              <c:numCache>
                <c:formatCode>0</c:formatCode>
                <c:ptCount val="51"/>
                <c:pt idx="0">
                  <c:v>39750</c:v>
                </c:pt>
                <c:pt idx="1">
                  <c:v>45375</c:v>
                </c:pt>
                <c:pt idx="2">
                  <c:v>49333.333333333336</c:v>
                </c:pt>
                <c:pt idx="3">
                  <c:v>53333.333333333336</c:v>
                </c:pt>
                <c:pt idx="4">
                  <c:v>57583.333333333336</c:v>
                </c:pt>
                <c:pt idx="5">
                  <c:v>61666.666666666664</c:v>
                </c:pt>
                <c:pt idx="6">
                  <c:v>65250</c:v>
                </c:pt>
                <c:pt idx="7">
                  <c:v>68208.333333333328</c:v>
                </c:pt>
                <c:pt idx="8">
                  <c:v>70416.666666666672</c:v>
                </c:pt>
                <c:pt idx="9">
                  <c:v>71750</c:v>
                </c:pt>
                <c:pt idx="10">
                  <c:v>72166.666666666672</c:v>
                </c:pt>
                <c:pt idx="11">
                  <c:v>72250</c:v>
                </c:pt>
                <c:pt idx="12">
                  <c:v>72666.666666666672</c:v>
                </c:pt>
                <c:pt idx="13">
                  <c:v>73583.333333333328</c:v>
                </c:pt>
                <c:pt idx="14">
                  <c:v>74833.333333333328</c:v>
                </c:pt>
                <c:pt idx="15">
                  <c:v>76916.666666666672</c:v>
                </c:pt>
                <c:pt idx="16">
                  <c:v>77333.333333333328</c:v>
                </c:pt>
                <c:pt idx="17">
                  <c:v>77500</c:v>
                </c:pt>
                <c:pt idx="18">
                  <c:v>77500</c:v>
                </c:pt>
                <c:pt idx="19">
                  <c:v>77666.666666666672</c:v>
                </c:pt>
                <c:pt idx="20">
                  <c:v>78000</c:v>
                </c:pt>
                <c:pt idx="21">
                  <c:v>78250</c:v>
                </c:pt>
                <c:pt idx="22">
                  <c:v>78416.666666666672</c:v>
                </c:pt>
                <c:pt idx="23">
                  <c:v>78583.333333333328</c:v>
                </c:pt>
                <c:pt idx="24">
                  <c:v>78708.333333333328</c:v>
                </c:pt>
                <c:pt idx="25">
                  <c:v>78833.333333333328</c:v>
                </c:pt>
                <c:pt idx="26">
                  <c:v>79125</c:v>
                </c:pt>
                <c:pt idx="27">
                  <c:v>79833.333333333328</c:v>
                </c:pt>
                <c:pt idx="28">
                  <c:v>80791.666666666672</c:v>
                </c:pt>
                <c:pt idx="29">
                  <c:v>81750</c:v>
                </c:pt>
                <c:pt idx="30">
                  <c:v>82833.333333333328</c:v>
                </c:pt>
                <c:pt idx="31">
                  <c:v>83895.833333333328</c:v>
                </c:pt>
                <c:pt idx="32">
                  <c:v>84812.5</c:v>
                </c:pt>
                <c:pt idx="33">
                  <c:v>85625</c:v>
                </c:pt>
                <c:pt idx="34">
                  <c:v>86458.333333333328</c:v>
                </c:pt>
                <c:pt idx="35">
                  <c:v>87208.333333333328</c:v>
                </c:pt>
                <c:pt idx="36">
                  <c:v>87625</c:v>
                </c:pt>
                <c:pt idx="37">
                  <c:v>87833.333333333328</c:v>
                </c:pt>
                <c:pt idx="38">
                  <c:v>88166.666666666672</c:v>
                </c:pt>
                <c:pt idx="39">
                  <c:v>88583.333333333328</c:v>
                </c:pt>
                <c:pt idx="40">
                  <c:v>88916.666666666672</c:v>
                </c:pt>
                <c:pt idx="41">
                  <c:v>89291.666666666672</c:v>
                </c:pt>
                <c:pt idx="42">
                  <c:v>89708.333333333328</c:v>
                </c:pt>
                <c:pt idx="43">
                  <c:v>90020.833333333328</c:v>
                </c:pt>
                <c:pt idx="44">
                  <c:v>90187.5</c:v>
                </c:pt>
                <c:pt idx="45">
                  <c:v>90416.666666666672</c:v>
                </c:pt>
                <c:pt idx="46">
                  <c:v>90750</c:v>
                </c:pt>
                <c:pt idx="47">
                  <c:v>91041.666666666672</c:v>
                </c:pt>
                <c:pt idx="48">
                  <c:v>91333.333333333328</c:v>
                </c:pt>
                <c:pt idx="49">
                  <c:v>91875</c:v>
                </c:pt>
                <c:pt idx="50">
                  <c:v>92500</c:v>
                </c:pt>
              </c:numCache>
            </c:numRef>
          </c:yVal>
          <c:smooth val="0"/>
          <c:extLst>
            <c:ext xmlns:c16="http://schemas.microsoft.com/office/drawing/2014/chart" uri="{C3380CC4-5D6E-409C-BE32-E72D297353CC}">
              <c16:uniqueId val="{00000002-44FC-44B2-8CF6-C270A2AF82B4}"/>
            </c:ext>
          </c:extLst>
        </c:ser>
        <c:ser>
          <c:idx val="2"/>
          <c:order val="2"/>
          <c:tx>
            <c:strRef>
              <c:f>'Previsión Centro'!$H$20</c:f>
              <c:strCache>
                <c:ptCount val="1"/>
                <c:pt idx="0">
                  <c:v>Forecast</c:v>
                </c:pt>
              </c:strCache>
            </c:strRef>
          </c:tx>
          <c:xVal>
            <c:numRef>
              <c:f>'Previsión Centro'!$C$21:$C$80</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'Previsión Centro'!$H$21:$H$92</c:f>
              <c:numCache>
                <c:formatCode>0</c:formatCode>
                <c:ptCount val="72"/>
                <c:pt idx="0">
                  <c:v>40210.582482740851</c:v>
                </c:pt>
                <c:pt idx="1">
                  <c:v>50913.073676567372</c:v>
                </c:pt>
                <c:pt idx="2">
                  <c:v>62453.311605598377</c:v>
                </c:pt>
                <c:pt idx="3">
                  <c:v>74421.129729587774</c:v>
                </c:pt>
                <c:pt idx="4">
                  <c:v>88230.186214151705</c:v>
                </c:pt>
                <c:pt idx="5">
                  <c:v>95324.560313820926</c:v>
                </c:pt>
                <c:pt idx="6">
                  <c:v>107888.41580991262</c:v>
                </c:pt>
                <c:pt idx="7">
                  <c:v>118952.43697932377</c:v>
                </c:pt>
                <c:pt idx="8">
                  <c:v>123895.39733058414</c:v>
                </c:pt>
                <c:pt idx="9">
                  <c:v>130683.82212841892</c:v>
                </c:pt>
                <c:pt idx="10">
                  <c:v>135073.17964001579</c:v>
                </c:pt>
                <c:pt idx="11">
                  <c:v>144368.17931778653</c:v>
                </c:pt>
                <c:pt idx="12">
                  <c:v>173096.2589224804</c:v>
                </c:pt>
                <c:pt idx="13">
                  <c:v>182836.61583998799</c:v>
                </c:pt>
                <c:pt idx="14">
                  <c:v>195541.68161010757</c:v>
                </c:pt>
                <c:pt idx="15">
                  <c:v>209096.77455788129</c:v>
                </c:pt>
                <c:pt idx="16">
                  <c:v>226972.46038604289</c:v>
                </c:pt>
                <c:pt idx="17">
                  <c:v>227855.63157906715</c:v>
                </c:pt>
                <c:pt idx="18">
                  <c:v>242312.8442104655</c:v>
                </c:pt>
                <c:pt idx="19">
                  <c:v>253221.08022534632</c:v>
                </c:pt>
                <c:pt idx="20">
                  <c:v>251719.86614112585</c:v>
                </c:pt>
                <c:pt idx="21">
                  <c:v>254837.7309124344</c:v>
                </c:pt>
                <c:pt idx="22">
                  <c:v>253983.09568938572</c:v>
                </c:pt>
                <c:pt idx="23">
                  <c:v>262774.38082125474</c:v>
                </c:pt>
                <c:pt idx="24">
                  <c:v>305981.93536221993</c:v>
                </c:pt>
                <c:pt idx="25">
                  <c:v>314760.15800340858</c:v>
                </c:pt>
                <c:pt idx="26">
                  <c:v>328630.05161461682</c:v>
                </c:pt>
                <c:pt idx="27">
                  <c:v>343772.41938617482</c:v>
                </c:pt>
                <c:pt idx="28">
                  <c:v>365714.73455793411</c:v>
                </c:pt>
                <c:pt idx="29">
                  <c:v>360386.70284431335</c:v>
                </c:pt>
                <c:pt idx="30">
                  <c:v>376737.27261101839</c:v>
                </c:pt>
                <c:pt idx="31">
                  <c:v>387489.72347136884</c:v>
                </c:pt>
                <c:pt idx="32">
                  <c:v>379544.33495166752</c:v>
                </c:pt>
                <c:pt idx="33">
                  <c:v>378991.63969644991</c:v>
                </c:pt>
                <c:pt idx="34">
                  <c:v>372893.01173875568</c:v>
                </c:pt>
                <c:pt idx="35">
                  <c:v>381180.5823247229</c:v>
                </c:pt>
                <c:pt idx="36">
                  <c:v>438867.61180195952</c:v>
                </c:pt>
                <c:pt idx="37">
                  <c:v>446683.70016682916</c:v>
                </c:pt>
                <c:pt idx="38">
                  <c:v>461718.42161912605</c:v>
                </c:pt>
                <c:pt idx="39">
                  <c:v>478448.06421446835</c:v>
                </c:pt>
                <c:pt idx="40">
                  <c:v>504457.00872982526</c:v>
                </c:pt>
                <c:pt idx="41">
                  <c:v>492917.77410955966</c:v>
                </c:pt>
                <c:pt idx="42">
                  <c:v>511161.70101157128</c:v>
                </c:pt>
                <c:pt idx="43">
                  <c:v>521758.36671739141</c:v>
                </c:pt>
                <c:pt idx="44">
                  <c:v>507368.80376220925</c:v>
                </c:pt>
                <c:pt idx="45">
                  <c:v>503145.54848046537</c:v>
                </c:pt>
                <c:pt idx="46">
                  <c:v>491802.92778812558</c:v>
                </c:pt>
                <c:pt idx="47">
                  <c:v>499586.78382819111</c:v>
                </c:pt>
                <c:pt idx="48">
                  <c:v>571753.28824169899</c:v>
                </c:pt>
                <c:pt idx="49">
                  <c:v>578607.24233024986</c:v>
                </c:pt>
                <c:pt idx="50">
                  <c:v>594806.79162363522</c:v>
                </c:pt>
                <c:pt idx="51">
                  <c:v>613123.70904276182</c:v>
                </c:pt>
                <c:pt idx="52">
                  <c:v>643199.28290171642</c:v>
                </c:pt>
                <c:pt idx="53">
                  <c:v>625448.84537480585</c:v>
                </c:pt>
                <c:pt idx="54">
                  <c:v>645586.12941212417</c:v>
                </c:pt>
                <c:pt idx="55">
                  <c:v>656027.00996341405</c:v>
                </c:pt>
                <c:pt idx="56">
                  <c:v>635193.27257275092</c:v>
                </c:pt>
                <c:pt idx="57">
                  <c:v>627299.457264481</c:v>
                </c:pt>
                <c:pt idx="58">
                  <c:v>610712.84383749566</c:v>
                </c:pt>
                <c:pt idx="59">
                  <c:v>617992.98533165932</c:v>
                </c:pt>
                <c:pt idx="60">
                  <c:v>704638.96468143864</c:v>
                </c:pt>
                <c:pt idx="61">
                  <c:v>710530.78449367045</c:v>
                </c:pt>
                <c:pt idx="62">
                  <c:v>727895.16162814456</c:v>
                </c:pt>
                <c:pt idx="63">
                  <c:v>747799.35387105541</c:v>
                </c:pt>
                <c:pt idx="64">
                  <c:v>781941.55707360758</c:v>
                </c:pt>
                <c:pt idx="65">
                  <c:v>757979.91664005222</c:v>
                </c:pt>
                <c:pt idx="66">
                  <c:v>780010.55781267723</c:v>
                </c:pt>
                <c:pt idx="67">
                  <c:v>790295.65320943668</c:v>
                </c:pt>
                <c:pt idx="68">
                  <c:v>763017.74138329271</c:v>
                </c:pt>
                <c:pt idx="69">
                  <c:v>751453.36604849633</c:v>
                </c:pt>
                <c:pt idx="70">
                  <c:v>729622.75988686562</c:v>
                </c:pt>
                <c:pt idx="71">
                  <c:v>736399.18683512753</c:v>
                </c:pt>
              </c:numCache>
            </c:numRef>
          </c:yVal>
          <c:smooth val="0"/>
          <c:extLst>
            <c:ext xmlns:c16="http://schemas.microsoft.com/office/drawing/2014/chart" uri="{C3380CC4-5D6E-409C-BE32-E72D297353CC}">
              <c16:uniqueId val="{00000002-F36E-45EC-9894-D13A23301461}"/>
            </c:ext>
          </c:extLst>
        </c:ser>
        <c:dLbls>
          <c:showLegendKey val="0"/>
          <c:showVal val="0"/>
          <c:showCatName val="0"/>
          <c:showSerName val="0"/>
          <c:showPercent val="0"/>
          <c:showBubbleSize val="0"/>
        </c:dLbls>
        <c:axId val="135772032"/>
        <c:axId val="135619328"/>
      </c:scatterChart>
      <c:valAx>
        <c:axId val="135772032"/>
        <c:scaling>
          <c:orientation val="minMax"/>
        </c:scaling>
        <c:delete val="0"/>
        <c:axPos val="b"/>
        <c:majorGridlines/>
        <c:minorGridlines/>
        <c:title>
          <c:tx>
            <c:rich>
              <a:bodyPr/>
              <a:lstStyle/>
              <a:p>
                <a:pPr>
                  <a:defRPr/>
                </a:pPr>
                <a:r>
                  <a:rPr lang="es-ES"/>
                  <a:t>Meses</a:t>
                </a:r>
              </a:p>
            </c:rich>
          </c:tx>
          <c:overlay val="0"/>
        </c:title>
        <c:numFmt formatCode="General" sourceLinked="1"/>
        <c:majorTickMark val="out"/>
        <c:minorTickMark val="none"/>
        <c:tickLblPos val="nextTo"/>
        <c:crossAx val="135619328"/>
        <c:crosses val="autoZero"/>
        <c:crossBetween val="midCat"/>
      </c:valAx>
      <c:valAx>
        <c:axId val="135619328"/>
        <c:scaling>
          <c:orientation val="minMax"/>
        </c:scaling>
        <c:delete val="0"/>
        <c:axPos val="l"/>
        <c:majorGridlines/>
        <c:minorGridlines/>
        <c:title>
          <c:tx>
            <c:rich>
              <a:bodyPr/>
              <a:lstStyle/>
              <a:p>
                <a:pPr>
                  <a:defRPr/>
                </a:pPr>
                <a:r>
                  <a:rPr lang="es-ES"/>
                  <a:t>Demanda</a:t>
                </a:r>
              </a:p>
            </c:rich>
          </c:tx>
          <c:overlay val="0"/>
        </c:title>
        <c:numFmt formatCode="General" sourceLinked="1"/>
        <c:majorTickMark val="out"/>
        <c:minorTickMark val="none"/>
        <c:tickLblPos val="nextTo"/>
        <c:crossAx val="135772032"/>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25" b="1" i="0" u="none" strike="noStrike" baseline="0">
                <a:solidFill>
                  <a:srgbClr val="000000"/>
                </a:solidFill>
                <a:latin typeface="Arial"/>
                <a:ea typeface="Arial"/>
                <a:cs typeface="Arial"/>
              </a:defRPr>
            </a:pPr>
            <a:r>
              <a:rPr lang="en-US"/>
              <a:t>Monthly Demand ABC Corporation </a:t>
            </a:r>
          </a:p>
        </c:rich>
      </c:tx>
      <c:layout>
        <c:manualLayout>
          <c:xMode val="edge"/>
          <c:yMode val="edge"/>
          <c:x val="0.18217081391957773"/>
          <c:y val="2.9962660327836378E-2"/>
        </c:manualLayout>
      </c:layout>
      <c:overlay val="0"/>
      <c:spPr>
        <a:noFill/>
        <a:ln w="25400">
          <a:noFill/>
        </a:ln>
      </c:spPr>
    </c:title>
    <c:autoTitleDeleted val="0"/>
    <c:plotArea>
      <c:layout>
        <c:manualLayout>
          <c:layoutTarget val="inner"/>
          <c:xMode val="edge"/>
          <c:yMode val="edge"/>
          <c:x val="0.13436709459672602"/>
          <c:y val="0.11610508124319939"/>
          <c:w val="0.83204239346434095"/>
          <c:h val="0.7059938004626799"/>
        </c:manualLayout>
      </c:layout>
      <c:lineChart>
        <c:grouping val="standard"/>
        <c:varyColors val="0"/>
        <c:ser>
          <c:idx val="0"/>
          <c:order val="0"/>
          <c:spPr>
            <a:ln w="12700">
              <a:solidFill>
                <a:srgbClr val="000080"/>
              </a:solidFill>
              <a:prstDash val="solid"/>
            </a:ln>
          </c:spPr>
          <c:marker>
            <c:symbol val="diamond"/>
            <c:size val="5"/>
            <c:spPr>
              <a:solidFill>
                <a:srgbClr val="000080"/>
              </a:solidFill>
              <a:ln>
                <a:solidFill>
                  <a:srgbClr val="000080"/>
                </a:solidFill>
                <a:prstDash val="solid"/>
              </a:ln>
            </c:spPr>
          </c:marker>
          <c:cat>
            <c:strRef>
              <c:f>'Previsión Centro'!$B$21:$B$80</c:f>
              <c:strCache>
                <c:ptCount val="60"/>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pt idx="48">
                  <c:v>JAN</c:v>
                </c:pt>
                <c:pt idx="49">
                  <c:v>FEB</c:v>
                </c:pt>
                <c:pt idx="50">
                  <c:v>MAR</c:v>
                </c:pt>
                <c:pt idx="51">
                  <c:v>APR</c:v>
                </c:pt>
                <c:pt idx="52">
                  <c:v>MAY</c:v>
                </c:pt>
                <c:pt idx="53">
                  <c:v>JUN</c:v>
                </c:pt>
                <c:pt idx="54">
                  <c:v>JUL</c:v>
                </c:pt>
                <c:pt idx="55">
                  <c:v>AUG</c:v>
                </c:pt>
                <c:pt idx="56">
                  <c:v>SEP</c:v>
                </c:pt>
                <c:pt idx="57">
                  <c:v>OCT</c:v>
                </c:pt>
                <c:pt idx="58">
                  <c:v>NOV</c:v>
                </c:pt>
                <c:pt idx="59">
                  <c:v>DEC</c:v>
                </c:pt>
              </c:strCache>
            </c:strRef>
          </c:cat>
          <c:val>
            <c:numRef>
              <c:f>'Previsión Centro'!$D$21:$D$80</c:f>
              <c:numCache>
                <c:formatCode>General</c:formatCode>
                <c:ptCount val="60"/>
                <c:pt idx="0">
                  <c:v>10000</c:v>
                </c:pt>
                <c:pt idx="1">
                  <c:v>32000</c:v>
                </c:pt>
                <c:pt idx="2">
                  <c:v>39000</c:v>
                </c:pt>
                <c:pt idx="3">
                  <c:v>42000</c:v>
                </c:pt>
                <c:pt idx="4">
                  <c:v>45000</c:v>
                </c:pt>
                <c:pt idx="5">
                  <c:v>49000</c:v>
                </c:pt>
                <c:pt idx="6">
                  <c:v>53000</c:v>
                </c:pt>
                <c:pt idx="7">
                  <c:v>56499.999999999993</c:v>
                </c:pt>
                <c:pt idx="8">
                  <c:v>62000</c:v>
                </c:pt>
                <c:pt idx="9">
                  <c:v>67000</c:v>
                </c:pt>
                <c:pt idx="10">
                  <c:v>71000</c:v>
                </c:pt>
                <c:pt idx="11">
                  <c:v>72000</c:v>
                </c:pt>
                <c:pt idx="12">
                  <c:v>73000</c:v>
                </c:pt>
                <c:pt idx="13">
                  <c:v>72000</c:v>
                </c:pt>
                <c:pt idx="14">
                  <c:v>73000</c:v>
                </c:pt>
                <c:pt idx="15">
                  <c:v>72000</c:v>
                </c:pt>
                <c:pt idx="16">
                  <c:v>71000</c:v>
                </c:pt>
                <c:pt idx="17">
                  <c:v>73000</c:v>
                </c:pt>
                <c:pt idx="18">
                  <c:v>77000</c:v>
                </c:pt>
                <c:pt idx="19">
                  <c:v>79000</c:v>
                </c:pt>
                <c:pt idx="20">
                  <c:v>81000</c:v>
                </c:pt>
                <c:pt idx="21">
                  <c:v>84000</c:v>
                </c:pt>
                <c:pt idx="22">
                  <c:v>83000</c:v>
                </c:pt>
                <c:pt idx="23">
                  <c:v>82000</c:v>
                </c:pt>
                <c:pt idx="24">
                  <c:v>79000</c:v>
                </c:pt>
                <c:pt idx="25">
                  <c:v>76000</c:v>
                </c:pt>
                <c:pt idx="26">
                  <c:v>73000</c:v>
                </c:pt>
                <c:pt idx="27">
                  <c:v>72000</c:v>
                </c:pt>
                <c:pt idx="28">
                  <c:v>75000</c:v>
                </c:pt>
                <c:pt idx="29">
                  <c:v>77000</c:v>
                </c:pt>
                <c:pt idx="30">
                  <c:v>79000</c:v>
                </c:pt>
                <c:pt idx="31">
                  <c:v>81000</c:v>
                </c:pt>
                <c:pt idx="32">
                  <c:v>83000</c:v>
                </c:pt>
                <c:pt idx="33">
                  <c:v>85000</c:v>
                </c:pt>
                <c:pt idx="34">
                  <c:v>85000</c:v>
                </c:pt>
                <c:pt idx="35">
                  <c:v>87000</c:v>
                </c:pt>
                <c:pt idx="36">
                  <c:v>91000</c:v>
                </c:pt>
                <c:pt idx="37">
                  <c:v>87000</c:v>
                </c:pt>
                <c:pt idx="38">
                  <c:v>85000</c:v>
                </c:pt>
                <c:pt idx="39">
                  <c:v>86000</c:v>
                </c:pt>
                <c:pt idx="40">
                  <c:v>86500</c:v>
                </c:pt>
                <c:pt idx="41">
                  <c:v>87500</c:v>
                </c:pt>
                <c:pt idx="42">
                  <c:v>88000</c:v>
                </c:pt>
                <c:pt idx="43">
                  <c:v>92000</c:v>
                </c:pt>
                <c:pt idx="44">
                  <c:v>90000</c:v>
                </c:pt>
                <c:pt idx="45">
                  <c:v>88000</c:v>
                </c:pt>
                <c:pt idx="46">
                  <c:v>87000</c:v>
                </c:pt>
                <c:pt idx="47">
                  <c:v>93000</c:v>
                </c:pt>
                <c:pt idx="48">
                  <c:v>95000</c:v>
                </c:pt>
                <c:pt idx="49">
                  <c:v>91000</c:v>
                </c:pt>
                <c:pt idx="50">
                  <c:v>90000</c:v>
                </c:pt>
                <c:pt idx="51">
                  <c:v>91000</c:v>
                </c:pt>
                <c:pt idx="52">
                  <c:v>89000</c:v>
                </c:pt>
                <c:pt idx="53">
                  <c:v>89000</c:v>
                </c:pt>
                <c:pt idx="54">
                  <c:v>92000</c:v>
                </c:pt>
                <c:pt idx="55">
                  <c:v>96000</c:v>
                </c:pt>
                <c:pt idx="56">
                  <c:v>93000</c:v>
                </c:pt>
                <c:pt idx="57">
                  <c:v>92000</c:v>
                </c:pt>
                <c:pt idx="58">
                  <c:v>96000</c:v>
                </c:pt>
                <c:pt idx="59">
                  <c:v>99000</c:v>
                </c:pt>
              </c:numCache>
            </c:numRef>
          </c:val>
          <c:smooth val="0"/>
          <c:extLst>
            <c:ext xmlns:c16="http://schemas.microsoft.com/office/drawing/2014/chart" uri="{C3380CC4-5D6E-409C-BE32-E72D297353CC}">
              <c16:uniqueId val="{00000000-B95C-4BFE-9142-5B5C4F981EDA}"/>
            </c:ext>
          </c:extLst>
        </c:ser>
        <c:dLbls>
          <c:showLegendKey val="0"/>
          <c:showVal val="0"/>
          <c:showCatName val="0"/>
          <c:showSerName val="0"/>
          <c:showPercent val="0"/>
          <c:showBubbleSize val="0"/>
        </c:dLbls>
        <c:marker val="1"/>
        <c:smooth val="0"/>
        <c:axId val="125040128"/>
        <c:axId val="134426624"/>
      </c:lineChart>
      <c:catAx>
        <c:axId val="125040128"/>
        <c:scaling>
          <c:orientation val="minMax"/>
        </c:scaling>
        <c:delete val="0"/>
        <c:axPos val="b"/>
        <c:title>
          <c:tx>
            <c:rich>
              <a:bodyPr/>
              <a:lstStyle/>
              <a:p>
                <a:pPr>
                  <a:defRPr sz="1175" b="1" i="0" u="none" strike="noStrike" baseline="0">
                    <a:solidFill>
                      <a:srgbClr val="000000"/>
                    </a:solidFill>
                    <a:latin typeface="Arial"/>
                    <a:ea typeface="Arial"/>
                    <a:cs typeface="Arial"/>
                  </a:defRPr>
                </a:pPr>
                <a:r>
                  <a:rPr lang="en-US"/>
                  <a:t>Month</a:t>
                </a:r>
              </a:p>
            </c:rich>
          </c:tx>
          <c:layout>
            <c:manualLayout>
              <c:xMode val="edge"/>
              <c:yMode val="edge"/>
              <c:x val="0.51550455417878971"/>
              <c:y val="0.921349972762838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2700000" vert="horz"/>
          <a:lstStyle/>
          <a:p>
            <a:pPr>
              <a:defRPr sz="1175" b="0" i="0" u="none" strike="noStrike" baseline="0">
                <a:solidFill>
                  <a:srgbClr val="000000"/>
                </a:solidFill>
                <a:latin typeface="Arial"/>
                <a:ea typeface="Arial"/>
                <a:cs typeface="Arial"/>
              </a:defRPr>
            </a:pPr>
            <a:endParaRPr lang="es-ES"/>
          </a:p>
        </c:txPr>
        <c:crossAx val="134426624"/>
        <c:crosses val="autoZero"/>
        <c:auto val="1"/>
        <c:lblAlgn val="ctr"/>
        <c:lblOffset val="100"/>
        <c:tickLblSkip val="3"/>
        <c:tickMarkSkip val="1"/>
        <c:noMultiLvlLbl val="0"/>
      </c:catAx>
      <c:valAx>
        <c:axId val="134426624"/>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000000"/>
                    </a:solidFill>
                    <a:latin typeface="Arial"/>
                    <a:ea typeface="Arial"/>
                    <a:cs typeface="Arial"/>
                  </a:defRPr>
                </a:pPr>
                <a:r>
                  <a:rPr lang="en-US"/>
                  <a:t>Sales</a:t>
                </a:r>
              </a:p>
            </c:rich>
          </c:tx>
          <c:layout>
            <c:manualLayout>
              <c:xMode val="edge"/>
              <c:yMode val="edge"/>
              <c:x val="1.8087855297157646E-2"/>
              <c:y val="0.42322171049373525"/>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a:ea typeface="Arial"/>
                <a:cs typeface="Arial"/>
              </a:defRPr>
            </a:pPr>
            <a:endParaRPr lang="es-ES"/>
          </a:p>
        </c:txPr>
        <c:crossAx val="125040128"/>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a:ea typeface="Arial"/>
          <a:cs typeface="Arial"/>
        </a:defRPr>
      </a:pPr>
      <a:endParaRPr lang="es-ES"/>
    </a:p>
  </c:txPr>
  <c:printSettings>
    <c:headerFooter/>
    <c:pageMargins b="0.75000000000000022" l="0.70000000000000018" r="0.70000000000000018" t="0.75000000000000022" header="0.3000000000000001" footer="0.3000000000000001"/>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'Previsión Centro'!$D$20</c:f>
              <c:strCache>
                <c:ptCount val="1"/>
                <c:pt idx="0">
                  <c:v>Demand Dt</c:v>
                </c:pt>
              </c:strCache>
            </c:strRef>
          </c:tx>
          <c:xVal>
            <c:numRef>
              <c:f>'Previsión Centro'!$C$21:$C$80</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'Previsión Centro'!$D$21:$D$80</c:f>
              <c:numCache>
                <c:formatCode>General</c:formatCode>
                <c:ptCount val="60"/>
                <c:pt idx="0">
                  <c:v>10000</c:v>
                </c:pt>
                <c:pt idx="1">
                  <c:v>32000</c:v>
                </c:pt>
                <c:pt idx="2">
                  <c:v>39000</c:v>
                </c:pt>
                <c:pt idx="3">
                  <c:v>42000</c:v>
                </c:pt>
                <c:pt idx="4">
                  <c:v>45000</c:v>
                </c:pt>
                <c:pt idx="5">
                  <c:v>49000</c:v>
                </c:pt>
                <c:pt idx="6">
                  <c:v>53000</c:v>
                </c:pt>
                <c:pt idx="7">
                  <c:v>56499.999999999993</c:v>
                </c:pt>
                <c:pt idx="8">
                  <c:v>62000</c:v>
                </c:pt>
                <c:pt idx="9">
                  <c:v>67000</c:v>
                </c:pt>
                <c:pt idx="10">
                  <c:v>71000</c:v>
                </c:pt>
                <c:pt idx="11">
                  <c:v>72000</c:v>
                </c:pt>
                <c:pt idx="12">
                  <c:v>73000</c:v>
                </c:pt>
                <c:pt idx="13">
                  <c:v>72000</c:v>
                </c:pt>
                <c:pt idx="14">
                  <c:v>73000</c:v>
                </c:pt>
                <c:pt idx="15">
                  <c:v>72000</c:v>
                </c:pt>
                <c:pt idx="16">
                  <c:v>71000</c:v>
                </c:pt>
                <c:pt idx="17">
                  <c:v>73000</c:v>
                </c:pt>
                <c:pt idx="18">
                  <c:v>77000</c:v>
                </c:pt>
                <c:pt idx="19">
                  <c:v>79000</c:v>
                </c:pt>
                <c:pt idx="20">
                  <c:v>81000</c:v>
                </c:pt>
                <c:pt idx="21">
                  <c:v>84000</c:v>
                </c:pt>
                <c:pt idx="22">
                  <c:v>83000</c:v>
                </c:pt>
                <c:pt idx="23">
                  <c:v>82000</c:v>
                </c:pt>
                <c:pt idx="24">
                  <c:v>79000</c:v>
                </c:pt>
                <c:pt idx="25">
                  <c:v>76000</c:v>
                </c:pt>
                <c:pt idx="26">
                  <c:v>73000</c:v>
                </c:pt>
                <c:pt idx="27">
                  <c:v>72000</c:v>
                </c:pt>
                <c:pt idx="28">
                  <c:v>75000</c:v>
                </c:pt>
                <c:pt idx="29">
                  <c:v>77000</c:v>
                </c:pt>
                <c:pt idx="30">
                  <c:v>79000</c:v>
                </c:pt>
                <c:pt idx="31">
                  <c:v>81000</c:v>
                </c:pt>
                <c:pt idx="32">
                  <c:v>83000</c:v>
                </c:pt>
                <c:pt idx="33">
                  <c:v>85000</c:v>
                </c:pt>
                <c:pt idx="34">
                  <c:v>85000</c:v>
                </c:pt>
                <c:pt idx="35">
                  <c:v>87000</c:v>
                </c:pt>
                <c:pt idx="36">
                  <c:v>91000</c:v>
                </c:pt>
                <c:pt idx="37">
                  <c:v>87000</c:v>
                </c:pt>
                <c:pt idx="38">
                  <c:v>85000</c:v>
                </c:pt>
                <c:pt idx="39">
                  <c:v>86000</c:v>
                </c:pt>
                <c:pt idx="40">
                  <c:v>86500</c:v>
                </c:pt>
                <c:pt idx="41">
                  <c:v>87500</c:v>
                </c:pt>
                <c:pt idx="42">
                  <c:v>88000</c:v>
                </c:pt>
                <c:pt idx="43">
                  <c:v>92000</c:v>
                </c:pt>
                <c:pt idx="44">
                  <c:v>90000</c:v>
                </c:pt>
                <c:pt idx="45">
                  <c:v>88000</c:v>
                </c:pt>
                <c:pt idx="46">
                  <c:v>87000</c:v>
                </c:pt>
                <c:pt idx="47">
                  <c:v>93000</c:v>
                </c:pt>
                <c:pt idx="48">
                  <c:v>95000</c:v>
                </c:pt>
                <c:pt idx="49">
                  <c:v>91000</c:v>
                </c:pt>
                <c:pt idx="50">
                  <c:v>90000</c:v>
                </c:pt>
                <c:pt idx="51">
                  <c:v>91000</c:v>
                </c:pt>
                <c:pt idx="52">
                  <c:v>89000</c:v>
                </c:pt>
                <c:pt idx="53">
                  <c:v>89000</c:v>
                </c:pt>
                <c:pt idx="54">
                  <c:v>92000</c:v>
                </c:pt>
                <c:pt idx="55">
                  <c:v>96000</c:v>
                </c:pt>
                <c:pt idx="56">
                  <c:v>93000</c:v>
                </c:pt>
                <c:pt idx="57">
                  <c:v>92000</c:v>
                </c:pt>
                <c:pt idx="58">
                  <c:v>96000</c:v>
                </c:pt>
                <c:pt idx="59">
                  <c:v>99000</c:v>
                </c:pt>
              </c:numCache>
            </c:numRef>
          </c:yVal>
          <c:smooth val="0"/>
          <c:extLst>
            <c:ext xmlns:c16="http://schemas.microsoft.com/office/drawing/2014/chart" uri="{C3380CC4-5D6E-409C-BE32-E72D297353CC}">
              <c16:uniqueId val="{00000000-DDFE-4535-BBF2-4D3DE26F3FFB}"/>
            </c:ext>
          </c:extLst>
        </c:ser>
        <c:ser>
          <c:idx val="1"/>
          <c:order val="1"/>
          <c:tx>
            <c:strRef>
              <c:f>'Previsión Centro'!$E$20</c:f>
              <c:strCache>
                <c:ptCount val="1"/>
                <c:pt idx="0">
                  <c:v>Deseasonalized Demand Dt</c:v>
                </c:pt>
              </c:strCache>
            </c:strRef>
          </c:tx>
          <c:trendline>
            <c:trendlineType val="linear"/>
            <c:dispRSqr val="1"/>
            <c:dispEq val="1"/>
            <c:trendlineLbl>
              <c:numFmt formatCode="General" sourceLinked="0"/>
            </c:trendlineLbl>
          </c:trendline>
          <c:xVal>
            <c:numRef>
              <c:f>'Previsión Centro'!$C$24:$C$74</c:f>
              <c:numCache>
                <c:formatCode>General</c:formatCode>
                <c:ptCount val="51"/>
                <c:pt idx="0">
                  <c:v>4</c:v>
                </c:pt>
                <c:pt idx="1">
                  <c:v>5</c:v>
                </c:pt>
                <c:pt idx="2">
                  <c:v>6</c:v>
                </c:pt>
                <c:pt idx="3">
                  <c:v>7</c:v>
                </c:pt>
                <c:pt idx="4">
                  <c:v>8</c:v>
                </c:pt>
                <c:pt idx="5">
                  <c:v>9</c:v>
                </c:pt>
                <c:pt idx="6">
                  <c:v>10</c:v>
                </c:pt>
                <c:pt idx="7">
                  <c:v>11</c:v>
                </c:pt>
                <c:pt idx="8">
                  <c:v>12</c:v>
                </c:pt>
                <c:pt idx="9">
                  <c:v>13</c:v>
                </c:pt>
                <c:pt idx="10">
                  <c:v>14</c:v>
                </c:pt>
                <c:pt idx="11">
                  <c:v>15</c:v>
                </c:pt>
                <c:pt idx="12">
                  <c:v>16</c:v>
                </c:pt>
                <c:pt idx="13">
                  <c:v>17</c:v>
                </c:pt>
                <c:pt idx="14">
                  <c:v>18</c:v>
                </c:pt>
                <c:pt idx="15">
                  <c:v>19</c:v>
                </c:pt>
                <c:pt idx="16">
                  <c:v>20</c:v>
                </c:pt>
                <c:pt idx="17">
                  <c:v>21</c:v>
                </c:pt>
                <c:pt idx="18">
                  <c:v>22</c:v>
                </c:pt>
                <c:pt idx="19">
                  <c:v>23</c:v>
                </c:pt>
                <c:pt idx="20">
                  <c:v>24</c:v>
                </c:pt>
                <c:pt idx="21">
                  <c:v>25</c:v>
                </c:pt>
                <c:pt idx="22">
                  <c:v>26</c:v>
                </c:pt>
                <c:pt idx="23">
                  <c:v>27</c:v>
                </c:pt>
                <c:pt idx="24">
                  <c:v>28</c:v>
                </c:pt>
                <c:pt idx="25">
                  <c:v>29</c:v>
                </c:pt>
                <c:pt idx="26">
                  <c:v>30</c:v>
                </c:pt>
                <c:pt idx="27">
                  <c:v>31</c:v>
                </c:pt>
                <c:pt idx="28">
                  <c:v>32</c:v>
                </c:pt>
                <c:pt idx="29">
                  <c:v>33</c:v>
                </c:pt>
                <c:pt idx="30">
                  <c:v>34</c:v>
                </c:pt>
                <c:pt idx="31">
                  <c:v>35</c:v>
                </c:pt>
                <c:pt idx="32">
                  <c:v>36</c:v>
                </c:pt>
                <c:pt idx="33">
                  <c:v>37</c:v>
                </c:pt>
                <c:pt idx="34">
                  <c:v>38</c:v>
                </c:pt>
                <c:pt idx="35">
                  <c:v>39</c:v>
                </c:pt>
                <c:pt idx="36">
                  <c:v>40</c:v>
                </c:pt>
                <c:pt idx="37">
                  <c:v>41</c:v>
                </c:pt>
                <c:pt idx="38">
                  <c:v>42</c:v>
                </c:pt>
                <c:pt idx="39">
                  <c:v>43</c:v>
                </c:pt>
                <c:pt idx="40">
                  <c:v>44</c:v>
                </c:pt>
                <c:pt idx="41">
                  <c:v>45</c:v>
                </c:pt>
                <c:pt idx="42">
                  <c:v>46</c:v>
                </c:pt>
                <c:pt idx="43">
                  <c:v>47</c:v>
                </c:pt>
                <c:pt idx="44">
                  <c:v>48</c:v>
                </c:pt>
                <c:pt idx="45">
                  <c:v>49</c:v>
                </c:pt>
                <c:pt idx="46">
                  <c:v>50</c:v>
                </c:pt>
                <c:pt idx="47">
                  <c:v>51</c:v>
                </c:pt>
                <c:pt idx="48">
                  <c:v>52</c:v>
                </c:pt>
                <c:pt idx="49">
                  <c:v>53</c:v>
                </c:pt>
                <c:pt idx="50">
                  <c:v>54</c:v>
                </c:pt>
              </c:numCache>
            </c:numRef>
          </c:xVal>
          <c:yVal>
            <c:numRef>
              <c:f>'Previsión Centro'!$E$24:$E$74</c:f>
              <c:numCache>
                <c:formatCode>0</c:formatCode>
                <c:ptCount val="51"/>
                <c:pt idx="0">
                  <c:v>39750</c:v>
                </c:pt>
                <c:pt idx="1">
                  <c:v>45375</c:v>
                </c:pt>
                <c:pt idx="2">
                  <c:v>49333.333333333336</c:v>
                </c:pt>
                <c:pt idx="3">
                  <c:v>53333.333333333336</c:v>
                </c:pt>
                <c:pt idx="4">
                  <c:v>57583.333333333336</c:v>
                </c:pt>
                <c:pt idx="5">
                  <c:v>61666.666666666664</c:v>
                </c:pt>
                <c:pt idx="6">
                  <c:v>65250</c:v>
                </c:pt>
                <c:pt idx="7">
                  <c:v>68208.333333333328</c:v>
                </c:pt>
                <c:pt idx="8">
                  <c:v>70416.666666666672</c:v>
                </c:pt>
                <c:pt idx="9">
                  <c:v>71750</c:v>
                </c:pt>
                <c:pt idx="10">
                  <c:v>72166.666666666672</c:v>
                </c:pt>
                <c:pt idx="11">
                  <c:v>72250</c:v>
                </c:pt>
                <c:pt idx="12">
                  <c:v>72666.666666666672</c:v>
                </c:pt>
                <c:pt idx="13">
                  <c:v>73583.333333333328</c:v>
                </c:pt>
                <c:pt idx="14">
                  <c:v>74833.333333333328</c:v>
                </c:pt>
                <c:pt idx="15">
                  <c:v>76916.666666666672</c:v>
                </c:pt>
                <c:pt idx="16">
                  <c:v>77333.333333333328</c:v>
                </c:pt>
                <c:pt idx="17">
                  <c:v>77500</c:v>
                </c:pt>
                <c:pt idx="18">
                  <c:v>77500</c:v>
                </c:pt>
                <c:pt idx="19">
                  <c:v>77666.666666666672</c:v>
                </c:pt>
                <c:pt idx="20">
                  <c:v>78000</c:v>
                </c:pt>
                <c:pt idx="21">
                  <c:v>78250</c:v>
                </c:pt>
                <c:pt idx="22">
                  <c:v>78416.666666666672</c:v>
                </c:pt>
                <c:pt idx="23">
                  <c:v>78583.333333333328</c:v>
                </c:pt>
                <c:pt idx="24">
                  <c:v>78708.333333333328</c:v>
                </c:pt>
                <c:pt idx="25">
                  <c:v>78833.333333333328</c:v>
                </c:pt>
                <c:pt idx="26">
                  <c:v>79125</c:v>
                </c:pt>
                <c:pt idx="27">
                  <c:v>79833.333333333328</c:v>
                </c:pt>
                <c:pt idx="28">
                  <c:v>80791.666666666672</c:v>
                </c:pt>
                <c:pt idx="29">
                  <c:v>81750</c:v>
                </c:pt>
                <c:pt idx="30">
                  <c:v>82833.333333333328</c:v>
                </c:pt>
                <c:pt idx="31">
                  <c:v>83895.833333333328</c:v>
                </c:pt>
                <c:pt idx="32">
                  <c:v>84812.5</c:v>
                </c:pt>
                <c:pt idx="33">
                  <c:v>85625</c:v>
                </c:pt>
                <c:pt idx="34">
                  <c:v>86458.333333333328</c:v>
                </c:pt>
                <c:pt idx="35">
                  <c:v>87208.333333333328</c:v>
                </c:pt>
                <c:pt idx="36">
                  <c:v>87625</c:v>
                </c:pt>
                <c:pt idx="37">
                  <c:v>87833.333333333328</c:v>
                </c:pt>
                <c:pt idx="38">
                  <c:v>88166.666666666672</c:v>
                </c:pt>
                <c:pt idx="39">
                  <c:v>88583.333333333328</c:v>
                </c:pt>
                <c:pt idx="40">
                  <c:v>88916.666666666672</c:v>
                </c:pt>
                <c:pt idx="41">
                  <c:v>89291.666666666672</c:v>
                </c:pt>
                <c:pt idx="42">
                  <c:v>89708.333333333328</c:v>
                </c:pt>
                <c:pt idx="43">
                  <c:v>90020.833333333328</c:v>
                </c:pt>
                <c:pt idx="44">
                  <c:v>90187.5</c:v>
                </c:pt>
                <c:pt idx="45">
                  <c:v>90416.666666666672</c:v>
                </c:pt>
                <c:pt idx="46">
                  <c:v>90750</c:v>
                </c:pt>
                <c:pt idx="47">
                  <c:v>91041.666666666672</c:v>
                </c:pt>
                <c:pt idx="48">
                  <c:v>91333.333333333328</c:v>
                </c:pt>
                <c:pt idx="49">
                  <c:v>91875</c:v>
                </c:pt>
                <c:pt idx="50">
                  <c:v>92500</c:v>
                </c:pt>
              </c:numCache>
            </c:numRef>
          </c:yVal>
          <c:smooth val="0"/>
          <c:extLst>
            <c:ext xmlns:c16="http://schemas.microsoft.com/office/drawing/2014/chart" uri="{C3380CC4-5D6E-409C-BE32-E72D297353CC}">
              <c16:uniqueId val="{00000002-DDFE-4535-BBF2-4D3DE26F3FFB}"/>
            </c:ext>
          </c:extLst>
        </c:ser>
        <c:ser>
          <c:idx val="2"/>
          <c:order val="2"/>
          <c:tx>
            <c:strRef>
              <c:f>'Previsión Centro'!$H$20</c:f>
              <c:strCache>
                <c:ptCount val="1"/>
                <c:pt idx="0">
                  <c:v>Forecast</c:v>
                </c:pt>
              </c:strCache>
            </c:strRef>
          </c:tx>
          <c:xVal>
            <c:numRef>
              <c:f>'Previsión Centro'!$C$21:$C$80</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'Previsión Centro'!$H$21:$H$92</c:f>
              <c:numCache>
                <c:formatCode>0</c:formatCode>
                <c:ptCount val="72"/>
                <c:pt idx="0">
                  <c:v>40210.582482740851</c:v>
                </c:pt>
                <c:pt idx="1">
                  <c:v>50913.073676567372</c:v>
                </c:pt>
                <c:pt idx="2">
                  <c:v>62453.311605598377</c:v>
                </c:pt>
                <c:pt idx="3">
                  <c:v>74421.129729587774</c:v>
                </c:pt>
                <c:pt idx="4">
                  <c:v>88230.186214151705</c:v>
                </c:pt>
                <c:pt idx="5">
                  <c:v>95324.560313820926</c:v>
                </c:pt>
                <c:pt idx="6">
                  <c:v>107888.41580991262</c:v>
                </c:pt>
                <c:pt idx="7">
                  <c:v>118952.43697932377</c:v>
                </c:pt>
                <c:pt idx="8">
                  <c:v>123895.39733058414</c:v>
                </c:pt>
                <c:pt idx="9">
                  <c:v>130683.82212841892</c:v>
                </c:pt>
                <c:pt idx="10">
                  <c:v>135073.17964001579</c:v>
                </c:pt>
                <c:pt idx="11">
                  <c:v>144368.17931778653</c:v>
                </c:pt>
                <c:pt idx="12">
                  <c:v>173096.2589224804</c:v>
                </c:pt>
                <c:pt idx="13">
                  <c:v>182836.61583998799</c:v>
                </c:pt>
                <c:pt idx="14">
                  <c:v>195541.68161010757</c:v>
                </c:pt>
                <c:pt idx="15">
                  <c:v>209096.77455788129</c:v>
                </c:pt>
                <c:pt idx="16">
                  <c:v>226972.46038604289</c:v>
                </c:pt>
                <c:pt idx="17">
                  <c:v>227855.63157906715</c:v>
                </c:pt>
                <c:pt idx="18">
                  <c:v>242312.8442104655</c:v>
                </c:pt>
                <c:pt idx="19">
                  <c:v>253221.08022534632</c:v>
                </c:pt>
                <c:pt idx="20">
                  <c:v>251719.86614112585</c:v>
                </c:pt>
                <c:pt idx="21">
                  <c:v>254837.7309124344</c:v>
                </c:pt>
                <c:pt idx="22">
                  <c:v>253983.09568938572</c:v>
                </c:pt>
                <c:pt idx="23">
                  <c:v>262774.38082125474</c:v>
                </c:pt>
                <c:pt idx="24">
                  <c:v>305981.93536221993</c:v>
                </c:pt>
                <c:pt idx="25">
                  <c:v>314760.15800340858</c:v>
                </c:pt>
                <c:pt idx="26">
                  <c:v>328630.05161461682</c:v>
                </c:pt>
                <c:pt idx="27">
                  <c:v>343772.41938617482</c:v>
                </c:pt>
                <c:pt idx="28">
                  <c:v>365714.73455793411</c:v>
                </c:pt>
                <c:pt idx="29">
                  <c:v>360386.70284431335</c:v>
                </c:pt>
                <c:pt idx="30">
                  <c:v>376737.27261101839</c:v>
                </c:pt>
                <c:pt idx="31">
                  <c:v>387489.72347136884</c:v>
                </c:pt>
                <c:pt idx="32">
                  <c:v>379544.33495166752</c:v>
                </c:pt>
                <c:pt idx="33">
                  <c:v>378991.63969644991</c:v>
                </c:pt>
                <c:pt idx="34">
                  <c:v>372893.01173875568</c:v>
                </c:pt>
                <c:pt idx="35">
                  <c:v>381180.5823247229</c:v>
                </c:pt>
                <c:pt idx="36">
                  <c:v>438867.61180195952</c:v>
                </c:pt>
                <c:pt idx="37">
                  <c:v>446683.70016682916</c:v>
                </c:pt>
                <c:pt idx="38">
                  <c:v>461718.42161912605</c:v>
                </c:pt>
                <c:pt idx="39">
                  <c:v>478448.06421446835</c:v>
                </c:pt>
                <c:pt idx="40">
                  <c:v>504457.00872982526</c:v>
                </c:pt>
                <c:pt idx="41">
                  <c:v>492917.77410955966</c:v>
                </c:pt>
                <c:pt idx="42">
                  <c:v>511161.70101157128</c:v>
                </c:pt>
                <c:pt idx="43">
                  <c:v>521758.36671739141</c:v>
                </c:pt>
                <c:pt idx="44">
                  <c:v>507368.80376220925</c:v>
                </c:pt>
                <c:pt idx="45">
                  <c:v>503145.54848046537</c:v>
                </c:pt>
                <c:pt idx="46">
                  <c:v>491802.92778812558</c:v>
                </c:pt>
                <c:pt idx="47">
                  <c:v>499586.78382819111</c:v>
                </c:pt>
                <c:pt idx="48">
                  <c:v>571753.28824169899</c:v>
                </c:pt>
                <c:pt idx="49">
                  <c:v>578607.24233024986</c:v>
                </c:pt>
                <c:pt idx="50">
                  <c:v>594806.79162363522</c:v>
                </c:pt>
                <c:pt idx="51">
                  <c:v>613123.70904276182</c:v>
                </c:pt>
                <c:pt idx="52">
                  <c:v>643199.28290171642</c:v>
                </c:pt>
                <c:pt idx="53">
                  <c:v>625448.84537480585</c:v>
                </c:pt>
                <c:pt idx="54">
                  <c:v>645586.12941212417</c:v>
                </c:pt>
                <c:pt idx="55">
                  <c:v>656027.00996341405</c:v>
                </c:pt>
                <c:pt idx="56">
                  <c:v>635193.27257275092</c:v>
                </c:pt>
                <c:pt idx="57">
                  <c:v>627299.457264481</c:v>
                </c:pt>
                <c:pt idx="58">
                  <c:v>610712.84383749566</c:v>
                </c:pt>
                <c:pt idx="59">
                  <c:v>617992.98533165932</c:v>
                </c:pt>
                <c:pt idx="60">
                  <c:v>704638.96468143864</c:v>
                </c:pt>
                <c:pt idx="61">
                  <c:v>710530.78449367045</c:v>
                </c:pt>
                <c:pt idx="62">
                  <c:v>727895.16162814456</c:v>
                </c:pt>
                <c:pt idx="63">
                  <c:v>747799.35387105541</c:v>
                </c:pt>
                <c:pt idx="64">
                  <c:v>781941.55707360758</c:v>
                </c:pt>
                <c:pt idx="65">
                  <c:v>757979.91664005222</c:v>
                </c:pt>
                <c:pt idx="66">
                  <c:v>780010.55781267723</c:v>
                </c:pt>
                <c:pt idx="67">
                  <c:v>790295.65320943668</c:v>
                </c:pt>
                <c:pt idx="68">
                  <c:v>763017.74138329271</c:v>
                </c:pt>
                <c:pt idx="69">
                  <c:v>751453.36604849633</c:v>
                </c:pt>
                <c:pt idx="70">
                  <c:v>729622.75988686562</c:v>
                </c:pt>
                <c:pt idx="71">
                  <c:v>736399.18683512753</c:v>
                </c:pt>
              </c:numCache>
            </c:numRef>
          </c:yVal>
          <c:smooth val="0"/>
          <c:extLst>
            <c:ext xmlns:c16="http://schemas.microsoft.com/office/drawing/2014/chart" uri="{C3380CC4-5D6E-409C-BE32-E72D297353CC}">
              <c16:uniqueId val="{00000003-DDFE-4535-BBF2-4D3DE26F3FFB}"/>
            </c:ext>
          </c:extLst>
        </c:ser>
        <c:dLbls>
          <c:showLegendKey val="0"/>
          <c:showVal val="0"/>
          <c:showCatName val="0"/>
          <c:showSerName val="0"/>
          <c:showPercent val="0"/>
          <c:showBubbleSize val="0"/>
        </c:dLbls>
        <c:axId val="135772032"/>
        <c:axId val="135619328"/>
      </c:scatterChart>
      <c:valAx>
        <c:axId val="135772032"/>
        <c:scaling>
          <c:orientation val="minMax"/>
        </c:scaling>
        <c:delete val="0"/>
        <c:axPos val="b"/>
        <c:majorGridlines/>
        <c:minorGridlines/>
        <c:title>
          <c:tx>
            <c:rich>
              <a:bodyPr/>
              <a:lstStyle/>
              <a:p>
                <a:pPr>
                  <a:defRPr/>
                </a:pPr>
                <a:r>
                  <a:rPr lang="es-ES"/>
                  <a:t>Meses</a:t>
                </a:r>
              </a:p>
            </c:rich>
          </c:tx>
          <c:overlay val="0"/>
        </c:title>
        <c:numFmt formatCode="General" sourceLinked="1"/>
        <c:majorTickMark val="out"/>
        <c:minorTickMark val="none"/>
        <c:tickLblPos val="nextTo"/>
        <c:crossAx val="135619328"/>
        <c:crosses val="autoZero"/>
        <c:crossBetween val="midCat"/>
      </c:valAx>
      <c:valAx>
        <c:axId val="135619328"/>
        <c:scaling>
          <c:orientation val="minMax"/>
        </c:scaling>
        <c:delete val="0"/>
        <c:axPos val="l"/>
        <c:majorGridlines/>
        <c:minorGridlines/>
        <c:title>
          <c:tx>
            <c:rich>
              <a:bodyPr/>
              <a:lstStyle/>
              <a:p>
                <a:pPr>
                  <a:defRPr/>
                </a:pPr>
                <a:r>
                  <a:rPr lang="es-ES"/>
                  <a:t>Demanda</a:t>
                </a:r>
              </a:p>
            </c:rich>
          </c:tx>
          <c:overlay val="0"/>
        </c:title>
        <c:numFmt formatCode="General" sourceLinked="1"/>
        <c:majorTickMark val="out"/>
        <c:minorTickMark val="none"/>
        <c:tickLblPos val="nextTo"/>
        <c:crossAx val="135772032"/>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Hoja5!$C$4:$C$15</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Hoja5!$D$4:$D$15</c:f>
              <c:numCache>
                <c:formatCode>"€"#,##0.00_);[Red]\("€"#,##0.00\)</c:formatCode>
                <c:ptCount val="12"/>
                <c:pt idx="0">
                  <c:v>53282.126659617461</c:v>
                </c:pt>
                <c:pt idx="1">
                  <c:v>61602.658324521799</c:v>
                </c:pt>
                <c:pt idx="2">
                  <c:v>76251.402655387894</c:v>
                </c:pt>
                <c:pt idx="3">
                  <c:v>111892.46598519667</c:v>
                </c:pt>
                <c:pt idx="4">
                  <c:v>143861.74198096714</c:v>
                </c:pt>
                <c:pt idx="5">
                  <c:v>145174.59264481399</c:v>
                </c:pt>
                <c:pt idx="6">
                  <c:v>186487.44330866114</c:v>
                </c:pt>
                <c:pt idx="7">
                  <c:v>197800.29397250799</c:v>
                </c:pt>
                <c:pt idx="8">
                  <c:v>217128.50663846999</c:v>
                </c:pt>
                <c:pt idx="9">
                  <c:v>232456.71930443199</c:v>
                </c:pt>
                <c:pt idx="10">
                  <c:v>251120.825637412</c:v>
                </c:pt>
                <c:pt idx="11">
                  <c:v>261441.35730231699</c:v>
                </c:pt>
              </c:numCache>
            </c:numRef>
          </c:yVal>
          <c:smooth val="1"/>
          <c:extLst>
            <c:ext xmlns:c16="http://schemas.microsoft.com/office/drawing/2014/chart" uri="{C3380CC4-5D6E-409C-BE32-E72D297353CC}">
              <c16:uniqueId val="{00000000-9A68-4C14-A093-2040C8B822C0}"/>
            </c:ext>
          </c:extLst>
        </c:ser>
        <c:ser>
          <c:idx val="1"/>
          <c:order val="1"/>
          <c:tx>
            <c:strRef>
              <c:f>Hoja5!$G$3</c:f>
              <c:strCache>
                <c:ptCount val="1"/>
                <c:pt idx="0">
                  <c:v>Yt</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Hoja5!$C$5:$C$21</c:f>
              <c:numCache>
                <c:formatCode>General</c:formatCode>
                <c:ptCount val="17"/>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numCache>
            </c:numRef>
          </c:xVal>
          <c:yVal>
            <c:numRef>
              <c:f>Hoja5!$G$5:$G$21</c:f>
              <c:numCache>
                <c:formatCode>"€"#,##0.00_);[Red]\("€"#,##0.00\)</c:formatCode>
                <c:ptCount val="17"/>
                <c:pt idx="0">
                  <c:v>53282.126659617461</c:v>
                </c:pt>
                <c:pt idx="1">
                  <c:v>63682.742087439357</c:v>
                </c:pt>
                <c:pt idx="2">
                  <c:v>84361.92742793962</c:v>
                </c:pt>
                <c:pt idx="3">
                  <c:v>131248.48830806353</c:v>
                </c:pt>
                <c:pt idx="4">
                  <c:v>175927.82451094294</c:v>
                </c:pt>
                <c:pt idx="5">
                  <c:v>173931.05426912659</c:v>
                </c:pt>
                <c:pt idx="6">
                  <c:v>207707.39616026575</c:v>
                </c:pt>
                <c:pt idx="7">
                  <c:v>220902.29546949905</c:v>
                </c:pt>
                <c:pt idx="8">
                  <c:v>235847.97849667986</c:v>
                </c:pt>
                <c:pt idx="9">
                  <c:v>249018.3811433955</c:v>
                </c:pt>
                <c:pt idx="10">
                  <c:v>267030.860459321</c:v>
                </c:pt>
                <c:pt idx="11">
                  <c:v>276683.88201985048</c:v>
                </c:pt>
                <c:pt idx="12">
                  <c:v>289986.0929755012</c:v>
                </c:pt>
                <c:pt idx="13">
                  <c:v>303288.30393115192</c:v>
                </c:pt>
                <c:pt idx="14">
                  <c:v>316590.51488680264</c:v>
                </c:pt>
                <c:pt idx="15">
                  <c:v>329892.72584245336</c:v>
                </c:pt>
                <c:pt idx="16">
                  <c:v>343194.93679810409</c:v>
                </c:pt>
              </c:numCache>
            </c:numRef>
          </c:yVal>
          <c:smooth val="1"/>
          <c:extLst>
            <c:ext xmlns:c16="http://schemas.microsoft.com/office/drawing/2014/chart" uri="{C3380CC4-5D6E-409C-BE32-E72D297353CC}">
              <c16:uniqueId val="{00000002-9A68-4C14-A093-2040C8B822C0}"/>
            </c:ext>
          </c:extLst>
        </c:ser>
        <c:dLbls>
          <c:showLegendKey val="0"/>
          <c:showVal val="0"/>
          <c:showCatName val="0"/>
          <c:showSerName val="0"/>
          <c:showPercent val="0"/>
          <c:showBubbleSize val="0"/>
        </c:dLbls>
        <c:axId val="790517088"/>
        <c:axId val="790517416"/>
      </c:scatterChart>
      <c:valAx>
        <c:axId val="790517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90517416"/>
        <c:crosses val="autoZero"/>
        <c:crossBetween val="midCat"/>
      </c:valAx>
      <c:valAx>
        <c:axId val="79051741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905170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25" b="1" i="0" u="none" strike="noStrike" baseline="0">
                <a:solidFill>
                  <a:srgbClr val="000000"/>
                </a:solidFill>
                <a:latin typeface="Arial"/>
                <a:ea typeface="Arial"/>
                <a:cs typeface="Arial"/>
              </a:defRPr>
            </a:pPr>
            <a:r>
              <a:rPr lang="en-US"/>
              <a:t>Monthly Demand ABC Corporation </a:t>
            </a:r>
          </a:p>
        </c:rich>
      </c:tx>
      <c:layout>
        <c:manualLayout>
          <c:xMode val="edge"/>
          <c:yMode val="edge"/>
          <c:x val="0.18217081391957773"/>
          <c:y val="2.9962660327836378E-2"/>
        </c:manualLayout>
      </c:layout>
      <c:overlay val="0"/>
      <c:spPr>
        <a:noFill/>
        <a:ln w="25400">
          <a:noFill/>
        </a:ln>
      </c:spPr>
    </c:title>
    <c:autoTitleDeleted val="0"/>
    <c:plotArea>
      <c:layout>
        <c:manualLayout>
          <c:layoutTarget val="inner"/>
          <c:xMode val="edge"/>
          <c:yMode val="edge"/>
          <c:x val="0.13436709459672602"/>
          <c:y val="0.11610508124319939"/>
          <c:w val="0.83204239346434095"/>
          <c:h val="0.7059938004626799"/>
        </c:manualLayout>
      </c:layout>
      <c:lineChart>
        <c:grouping val="standard"/>
        <c:varyColors val="0"/>
        <c:ser>
          <c:idx val="0"/>
          <c:order val="0"/>
          <c:spPr>
            <a:ln w="12700">
              <a:solidFill>
                <a:srgbClr val="000080"/>
              </a:solidFill>
              <a:prstDash val="solid"/>
            </a:ln>
          </c:spPr>
          <c:marker>
            <c:symbol val="diamond"/>
            <c:size val="5"/>
            <c:spPr>
              <a:solidFill>
                <a:srgbClr val="000080"/>
              </a:solidFill>
              <a:ln>
                <a:solidFill>
                  <a:srgbClr val="000080"/>
                </a:solidFill>
                <a:prstDash val="solid"/>
              </a:ln>
            </c:spPr>
          </c:marker>
          <c:cat>
            <c:strRef>
              <c:f>'Previsión Centro'!$B$21:$B$80</c:f>
              <c:strCache>
                <c:ptCount val="60"/>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pt idx="48">
                  <c:v>JAN</c:v>
                </c:pt>
                <c:pt idx="49">
                  <c:v>FEB</c:v>
                </c:pt>
                <c:pt idx="50">
                  <c:v>MAR</c:v>
                </c:pt>
                <c:pt idx="51">
                  <c:v>APR</c:v>
                </c:pt>
                <c:pt idx="52">
                  <c:v>MAY</c:v>
                </c:pt>
                <c:pt idx="53">
                  <c:v>JUN</c:v>
                </c:pt>
                <c:pt idx="54">
                  <c:v>JUL</c:v>
                </c:pt>
                <c:pt idx="55">
                  <c:v>AUG</c:v>
                </c:pt>
                <c:pt idx="56">
                  <c:v>SEP</c:v>
                </c:pt>
                <c:pt idx="57">
                  <c:v>OCT</c:v>
                </c:pt>
                <c:pt idx="58">
                  <c:v>NOV</c:v>
                </c:pt>
                <c:pt idx="59">
                  <c:v>DEC</c:v>
                </c:pt>
              </c:strCache>
            </c:strRef>
          </c:cat>
          <c:val>
            <c:numRef>
              <c:f>'Previsión Centro'!$D$21:$D$80</c:f>
              <c:numCache>
                <c:formatCode>General</c:formatCode>
                <c:ptCount val="60"/>
                <c:pt idx="0">
                  <c:v>10000</c:v>
                </c:pt>
                <c:pt idx="1">
                  <c:v>32000</c:v>
                </c:pt>
                <c:pt idx="2">
                  <c:v>39000</c:v>
                </c:pt>
                <c:pt idx="3">
                  <c:v>42000</c:v>
                </c:pt>
                <c:pt idx="4">
                  <c:v>45000</c:v>
                </c:pt>
                <c:pt idx="5">
                  <c:v>49000</c:v>
                </c:pt>
                <c:pt idx="6">
                  <c:v>53000</c:v>
                </c:pt>
                <c:pt idx="7">
                  <c:v>56499.999999999993</c:v>
                </c:pt>
                <c:pt idx="8">
                  <c:v>62000</c:v>
                </c:pt>
                <c:pt idx="9">
                  <c:v>67000</c:v>
                </c:pt>
                <c:pt idx="10">
                  <c:v>71000</c:v>
                </c:pt>
                <c:pt idx="11">
                  <c:v>72000</c:v>
                </c:pt>
                <c:pt idx="12">
                  <c:v>73000</c:v>
                </c:pt>
                <c:pt idx="13">
                  <c:v>72000</c:v>
                </c:pt>
                <c:pt idx="14">
                  <c:v>73000</c:v>
                </c:pt>
                <c:pt idx="15">
                  <c:v>72000</c:v>
                </c:pt>
                <c:pt idx="16">
                  <c:v>71000</c:v>
                </c:pt>
                <c:pt idx="17">
                  <c:v>73000</c:v>
                </c:pt>
                <c:pt idx="18">
                  <c:v>77000</c:v>
                </c:pt>
                <c:pt idx="19">
                  <c:v>79000</c:v>
                </c:pt>
                <c:pt idx="20">
                  <c:v>81000</c:v>
                </c:pt>
                <c:pt idx="21">
                  <c:v>84000</c:v>
                </c:pt>
                <c:pt idx="22">
                  <c:v>83000</c:v>
                </c:pt>
                <c:pt idx="23">
                  <c:v>82000</c:v>
                </c:pt>
                <c:pt idx="24">
                  <c:v>79000</c:v>
                </c:pt>
                <c:pt idx="25">
                  <c:v>76000</c:v>
                </c:pt>
                <c:pt idx="26">
                  <c:v>73000</c:v>
                </c:pt>
                <c:pt idx="27">
                  <c:v>72000</c:v>
                </c:pt>
                <c:pt idx="28">
                  <c:v>75000</c:v>
                </c:pt>
                <c:pt idx="29">
                  <c:v>77000</c:v>
                </c:pt>
                <c:pt idx="30">
                  <c:v>79000</c:v>
                </c:pt>
                <c:pt idx="31">
                  <c:v>81000</c:v>
                </c:pt>
                <c:pt idx="32">
                  <c:v>83000</c:v>
                </c:pt>
                <c:pt idx="33">
                  <c:v>85000</c:v>
                </c:pt>
                <c:pt idx="34">
                  <c:v>85000</c:v>
                </c:pt>
                <c:pt idx="35">
                  <c:v>87000</c:v>
                </c:pt>
                <c:pt idx="36">
                  <c:v>91000</c:v>
                </c:pt>
                <c:pt idx="37">
                  <c:v>87000</c:v>
                </c:pt>
                <c:pt idx="38">
                  <c:v>85000</c:v>
                </c:pt>
                <c:pt idx="39">
                  <c:v>86000</c:v>
                </c:pt>
                <c:pt idx="40">
                  <c:v>86500</c:v>
                </c:pt>
                <c:pt idx="41">
                  <c:v>87500</c:v>
                </c:pt>
                <c:pt idx="42">
                  <c:v>88000</c:v>
                </c:pt>
                <c:pt idx="43">
                  <c:v>92000</c:v>
                </c:pt>
                <c:pt idx="44">
                  <c:v>90000</c:v>
                </c:pt>
                <c:pt idx="45">
                  <c:v>88000</c:v>
                </c:pt>
                <c:pt idx="46">
                  <c:v>87000</c:v>
                </c:pt>
                <c:pt idx="47">
                  <c:v>93000</c:v>
                </c:pt>
                <c:pt idx="48">
                  <c:v>95000</c:v>
                </c:pt>
                <c:pt idx="49">
                  <c:v>91000</c:v>
                </c:pt>
                <c:pt idx="50">
                  <c:v>90000</c:v>
                </c:pt>
                <c:pt idx="51">
                  <c:v>91000</c:v>
                </c:pt>
                <c:pt idx="52">
                  <c:v>89000</c:v>
                </c:pt>
                <c:pt idx="53">
                  <c:v>89000</c:v>
                </c:pt>
                <c:pt idx="54">
                  <c:v>92000</c:v>
                </c:pt>
                <c:pt idx="55">
                  <c:v>96000</c:v>
                </c:pt>
                <c:pt idx="56">
                  <c:v>93000</c:v>
                </c:pt>
                <c:pt idx="57">
                  <c:v>92000</c:v>
                </c:pt>
                <c:pt idx="58">
                  <c:v>96000</c:v>
                </c:pt>
                <c:pt idx="59">
                  <c:v>99000</c:v>
                </c:pt>
              </c:numCache>
            </c:numRef>
          </c:val>
          <c:smooth val="0"/>
          <c:extLst>
            <c:ext xmlns:c16="http://schemas.microsoft.com/office/drawing/2014/chart" uri="{C3380CC4-5D6E-409C-BE32-E72D297353CC}">
              <c16:uniqueId val="{00000000-E0D1-4D30-B190-4D21CCA88434}"/>
            </c:ext>
          </c:extLst>
        </c:ser>
        <c:dLbls>
          <c:showLegendKey val="0"/>
          <c:showVal val="0"/>
          <c:showCatName val="0"/>
          <c:showSerName val="0"/>
          <c:showPercent val="0"/>
          <c:showBubbleSize val="0"/>
        </c:dLbls>
        <c:marker val="1"/>
        <c:smooth val="0"/>
        <c:axId val="125040128"/>
        <c:axId val="134426624"/>
      </c:lineChart>
      <c:catAx>
        <c:axId val="125040128"/>
        <c:scaling>
          <c:orientation val="minMax"/>
        </c:scaling>
        <c:delete val="0"/>
        <c:axPos val="b"/>
        <c:title>
          <c:tx>
            <c:rich>
              <a:bodyPr/>
              <a:lstStyle/>
              <a:p>
                <a:pPr>
                  <a:defRPr sz="1175" b="1" i="0" u="none" strike="noStrike" baseline="0">
                    <a:solidFill>
                      <a:srgbClr val="000000"/>
                    </a:solidFill>
                    <a:latin typeface="Arial"/>
                    <a:ea typeface="Arial"/>
                    <a:cs typeface="Arial"/>
                  </a:defRPr>
                </a:pPr>
                <a:r>
                  <a:rPr lang="en-US"/>
                  <a:t>Month</a:t>
                </a:r>
              </a:p>
            </c:rich>
          </c:tx>
          <c:layout>
            <c:manualLayout>
              <c:xMode val="edge"/>
              <c:yMode val="edge"/>
              <c:x val="0.51550455417878971"/>
              <c:y val="0.921349972762838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2700000" vert="horz"/>
          <a:lstStyle/>
          <a:p>
            <a:pPr>
              <a:defRPr sz="1175" b="0" i="0" u="none" strike="noStrike" baseline="0">
                <a:solidFill>
                  <a:srgbClr val="000000"/>
                </a:solidFill>
                <a:latin typeface="Arial"/>
                <a:ea typeface="Arial"/>
                <a:cs typeface="Arial"/>
              </a:defRPr>
            </a:pPr>
            <a:endParaRPr lang="es-ES"/>
          </a:p>
        </c:txPr>
        <c:crossAx val="134426624"/>
        <c:crosses val="autoZero"/>
        <c:auto val="1"/>
        <c:lblAlgn val="ctr"/>
        <c:lblOffset val="100"/>
        <c:tickLblSkip val="3"/>
        <c:tickMarkSkip val="1"/>
        <c:noMultiLvlLbl val="0"/>
      </c:catAx>
      <c:valAx>
        <c:axId val="134426624"/>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000000"/>
                    </a:solidFill>
                    <a:latin typeface="Arial"/>
                    <a:ea typeface="Arial"/>
                    <a:cs typeface="Arial"/>
                  </a:defRPr>
                </a:pPr>
                <a:r>
                  <a:rPr lang="en-US"/>
                  <a:t>Sales</a:t>
                </a:r>
              </a:p>
            </c:rich>
          </c:tx>
          <c:layout>
            <c:manualLayout>
              <c:xMode val="edge"/>
              <c:yMode val="edge"/>
              <c:x val="1.8087855297157646E-2"/>
              <c:y val="0.42322171049373525"/>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a:ea typeface="Arial"/>
                <a:cs typeface="Arial"/>
              </a:defRPr>
            </a:pPr>
            <a:endParaRPr lang="es-ES"/>
          </a:p>
        </c:txPr>
        <c:crossAx val="125040128"/>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a:ea typeface="Arial"/>
          <a:cs typeface="Arial"/>
        </a:defRPr>
      </a:pPr>
      <a:endParaRPr lang="es-ES"/>
    </a:p>
  </c:txPr>
  <c:printSettings>
    <c:headerFooter/>
    <c:pageMargins b="0.75000000000000022" l="0.70000000000000018" r="0.70000000000000018" t="0.75000000000000022" header="0.3000000000000001" footer="0.3000000000000001"/>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'Previsión Centro'!$D$20</c:f>
              <c:strCache>
                <c:ptCount val="1"/>
                <c:pt idx="0">
                  <c:v>Demand Dt</c:v>
                </c:pt>
              </c:strCache>
            </c:strRef>
          </c:tx>
          <c:xVal>
            <c:numRef>
              <c:f>'Previsión Centro'!$C$21:$C$80</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'Previsión Centro'!$D$21:$D$80</c:f>
              <c:numCache>
                <c:formatCode>General</c:formatCode>
                <c:ptCount val="60"/>
                <c:pt idx="0">
                  <c:v>10000</c:v>
                </c:pt>
                <c:pt idx="1">
                  <c:v>32000</c:v>
                </c:pt>
                <c:pt idx="2">
                  <c:v>39000</c:v>
                </c:pt>
                <c:pt idx="3">
                  <c:v>42000</c:v>
                </c:pt>
                <c:pt idx="4">
                  <c:v>45000</c:v>
                </c:pt>
                <c:pt idx="5">
                  <c:v>49000</c:v>
                </c:pt>
                <c:pt idx="6">
                  <c:v>53000</c:v>
                </c:pt>
                <c:pt idx="7">
                  <c:v>56499.999999999993</c:v>
                </c:pt>
                <c:pt idx="8">
                  <c:v>62000</c:v>
                </c:pt>
                <c:pt idx="9">
                  <c:v>67000</c:v>
                </c:pt>
                <c:pt idx="10">
                  <c:v>71000</c:v>
                </c:pt>
                <c:pt idx="11">
                  <c:v>72000</c:v>
                </c:pt>
                <c:pt idx="12">
                  <c:v>73000</c:v>
                </c:pt>
                <c:pt idx="13">
                  <c:v>72000</c:v>
                </c:pt>
                <c:pt idx="14">
                  <c:v>73000</c:v>
                </c:pt>
                <c:pt idx="15">
                  <c:v>72000</c:v>
                </c:pt>
                <c:pt idx="16">
                  <c:v>71000</c:v>
                </c:pt>
                <c:pt idx="17">
                  <c:v>73000</c:v>
                </c:pt>
                <c:pt idx="18">
                  <c:v>77000</c:v>
                </c:pt>
                <c:pt idx="19">
                  <c:v>79000</c:v>
                </c:pt>
                <c:pt idx="20">
                  <c:v>81000</c:v>
                </c:pt>
                <c:pt idx="21">
                  <c:v>84000</c:v>
                </c:pt>
                <c:pt idx="22">
                  <c:v>83000</c:v>
                </c:pt>
                <c:pt idx="23">
                  <c:v>82000</c:v>
                </c:pt>
                <c:pt idx="24">
                  <c:v>79000</c:v>
                </c:pt>
                <c:pt idx="25">
                  <c:v>76000</c:v>
                </c:pt>
                <c:pt idx="26">
                  <c:v>73000</c:v>
                </c:pt>
                <c:pt idx="27">
                  <c:v>72000</c:v>
                </c:pt>
                <c:pt idx="28">
                  <c:v>75000</c:v>
                </c:pt>
                <c:pt idx="29">
                  <c:v>77000</c:v>
                </c:pt>
                <c:pt idx="30">
                  <c:v>79000</c:v>
                </c:pt>
                <c:pt idx="31">
                  <c:v>81000</c:v>
                </c:pt>
                <c:pt idx="32">
                  <c:v>83000</c:v>
                </c:pt>
                <c:pt idx="33">
                  <c:v>85000</c:v>
                </c:pt>
                <c:pt idx="34">
                  <c:v>85000</c:v>
                </c:pt>
                <c:pt idx="35">
                  <c:v>87000</c:v>
                </c:pt>
                <c:pt idx="36">
                  <c:v>91000</c:v>
                </c:pt>
                <c:pt idx="37">
                  <c:v>87000</c:v>
                </c:pt>
                <c:pt idx="38">
                  <c:v>85000</c:v>
                </c:pt>
                <c:pt idx="39">
                  <c:v>86000</c:v>
                </c:pt>
                <c:pt idx="40">
                  <c:v>86500</c:v>
                </c:pt>
                <c:pt idx="41">
                  <c:v>87500</c:v>
                </c:pt>
                <c:pt idx="42">
                  <c:v>88000</c:v>
                </c:pt>
                <c:pt idx="43">
                  <c:v>92000</c:v>
                </c:pt>
                <c:pt idx="44">
                  <c:v>90000</c:v>
                </c:pt>
                <c:pt idx="45">
                  <c:v>88000</c:v>
                </c:pt>
                <c:pt idx="46">
                  <c:v>87000</c:v>
                </c:pt>
                <c:pt idx="47">
                  <c:v>93000</c:v>
                </c:pt>
                <c:pt idx="48">
                  <c:v>95000</c:v>
                </c:pt>
                <c:pt idx="49">
                  <c:v>91000</c:v>
                </c:pt>
                <c:pt idx="50">
                  <c:v>90000</c:v>
                </c:pt>
                <c:pt idx="51">
                  <c:v>91000</c:v>
                </c:pt>
                <c:pt idx="52">
                  <c:v>89000</c:v>
                </c:pt>
                <c:pt idx="53">
                  <c:v>89000</c:v>
                </c:pt>
                <c:pt idx="54">
                  <c:v>92000</c:v>
                </c:pt>
                <c:pt idx="55">
                  <c:v>96000</c:v>
                </c:pt>
                <c:pt idx="56">
                  <c:v>93000</c:v>
                </c:pt>
                <c:pt idx="57">
                  <c:v>92000</c:v>
                </c:pt>
                <c:pt idx="58">
                  <c:v>96000</c:v>
                </c:pt>
                <c:pt idx="59">
                  <c:v>99000</c:v>
                </c:pt>
              </c:numCache>
            </c:numRef>
          </c:yVal>
          <c:smooth val="0"/>
          <c:extLst>
            <c:ext xmlns:c16="http://schemas.microsoft.com/office/drawing/2014/chart" uri="{C3380CC4-5D6E-409C-BE32-E72D297353CC}">
              <c16:uniqueId val="{00000000-FDE5-4CBA-B41D-968F46FC1A44}"/>
            </c:ext>
          </c:extLst>
        </c:ser>
        <c:ser>
          <c:idx val="1"/>
          <c:order val="1"/>
          <c:tx>
            <c:strRef>
              <c:f>'Previsión Centro'!$E$20</c:f>
              <c:strCache>
                <c:ptCount val="1"/>
                <c:pt idx="0">
                  <c:v>Deseasonalized Demand Dt</c:v>
                </c:pt>
              </c:strCache>
            </c:strRef>
          </c:tx>
          <c:trendline>
            <c:trendlineType val="linear"/>
            <c:dispRSqr val="1"/>
            <c:dispEq val="1"/>
            <c:trendlineLbl>
              <c:numFmt formatCode="General" sourceLinked="0"/>
            </c:trendlineLbl>
          </c:trendline>
          <c:xVal>
            <c:numRef>
              <c:f>'Previsión Centro'!$C$21:$C$80</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'Previsión Centro'!$E$21:$E$80</c:f>
              <c:numCache>
                <c:formatCode>0</c:formatCode>
                <c:ptCount val="60"/>
                <c:pt idx="3">
                  <c:v>39750</c:v>
                </c:pt>
                <c:pt idx="4">
                  <c:v>45375</c:v>
                </c:pt>
                <c:pt idx="5">
                  <c:v>49333.333333333336</c:v>
                </c:pt>
                <c:pt idx="6">
                  <c:v>53333.333333333336</c:v>
                </c:pt>
                <c:pt idx="7">
                  <c:v>57583.333333333336</c:v>
                </c:pt>
                <c:pt idx="8">
                  <c:v>61666.666666666664</c:v>
                </c:pt>
                <c:pt idx="9">
                  <c:v>65250</c:v>
                </c:pt>
                <c:pt idx="10">
                  <c:v>68208.333333333328</c:v>
                </c:pt>
                <c:pt idx="11">
                  <c:v>70416.666666666672</c:v>
                </c:pt>
                <c:pt idx="12">
                  <c:v>71750</c:v>
                </c:pt>
                <c:pt idx="13">
                  <c:v>72166.666666666672</c:v>
                </c:pt>
                <c:pt idx="14">
                  <c:v>72250</c:v>
                </c:pt>
                <c:pt idx="15">
                  <c:v>72666.666666666672</c:v>
                </c:pt>
                <c:pt idx="16">
                  <c:v>73583.333333333328</c:v>
                </c:pt>
                <c:pt idx="17">
                  <c:v>74833.333333333328</c:v>
                </c:pt>
                <c:pt idx="18">
                  <c:v>76916.666666666672</c:v>
                </c:pt>
                <c:pt idx="19">
                  <c:v>77333.333333333328</c:v>
                </c:pt>
                <c:pt idx="20">
                  <c:v>77500</c:v>
                </c:pt>
                <c:pt idx="21">
                  <c:v>77500</c:v>
                </c:pt>
                <c:pt idx="22">
                  <c:v>77666.666666666672</c:v>
                </c:pt>
                <c:pt idx="23">
                  <c:v>78000</c:v>
                </c:pt>
                <c:pt idx="24">
                  <c:v>78250</c:v>
                </c:pt>
                <c:pt idx="25">
                  <c:v>78416.666666666672</c:v>
                </c:pt>
                <c:pt idx="26">
                  <c:v>78583.333333333328</c:v>
                </c:pt>
                <c:pt idx="27">
                  <c:v>78708.333333333328</c:v>
                </c:pt>
                <c:pt idx="28">
                  <c:v>78833.333333333328</c:v>
                </c:pt>
                <c:pt idx="29">
                  <c:v>79125</c:v>
                </c:pt>
                <c:pt idx="30">
                  <c:v>79833.333333333328</c:v>
                </c:pt>
                <c:pt idx="31">
                  <c:v>80791.666666666672</c:v>
                </c:pt>
                <c:pt idx="32">
                  <c:v>81750</c:v>
                </c:pt>
                <c:pt idx="33">
                  <c:v>82833.333333333328</c:v>
                </c:pt>
                <c:pt idx="34">
                  <c:v>83895.833333333328</c:v>
                </c:pt>
                <c:pt idx="35">
                  <c:v>84812.5</c:v>
                </c:pt>
                <c:pt idx="36">
                  <c:v>85625</c:v>
                </c:pt>
                <c:pt idx="37">
                  <c:v>86458.333333333328</c:v>
                </c:pt>
                <c:pt idx="38">
                  <c:v>87208.333333333328</c:v>
                </c:pt>
                <c:pt idx="39">
                  <c:v>87625</c:v>
                </c:pt>
                <c:pt idx="40">
                  <c:v>87833.333333333328</c:v>
                </c:pt>
                <c:pt idx="41">
                  <c:v>88166.666666666672</c:v>
                </c:pt>
                <c:pt idx="42">
                  <c:v>88583.333333333328</c:v>
                </c:pt>
                <c:pt idx="43">
                  <c:v>88916.666666666672</c:v>
                </c:pt>
                <c:pt idx="44">
                  <c:v>89291.666666666672</c:v>
                </c:pt>
                <c:pt idx="45">
                  <c:v>89708.333333333328</c:v>
                </c:pt>
                <c:pt idx="46">
                  <c:v>90020.833333333328</c:v>
                </c:pt>
                <c:pt idx="47">
                  <c:v>90187.5</c:v>
                </c:pt>
                <c:pt idx="48">
                  <c:v>90416.666666666672</c:v>
                </c:pt>
                <c:pt idx="49">
                  <c:v>90750</c:v>
                </c:pt>
                <c:pt idx="50">
                  <c:v>91041.666666666672</c:v>
                </c:pt>
                <c:pt idx="51">
                  <c:v>91333.333333333328</c:v>
                </c:pt>
                <c:pt idx="52">
                  <c:v>91875</c:v>
                </c:pt>
                <c:pt idx="53">
                  <c:v>92500</c:v>
                </c:pt>
              </c:numCache>
            </c:numRef>
          </c:yVal>
          <c:smooth val="0"/>
          <c:extLst>
            <c:ext xmlns:c16="http://schemas.microsoft.com/office/drawing/2014/chart" uri="{C3380CC4-5D6E-409C-BE32-E72D297353CC}">
              <c16:uniqueId val="{00000002-FDE5-4CBA-B41D-968F46FC1A44}"/>
            </c:ext>
          </c:extLst>
        </c:ser>
        <c:dLbls>
          <c:showLegendKey val="0"/>
          <c:showVal val="0"/>
          <c:showCatName val="0"/>
          <c:showSerName val="0"/>
          <c:showPercent val="0"/>
          <c:showBubbleSize val="0"/>
        </c:dLbls>
        <c:axId val="135772032"/>
        <c:axId val="135619328"/>
      </c:scatterChart>
      <c:valAx>
        <c:axId val="135772032"/>
        <c:scaling>
          <c:orientation val="minMax"/>
        </c:scaling>
        <c:delete val="0"/>
        <c:axPos val="b"/>
        <c:majorGridlines/>
        <c:minorGridlines/>
        <c:title>
          <c:overlay val="0"/>
        </c:title>
        <c:numFmt formatCode="General" sourceLinked="1"/>
        <c:majorTickMark val="out"/>
        <c:minorTickMark val="none"/>
        <c:tickLblPos val="nextTo"/>
        <c:crossAx val="135619328"/>
        <c:crosses val="autoZero"/>
        <c:crossBetween val="midCat"/>
      </c:valAx>
      <c:valAx>
        <c:axId val="135619328"/>
        <c:scaling>
          <c:orientation val="minMax"/>
        </c:scaling>
        <c:delete val="0"/>
        <c:axPos val="l"/>
        <c:majorGridlines/>
        <c:minorGridlines/>
        <c:title>
          <c:overlay val="0"/>
        </c:title>
        <c:numFmt formatCode="General" sourceLinked="1"/>
        <c:majorTickMark val="out"/>
        <c:minorTickMark val="none"/>
        <c:tickLblPos val="nextTo"/>
        <c:crossAx val="135772032"/>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25" b="1" i="0" u="none" strike="noStrike" baseline="0">
                <a:solidFill>
                  <a:srgbClr val="000000"/>
                </a:solidFill>
                <a:latin typeface="Arial"/>
                <a:ea typeface="Arial"/>
                <a:cs typeface="Arial"/>
              </a:defRPr>
            </a:pPr>
            <a:r>
              <a:rPr lang="en-US"/>
              <a:t>Monthly Demand ABC Corporation </a:t>
            </a:r>
          </a:p>
        </c:rich>
      </c:tx>
      <c:layout>
        <c:manualLayout>
          <c:xMode val="edge"/>
          <c:yMode val="edge"/>
          <c:x val="0.18217081391957773"/>
          <c:y val="2.9962660327836378E-2"/>
        </c:manualLayout>
      </c:layout>
      <c:overlay val="0"/>
      <c:spPr>
        <a:noFill/>
        <a:ln w="25400">
          <a:noFill/>
        </a:ln>
      </c:spPr>
    </c:title>
    <c:autoTitleDeleted val="0"/>
    <c:plotArea>
      <c:layout>
        <c:manualLayout>
          <c:layoutTarget val="inner"/>
          <c:xMode val="edge"/>
          <c:yMode val="edge"/>
          <c:x val="0.13436709459672602"/>
          <c:y val="0.11610508124319939"/>
          <c:w val="0.83204239346434095"/>
          <c:h val="0.7059938004626799"/>
        </c:manualLayout>
      </c:layout>
      <c:lineChart>
        <c:grouping val="standard"/>
        <c:varyColors val="0"/>
        <c:ser>
          <c:idx val="0"/>
          <c:order val="0"/>
          <c:spPr>
            <a:ln w="12700">
              <a:solidFill>
                <a:srgbClr val="000080"/>
              </a:solidFill>
              <a:prstDash val="solid"/>
            </a:ln>
          </c:spPr>
          <c:marker>
            <c:symbol val="diamond"/>
            <c:size val="5"/>
            <c:spPr>
              <a:solidFill>
                <a:srgbClr val="000080"/>
              </a:solidFill>
              <a:ln>
                <a:solidFill>
                  <a:srgbClr val="000080"/>
                </a:solidFill>
                <a:prstDash val="solid"/>
              </a:ln>
            </c:spPr>
          </c:marker>
          <c:cat>
            <c:strRef>
              <c:f>'Previsión Centro'!$B$21:$B$80</c:f>
              <c:strCache>
                <c:ptCount val="60"/>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pt idx="48">
                  <c:v>JAN</c:v>
                </c:pt>
                <c:pt idx="49">
                  <c:v>FEB</c:v>
                </c:pt>
                <c:pt idx="50">
                  <c:v>MAR</c:v>
                </c:pt>
                <c:pt idx="51">
                  <c:v>APR</c:v>
                </c:pt>
                <c:pt idx="52">
                  <c:v>MAY</c:v>
                </c:pt>
                <c:pt idx="53">
                  <c:v>JUN</c:v>
                </c:pt>
                <c:pt idx="54">
                  <c:v>JUL</c:v>
                </c:pt>
                <c:pt idx="55">
                  <c:v>AUG</c:v>
                </c:pt>
                <c:pt idx="56">
                  <c:v>SEP</c:v>
                </c:pt>
                <c:pt idx="57">
                  <c:v>OCT</c:v>
                </c:pt>
                <c:pt idx="58">
                  <c:v>NOV</c:v>
                </c:pt>
                <c:pt idx="59">
                  <c:v>DEC</c:v>
                </c:pt>
              </c:strCache>
            </c:strRef>
          </c:cat>
          <c:val>
            <c:numRef>
              <c:f>'Previsión Centro'!$D$21:$D$80</c:f>
              <c:numCache>
                <c:formatCode>General</c:formatCode>
                <c:ptCount val="60"/>
                <c:pt idx="0">
                  <c:v>10000</c:v>
                </c:pt>
                <c:pt idx="1">
                  <c:v>32000</c:v>
                </c:pt>
                <c:pt idx="2">
                  <c:v>39000</c:v>
                </c:pt>
                <c:pt idx="3">
                  <c:v>42000</c:v>
                </c:pt>
                <c:pt idx="4">
                  <c:v>45000</c:v>
                </c:pt>
                <c:pt idx="5">
                  <c:v>49000</c:v>
                </c:pt>
                <c:pt idx="6">
                  <c:v>53000</c:v>
                </c:pt>
                <c:pt idx="7">
                  <c:v>56499.999999999993</c:v>
                </c:pt>
                <c:pt idx="8">
                  <c:v>62000</c:v>
                </c:pt>
                <c:pt idx="9">
                  <c:v>67000</c:v>
                </c:pt>
                <c:pt idx="10">
                  <c:v>71000</c:v>
                </c:pt>
                <c:pt idx="11">
                  <c:v>72000</c:v>
                </c:pt>
                <c:pt idx="12">
                  <c:v>73000</c:v>
                </c:pt>
                <c:pt idx="13">
                  <c:v>72000</c:v>
                </c:pt>
                <c:pt idx="14">
                  <c:v>73000</c:v>
                </c:pt>
                <c:pt idx="15">
                  <c:v>72000</c:v>
                </c:pt>
                <c:pt idx="16">
                  <c:v>71000</c:v>
                </c:pt>
                <c:pt idx="17">
                  <c:v>73000</c:v>
                </c:pt>
                <c:pt idx="18">
                  <c:v>77000</c:v>
                </c:pt>
                <c:pt idx="19">
                  <c:v>79000</c:v>
                </c:pt>
                <c:pt idx="20">
                  <c:v>81000</c:v>
                </c:pt>
                <c:pt idx="21">
                  <c:v>84000</c:v>
                </c:pt>
                <c:pt idx="22">
                  <c:v>83000</c:v>
                </c:pt>
                <c:pt idx="23">
                  <c:v>82000</c:v>
                </c:pt>
                <c:pt idx="24">
                  <c:v>79000</c:v>
                </c:pt>
                <c:pt idx="25">
                  <c:v>76000</c:v>
                </c:pt>
                <c:pt idx="26">
                  <c:v>73000</c:v>
                </c:pt>
                <c:pt idx="27">
                  <c:v>72000</c:v>
                </c:pt>
                <c:pt idx="28">
                  <c:v>75000</c:v>
                </c:pt>
                <c:pt idx="29">
                  <c:v>77000</c:v>
                </c:pt>
                <c:pt idx="30">
                  <c:v>79000</c:v>
                </c:pt>
                <c:pt idx="31">
                  <c:v>81000</c:v>
                </c:pt>
                <c:pt idx="32">
                  <c:v>83000</c:v>
                </c:pt>
                <c:pt idx="33">
                  <c:v>85000</c:v>
                </c:pt>
                <c:pt idx="34">
                  <c:v>85000</c:v>
                </c:pt>
                <c:pt idx="35">
                  <c:v>87000</c:v>
                </c:pt>
                <c:pt idx="36">
                  <c:v>91000</c:v>
                </c:pt>
                <c:pt idx="37">
                  <c:v>87000</c:v>
                </c:pt>
                <c:pt idx="38">
                  <c:v>85000</c:v>
                </c:pt>
                <c:pt idx="39">
                  <c:v>86000</c:v>
                </c:pt>
                <c:pt idx="40">
                  <c:v>86500</c:v>
                </c:pt>
                <c:pt idx="41">
                  <c:v>87500</c:v>
                </c:pt>
                <c:pt idx="42">
                  <c:v>88000</c:v>
                </c:pt>
                <c:pt idx="43">
                  <c:v>92000</c:v>
                </c:pt>
                <c:pt idx="44">
                  <c:v>90000</c:v>
                </c:pt>
                <c:pt idx="45">
                  <c:v>88000</c:v>
                </c:pt>
                <c:pt idx="46">
                  <c:v>87000</c:v>
                </c:pt>
                <c:pt idx="47">
                  <c:v>93000</c:v>
                </c:pt>
                <c:pt idx="48">
                  <c:v>95000</c:v>
                </c:pt>
                <c:pt idx="49">
                  <c:v>91000</c:v>
                </c:pt>
                <c:pt idx="50">
                  <c:v>90000</c:v>
                </c:pt>
                <c:pt idx="51">
                  <c:v>91000</c:v>
                </c:pt>
                <c:pt idx="52">
                  <c:v>89000</c:v>
                </c:pt>
                <c:pt idx="53">
                  <c:v>89000</c:v>
                </c:pt>
                <c:pt idx="54">
                  <c:v>92000</c:v>
                </c:pt>
                <c:pt idx="55">
                  <c:v>96000</c:v>
                </c:pt>
                <c:pt idx="56">
                  <c:v>93000</c:v>
                </c:pt>
                <c:pt idx="57">
                  <c:v>92000</c:v>
                </c:pt>
                <c:pt idx="58">
                  <c:v>96000</c:v>
                </c:pt>
                <c:pt idx="59">
                  <c:v>99000</c:v>
                </c:pt>
              </c:numCache>
            </c:numRef>
          </c:val>
          <c:smooth val="0"/>
          <c:extLst>
            <c:ext xmlns:c16="http://schemas.microsoft.com/office/drawing/2014/chart" uri="{C3380CC4-5D6E-409C-BE32-E72D297353CC}">
              <c16:uniqueId val="{00000000-F979-4DCD-B56A-DC201A54DE0A}"/>
            </c:ext>
          </c:extLst>
        </c:ser>
        <c:dLbls>
          <c:showLegendKey val="0"/>
          <c:showVal val="0"/>
          <c:showCatName val="0"/>
          <c:showSerName val="0"/>
          <c:showPercent val="0"/>
          <c:showBubbleSize val="0"/>
        </c:dLbls>
        <c:marker val="1"/>
        <c:smooth val="0"/>
        <c:axId val="125040128"/>
        <c:axId val="134426624"/>
      </c:lineChart>
      <c:catAx>
        <c:axId val="125040128"/>
        <c:scaling>
          <c:orientation val="minMax"/>
        </c:scaling>
        <c:delete val="0"/>
        <c:axPos val="b"/>
        <c:title>
          <c:tx>
            <c:rich>
              <a:bodyPr/>
              <a:lstStyle/>
              <a:p>
                <a:pPr>
                  <a:defRPr sz="1175" b="1" i="0" u="none" strike="noStrike" baseline="0">
                    <a:solidFill>
                      <a:srgbClr val="000000"/>
                    </a:solidFill>
                    <a:latin typeface="Arial"/>
                    <a:ea typeface="Arial"/>
                    <a:cs typeface="Arial"/>
                  </a:defRPr>
                </a:pPr>
                <a:r>
                  <a:rPr lang="en-US"/>
                  <a:t>Month</a:t>
                </a:r>
              </a:p>
            </c:rich>
          </c:tx>
          <c:layout>
            <c:manualLayout>
              <c:xMode val="edge"/>
              <c:yMode val="edge"/>
              <c:x val="0.51550455417878971"/>
              <c:y val="0.921349972762838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2700000" vert="horz"/>
          <a:lstStyle/>
          <a:p>
            <a:pPr>
              <a:defRPr sz="1175" b="0" i="0" u="none" strike="noStrike" baseline="0">
                <a:solidFill>
                  <a:srgbClr val="000000"/>
                </a:solidFill>
                <a:latin typeface="Arial"/>
                <a:ea typeface="Arial"/>
                <a:cs typeface="Arial"/>
              </a:defRPr>
            </a:pPr>
            <a:endParaRPr lang="es-ES"/>
          </a:p>
        </c:txPr>
        <c:crossAx val="134426624"/>
        <c:crosses val="autoZero"/>
        <c:auto val="1"/>
        <c:lblAlgn val="ctr"/>
        <c:lblOffset val="100"/>
        <c:tickLblSkip val="3"/>
        <c:tickMarkSkip val="1"/>
        <c:noMultiLvlLbl val="0"/>
      </c:catAx>
      <c:valAx>
        <c:axId val="134426624"/>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000000"/>
                    </a:solidFill>
                    <a:latin typeface="Arial"/>
                    <a:ea typeface="Arial"/>
                    <a:cs typeface="Arial"/>
                  </a:defRPr>
                </a:pPr>
                <a:r>
                  <a:rPr lang="en-US"/>
                  <a:t>Sales</a:t>
                </a:r>
              </a:p>
            </c:rich>
          </c:tx>
          <c:layout>
            <c:manualLayout>
              <c:xMode val="edge"/>
              <c:yMode val="edge"/>
              <c:x val="1.8087855297157646E-2"/>
              <c:y val="0.42322171049373525"/>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a:ea typeface="Arial"/>
                <a:cs typeface="Arial"/>
              </a:defRPr>
            </a:pPr>
            <a:endParaRPr lang="es-ES"/>
          </a:p>
        </c:txPr>
        <c:crossAx val="125040128"/>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a:ea typeface="Arial"/>
          <a:cs typeface="Arial"/>
        </a:defRPr>
      </a:pPr>
      <a:endParaRPr lang="es-ES"/>
    </a:p>
  </c:txPr>
  <c:printSettings>
    <c:headerFooter/>
    <c:pageMargins b="0.75000000000000022" l="0.70000000000000018" r="0.70000000000000018" t="0.75000000000000022" header="0.3000000000000001" footer="0.3000000000000001"/>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'Previsión Centro'!$D$20</c:f>
              <c:strCache>
                <c:ptCount val="1"/>
                <c:pt idx="0">
                  <c:v>Demand Dt</c:v>
                </c:pt>
              </c:strCache>
            </c:strRef>
          </c:tx>
          <c:xVal>
            <c:numRef>
              <c:f>'Previsión Centro'!$C$21:$C$80</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'Previsión Centro'!$D$21:$D$80</c:f>
              <c:numCache>
                <c:formatCode>General</c:formatCode>
                <c:ptCount val="60"/>
                <c:pt idx="0">
                  <c:v>10000</c:v>
                </c:pt>
                <c:pt idx="1">
                  <c:v>32000</c:v>
                </c:pt>
                <c:pt idx="2">
                  <c:v>39000</c:v>
                </c:pt>
                <c:pt idx="3">
                  <c:v>42000</c:v>
                </c:pt>
                <c:pt idx="4">
                  <c:v>45000</c:v>
                </c:pt>
                <c:pt idx="5">
                  <c:v>49000</c:v>
                </c:pt>
                <c:pt idx="6">
                  <c:v>53000</c:v>
                </c:pt>
                <c:pt idx="7">
                  <c:v>56499.999999999993</c:v>
                </c:pt>
                <c:pt idx="8">
                  <c:v>62000</c:v>
                </c:pt>
                <c:pt idx="9">
                  <c:v>67000</c:v>
                </c:pt>
                <c:pt idx="10">
                  <c:v>71000</c:v>
                </c:pt>
                <c:pt idx="11">
                  <c:v>72000</c:v>
                </c:pt>
                <c:pt idx="12">
                  <c:v>73000</c:v>
                </c:pt>
                <c:pt idx="13">
                  <c:v>72000</c:v>
                </c:pt>
                <c:pt idx="14">
                  <c:v>73000</c:v>
                </c:pt>
                <c:pt idx="15">
                  <c:v>72000</c:v>
                </c:pt>
                <c:pt idx="16">
                  <c:v>71000</c:v>
                </c:pt>
                <c:pt idx="17">
                  <c:v>73000</c:v>
                </c:pt>
                <c:pt idx="18">
                  <c:v>77000</c:v>
                </c:pt>
                <c:pt idx="19">
                  <c:v>79000</c:v>
                </c:pt>
                <c:pt idx="20">
                  <c:v>81000</c:v>
                </c:pt>
                <c:pt idx="21">
                  <c:v>84000</c:v>
                </c:pt>
                <c:pt idx="22">
                  <c:v>83000</c:v>
                </c:pt>
                <c:pt idx="23">
                  <c:v>82000</c:v>
                </c:pt>
                <c:pt idx="24">
                  <c:v>79000</c:v>
                </c:pt>
                <c:pt idx="25">
                  <c:v>76000</c:v>
                </c:pt>
                <c:pt idx="26">
                  <c:v>73000</c:v>
                </c:pt>
                <c:pt idx="27">
                  <c:v>72000</c:v>
                </c:pt>
                <c:pt idx="28">
                  <c:v>75000</c:v>
                </c:pt>
                <c:pt idx="29">
                  <c:v>77000</c:v>
                </c:pt>
                <c:pt idx="30">
                  <c:v>79000</c:v>
                </c:pt>
                <c:pt idx="31">
                  <c:v>81000</c:v>
                </c:pt>
                <c:pt idx="32">
                  <c:v>83000</c:v>
                </c:pt>
                <c:pt idx="33">
                  <c:v>85000</c:v>
                </c:pt>
                <c:pt idx="34">
                  <c:v>85000</c:v>
                </c:pt>
                <c:pt idx="35">
                  <c:v>87000</c:v>
                </c:pt>
                <c:pt idx="36">
                  <c:v>91000</c:v>
                </c:pt>
                <c:pt idx="37">
                  <c:v>87000</c:v>
                </c:pt>
                <c:pt idx="38">
                  <c:v>85000</c:v>
                </c:pt>
                <c:pt idx="39">
                  <c:v>86000</c:v>
                </c:pt>
                <c:pt idx="40">
                  <c:v>86500</c:v>
                </c:pt>
                <c:pt idx="41">
                  <c:v>87500</c:v>
                </c:pt>
                <c:pt idx="42">
                  <c:v>88000</c:v>
                </c:pt>
                <c:pt idx="43">
                  <c:v>92000</c:v>
                </c:pt>
                <c:pt idx="44">
                  <c:v>90000</c:v>
                </c:pt>
                <c:pt idx="45">
                  <c:v>88000</c:v>
                </c:pt>
                <c:pt idx="46">
                  <c:v>87000</c:v>
                </c:pt>
                <c:pt idx="47">
                  <c:v>93000</c:v>
                </c:pt>
                <c:pt idx="48">
                  <c:v>95000</c:v>
                </c:pt>
                <c:pt idx="49">
                  <c:v>91000</c:v>
                </c:pt>
                <c:pt idx="50">
                  <c:v>90000</c:v>
                </c:pt>
                <c:pt idx="51">
                  <c:v>91000</c:v>
                </c:pt>
                <c:pt idx="52">
                  <c:v>89000</c:v>
                </c:pt>
                <c:pt idx="53">
                  <c:v>89000</c:v>
                </c:pt>
                <c:pt idx="54">
                  <c:v>92000</c:v>
                </c:pt>
                <c:pt idx="55">
                  <c:v>96000</c:v>
                </c:pt>
                <c:pt idx="56">
                  <c:v>93000</c:v>
                </c:pt>
                <c:pt idx="57">
                  <c:v>92000</c:v>
                </c:pt>
                <c:pt idx="58">
                  <c:v>96000</c:v>
                </c:pt>
                <c:pt idx="59">
                  <c:v>99000</c:v>
                </c:pt>
              </c:numCache>
            </c:numRef>
          </c:yVal>
          <c:smooth val="0"/>
          <c:extLst>
            <c:ext xmlns:c16="http://schemas.microsoft.com/office/drawing/2014/chart" uri="{C3380CC4-5D6E-409C-BE32-E72D297353CC}">
              <c16:uniqueId val="{00000000-991E-46B1-97A9-F7EAE89EEFA4}"/>
            </c:ext>
          </c:extLst>
        </c:ser>
        <c:ser>
          <c:idx val="1"/>
          <c:order val="1"/>
          <c:tx>
            <c:strRef>
              <c:f>'Previsión Centro'!$E$20</c:f>
              <c:strCache>
                <c:ptCount val="1"/>
                <c:pt idx="0">
                  <c:v>Deseasonalized Demand Dt</c:v>
                </c:pt>
              </c:strCache>
            </c:strRef>
          </c:tx>
          <c:trendline>
            <c:trendlineType val="linear"/>
            <c:dispRSqr val="1"/>
            <c:dispEq val="1"/>
            <c:trendlineLbl>
              <c:numFmt formatCode="General" sourceLinked="0"/>
            </c:trendlineLbl>
          </c:trendline>
          <c:xVal>
            <c:numRef>
              <c:f>'Previsión Centro'!$C$21:$C$80</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'Previsión Centro'!$E$21:$E$80</c:f>
              <c:numCache>
                <c:formatCode>0</c:formatCode>
                <c:ptCount val="60"/>
                <c:pt idx="3">
                  <c:v>39750</c:v>
                </c:pt>
                <c:pt idx="4">
                  <c:v>45375</c:v>
                </c:pt>
                <c:pt idx="5">
                  <c:v>49333.333333333336</c:v>
                </c:pt>
                <c:pt idx="6">
                  <c:v>53333.333333333336</c:v>
                </c:pt>
                <c:pt idx="7">
                  <c:v>57583.333333333336</c:v>
                </c:pt>
                <c:pt idx="8">
                  <c:v>61666.666666666664</c:v>
                </c:pt>
                <c:pt idx="9">
                  <c:v>65250</c:v>
                </c:pt>
                <c:pt idx="10">
                  <c:v>68208.333333333328</c:v>
                </c:pt>
                <c:pt idx="11">
                  <c:v>70416.666666666672</c:v>
                </c:pt>
                <c:pt idx="12">
                  <c:v>71750</c:v>
                </c:pt>
                <c:pt idx="13">
                  <c:v>72166.666666666672</c:v>
                </c:pt>
                <c:pt idx="14">
                  <c:v>72250</c:v>
                </c:pt>
                <c:pt idx="15">
                  <c:v>72666.666666666672</c:v>
                </c:pt>
                <c:pt idx="16">
                  <c:v>73583.333333333328</c:v>
                </c:pt>
                <c:pt idx="17">
                  <c:v>74833.333333333328</c:v>
                </c:pt>
                <c:pt idx="18">
                  <c:v>76916.666666666672</c:v>
                </c:pt>
                <c:pt idx="19">
                  <c:v>77333.333333333328</c:v>
                </c:pt>
                <c:pt idx="20">
                  <c:v>77500</c:v>
                </c:pt>
                <c:pt idx="21">
                  <c:v>77500</c:v>
                </c:pt>
                <c:pt idx="22">
                  <c:v>77666.666666666672</c:v>
                </c:pt>
                <c:pt idx="23">
                  <c:v>78000</c:v>
                </c:pt>
                <c:pt idx="24">
                  <c:v>78250</c:v>
                </c:pt>
                <c:pt idx="25">
                  <c:v>78416.666666666672</c:v>
                </c:pt>
                <c:pt idx="26">
                  <c:v>78583.333333333328</c:v>
                </c:pt>
                <c:pt idx="27">
                  <c:v>78708.333333333328</c:v>
                </c:pt>
                <c:pt idx="28">
                  <c:v>78833.333333333328</c:v>
                </c:pt>
                <c:pt idx="29">
                  <c:v>79125</c:v>
                </c:pt>
                <c:pt idx="30">
                  <c:v>79833.333333333328</c:v>
                </c:pt>
                <c:pt idx="31">
                  <c:v>80791.666666666672</c:v>
                </c:pt>
                <c:pt idx="32">
                  <c:v>81750</c:v>
                </c:pt>
                <c:pt idx="33">
                  <c:v>82833.333333333328</c:v>
                </c:pt>
                <c:pt idx="34">
                  <c:v>83895.833333333328</c:v>
                </c:pt>
                <c:pt idx="35">
                  <c:v>84812.5</c:v>
                </c:pt>
                <c:pt idx="36">
                  <c:v>85625</c:v>
                </c:pt>
                <c:pt idx="37">
                  <c:v>86458.333333333328</c:v>
                </c:pt>
                <c:pt idx="38">
                  <c:v>87208.333333333328</c:v>
                </c:pt>
                <c:pt idx="39">
                  <c:v>87625</c:v>
                </c:pt>
                <c:pt idx="40">
                  <c:v>87833.333333333328</c:v>
                </c:pt>
                <c:pt idx="41">
                  <c:v>88166.666666666672</c:v>
                </c:pt>
                <c:pt idx="42">
                  <c:v>88583.333333333328</c:v>
                </c:pt>
                <c:pt idx="43">
                  <c:v>88916.666666666672</c:v>
                </c:pt>
                <c:pt idx="44">
                  <c:v>89291.666666666672</c:v>
                </c:pt>
                <c:pt idx="45">
                  <c:v>89708.333333333328</c:v>
                </c:pt>
                <c:pt idx="46">
                  <c:v>90020.833333333328</c:v>
                </c:pt>
                <c:pt idx="47">
                  <c:v>90187.5</c:v>
                </c:pt>
                <c:pt idx="48">
                  <c:v>90416.666666666672</c:v>
                </c:pt>
                <c:pt idx="49">
                  <c:v>90750</c:v>
                </c:pt>
                <c:pt idx="50">
                  <c:v>91041.666666666672</c:v>
                </c:pt>
                <c:pt idx="51">
                  <c:v>91333.333333333328</c:v>
                </c:pt>
                <c:pt idx="52">
                  <c:v>91875</c:v>
                </c:pt>
                <c:pt idx="53">
                  <c:v>92500</c:v>
                </c:pt>
              </c:numCache>
            </c:numRef>
          </c:yVal>
          <c:smooth val="0"/>
          <c:extLst>
            <c:ext xmlns:c16="http://schemas.microsoft.com/office/drawing/2014/chart" uri="{C3380CC4-5D6E-409C-BE32-E72D297353CC}">
              <c16:uniqueId val="{00000002-991E-46B1-97A9-F7EAE89EEFA4}"/>
            </c:ext>
          </c:extLst>
        </c:ser>
        <c:dLbls>
          <c:showLegendKey val="0"/>
          <c:showVal val="0"/>
          <c:showCatName val="0"/>
          <c:showSerName val="0"/>
          <c:showPercent val="0"/>
          <c:showBubbleSize val="0"/>
        </c:dLbls>
        <c:axId val="135772032"/>
        <c:axId val="135619328"/>
      </c:scatterChart>
      <c:valAx>
        <c:axId val="135772032"/>
        <c:scaling>
          <c:orientation val="minMax"/>
        </c:scaling>
        <c:delete val="0"/>
        <c:axPos val="b"/>
        <c:majorGridlines/>
        <c:minorGridlines/>
        <c:title>
          <c:overlay val="0"/>
        </c:title>
        <c:numFmt formatCode="General" sourceLinked="1"/>
        <c:majorTickMark val="out"/>
        <c:minorTickMark val="none"/>
        <c:tickLblPos val="nextTo"/>
        <c:crossAx val="135619328"/>
        <c:crosses val="autoZero"/>
        <c:crossBetween val="midCat"/>
      </c:valAx>
      <c:valAx>
        <c:axId val="135619328"/>
        <c:scaling>
          <c:orientation val="minMax"/>
        </c:scaling>
        <c:delete val="0"/>
        <c:axPos val="l"/>
        <c:majorGridlines/>
        <c:minorGridlines/>
        <c:title>
          <c:overlay val="0"/>
        </c:title>
        <c:numFmt formatCode="General" sourceLinked="1"/>
        <c:majorTickMark val="out"/>
        <c:minorTickMark val="none"/>
        <c:tickLblPos val="nextTo"/>
        <c:crossAx val="135772032"/>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25" b="1" i="0" u="none" strike="noStrike" baseline="0">
                <a:solidFill>
                  <a:srgbClr val="000000"/>
                </a:solidFill>
                <a:latin typeface="Arial"/>
                <a:ea typeface="Arial"/>
                <a:cs typeface="Arial"/>
              </a:defRPr>
            </a:pPr>
            <a:r>
              <a:rPr lang="en-US"/>
              <a:t>Monthly Demand ABC Corporation </a:t>
            </a:r>
          </a:p>
        </c:rich>
      </c:tx>
      <c:layout>
        <c:manualLayout>
          <c:xMode val="edge"/>
          <c:yMode val="edge"/>
          <c:x val="0.18217081391957773"/>
          <c:y val="2.9962660327836378E-2"/>
        </c:manualLayout>
      </c:layout>
      <c:overlay val="0"/>
      <c:spPr>
        <a:noFill/>
        <a:ln w="25400">
          <a:noFill/>
        </a:ln>
      </c:spPr>
    </c:title>
    <c:autoTitleDeleted val="0"/>
    <c:plotArea>
      <c:layout>
        <c:manualLayout>
          <c:layoutTarget val="inner"/>
          <c:xMode val="edge"/>
          <c:yMode val="edge"/>
          <c:x val="0.13436709459672602"/>
          <c:y val="0.11610508124319939"/>
          <c:w val="0.83204239346434095"/>
          <c:h val="0.7059938004626799"/>
        </c:manualLayout>
      </c:layout>
      <c:lineChart>
        <c:grouping val="standard"/>
        <c:varyColors val="0"/>
        <c:ser>
          <c:idx val="0"/>
          <c:order val="0"/>
          <c:spPr>
            <a:ln w="12700">
              <a:solidFill>
                <a:srgbClr val="000080"/>
              </a:solidFill>
              <a:prstDash val="solid"/>
            </a:ln>
          </c:spPr>
          <c:marker>
            <c:symbol val="diamond"/>
            <c:size val="5"/>
            <c:spPr>
              <a:solidFill>
                <a:srgbClr val="000080"/>
              </a:solidFill>
              <a:ln>
                <a:solidFill>
                  <a:srgbClr val="000080"/>
                </a:solidFill>
                <a:prstDash val="solid"/>
              </a:ln>
            </c:spPr>
          </c:marker>
          <c:cat>
            <c:strRef>
              <c:f>'Previsión Centro'!$B$21:$B$80</c:f>
              <c:strCache>
                <c:ptCount val="60"/>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pt idx="48">
                  <c:v>JAN</c:v>
                </c:pt>
                <c:pt idx="49">
                  <c:v>FEB</c:v>
                </c:pt>
                <c:pt idx="50">
                  <c:v>MAR</c:v>
                </c:pt>
                <c:pt idx="51">
                  <c:v>APR</c:v>
                </c:pt>
                <c:pt idx="52">
                  <c:v>MAY</c:v>
                </c:pt>
                <c:pt idx="53">
                  <c:v>JUN</c:v>
                </c:pt>
                <c:pt idx="54">
                  <c:v>JUL</c:v>
                </c:pt>
                <c:pt idx="55">
                  <c:v>AUG</c:v>
                </c:pt>
                <c:pt idx="56">
                  <c:v>SEP</c:v>
                </c:pt>
                <c:pt idx="57">
                  <c:v>OCT</c:v>
                </c:pt>
                <c:pt idx="58">
                  <c:v>NOV</c:v>
                </c:pt>
                <c:pt idx="59">
                  <c:v>DEC</c:v>
                </c:pt>
              </c:strCache>
            </c:strRef>
          </c:cat>
          <c:val>
            <c:numRef>
              <c:f>'Previsión Centro'!$D$21:$D$80</c:f>
              <c:numCache>
                <c:formatCode>General</c:formatCode>
                <c:ptCount val="60"/>
                <c:pt idx="0">
                  <c:v>10000</c:v>
                </c:pt>
                <c:pt idx="1">
                  <c:v>32000</c:v>
                </c:pt>
                <c:pt idx="2">
                  <c:v>39000</c:v>
                </c:pt>
                <c:pt idx="3">
                  <c:v>42000</c:v>
                </c:pt>
                <c:pt idx="4">
                  <c:v>45000</c:v>
                </c:pt>
                <c:pt idx="5">
                  <c:v>49000</c:v>
                </c:pt>
                <c:pt idx="6">
                  <c:v>53000</c:v>
                </c:pt>
                <c:pt idx="7">
                  <c:v>56499.999999999993</c:v>
                </c:pt>
                <c:pt idx="8">
                  <c:v>62000</c:v>
                </c:pt>
                <c:pt idx="9">
                  <c:v>67000</c:v>
                </c:pt>
                <c:pt idx="10">
                  <c:v>71000</c:v>
                </c:pt>
                <c:pt idx="11">
                  <c:v>72000</c:v>
                </c:pt>
                <c:pt idx="12">
                  <c:v>73000</c:v>
                </c:pt>
                <c:pt idx="13">
                  <c:v>72000</c:v>
                </c:pt>
                <c:pt idx="14">
                  <c:v>73000</c:v>
                </c:pt>
                <c:pt idx="15">
                  <c:v>72000</c:v>
                </c:pt>
                <c:pt idx="16">
                  <c:v>71000</c:v>
                </c:pt>
                <c:pt idx="17">
                  <c:v>73000</c:v>
                </c:pt>
                <c:pt idx="18">
                  <c:v>77000</c:v>
                </c:pt>
                <c:pt idx="19">
                  <c:v>79000</c:v>
                </c:pt>
                <c:pt idx="20">
                  <c:v>81000</c:v>
                </c:pt>
                <c:pt idx="21">
                  <c:v>84000</c:v>
                </c:pt>
                <c:pt idx="22">
                  <c:v>83000</c:v>
                </c:pt>
                <c:pt idx="23">
                  <c:v>82000</c:v>
                </c:pt>
                <c:pt idx="24">
                  <c:v>79000</c:v>
                </c:pt>
                <c:pt idx="25">
                  <c:v>76000</c:v>
                </c:pt>
                <c:pt idx="26">
                  <c:v>73000</c:v>
                </c:pt>
                <c:pt idx="27">
                  <c:v>72000</c:v>
                </c:pt>
                <c:pt idx="28">
                  <c:v>75000</c:v>
                </c:pt>
                <c:pt idx="29">
                  <c:v>77000</c:v>
                </c:pt>
                <c:pt idx="30">
                  <c:v>79000</c:v>
                </c:pt>
                <c:pt idx="31">
                  <c:v>81000</c:v>
                </c:pt>
                <c:pt idx="32">
                  <c:v>83000</c:v>
                </c:pt>
                <c:pt idx="33">
                  <c:v>85000</c:v>
                </c:pt>
                <c:pt idx="34">
                  <c:v>85000</c:v>
                </c:pt>
                <c:pt idx="35">
                  <c:v>87000</c:v>
                </c:pt>
                <c:pt idx="36">
                  <c:v>91000</c:v>
                </c:pt>
                <c:pt idx="37">
                  <c:v>87000</c:v>
                </c:pt>
                <c:pt idx="38">
                  <c:v>85000</c:v>
                </c:pt>
                <c:pt idx="39">
                  <c:v>86000</c:v>
                </c:pt>
                <c:pt idx="40">
                  <c:v>86500</c:v>
                </c:pt>
                <c:pt idx="41">
                  <c:v>87500</c:v>
                </c:pt>
                <c:pt idx="42">
                  <c:v>88000</c:v>
                </c:pt>
                <c:pt idx="43">
                  <c:v>92000</c:v>
                </c:pt>
                <c:pt idx="44">
                  <c:v>90000</c:v>
                </c:pt>
                <c:pt idx="45">
                  <c:v>88000</c:v>
                </c:pt>
                <c:pt idx="46">
                  <c:v>87000</c:v>
                </c:pt>
                <c:pt idx="47">
                  <c:v>93000</c:v>
                </c:pt>
                <c:pt idx="48">
                  <c:v>95000</c:v>
                </c:pt>
                <c:pt idx="49">
                  <c:v>91000</c:v>
                </c:pt>
                <c:pt idx="50">
                  <c:v>90000</c:v>
                </c:pt>
                <c:pt idx="51">
                  <c:v>91000</c:v>
                </c:pt>
                <c:pt idx="52">
                  <c:v>89000</c:v>
                </c:pt>
                <c:pt idx="53">
                  <c:v>89000</c:v>
                </c:pt>
                <c:pt idx="54">
                  <c:v>92000</c:v>
                </c:pt>
                <c:pt idx="55">
                  <c:v>96000</c:v>
                </c:pt>
                <c:pt idx="56">
                  <c:v>93000</c:v>
                </c:pt>
                <c:pt idx="57">
                  <c:v>92000</c:v>
                </c:pt>
                <c:pt idx="58">
                  <c:v>96000</c:v>
                </c:pt>
                <c:pt idx="59">
                  <c:v>99000</c:v>
                </c:pt>
              </c:numCache>
            </c:numRef>
          </c:val>
          <c:smooth val="0"/>
          <c:extLst>
            <c:ext xmlns:c16="http://schemas.microsoft.com/office/drawing/2014/chart" uri="{C3380CC4-5D6E-409C-BE32-E72D297353CC}">
              <c16:uniqueId val="{00000000-B790-4458-BD55-D3A2B9AB538F}"/>
            </c:ext>
          </c:extLst>
        </c:ser>
        <c:dLbls>
          <c:showLegendKey val="0"/>
          <c:showVal val="0"/>
          <c:showCatName val="0"/>
          <c:showSerName val="0"/>
          <c:showPercent val="0"/>
          <c:showBubbleSize val="0"/>
        </c:dLbls>
        <c:marker val="1"/>
        <c:smooth val="0"/>
        <c:axId val="125040128"/>
        <c:axId val="134426624"/>
      </c:lineChart>
      <c:catAx>
        <c:axId val="125040128"/>
        <c:scaling>
          <c:orientation val="minMax"/>
        </c:scaling>
        <c:delete val="0"/>
        <c:axPos val="b"/>
        <c:title>
          <c:tx>
            <c:rich>
              <a:bodyPr/>
              <a:lstStyle/>
              <a:p>
                <a:pPr>
                  <a:defRPr sz="1175" b="1" i="0" u="none" strike="noStrike" baseline="0">
                    <a:solidFill>
                      <a:srgbClr val="000000"/>
                    </a:solidFill>
                    <a:latin typeface="Arial"/>
                    <a:ea typeface="Arial"/>
                    <a:cs typeface="Arial"/>
                  </a:defRPr>
                </a:pPr>
                <a:r>
                  <a:rPr lang="en-US"/>
                  <a:t>Month</a:t>
                </a:r>
              </a:p>
            </c:rich>
          </c:tx>
          <c:layout>
            <c:manualLayout>
              <c:xMode val="edge"/>
              <c:yMode val="edge"/>
              <c:x val="0.51550455417878971"/>
              <c:y val="0.921349972762838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2700000" vert="horz"/>
          <a:lstStyle/>
          <a:p>
            <a:pPr>
              <a:defRPr sz="1175" b="0" i="0" u="none" strike="noStrike" baseline="0">
                <a:solidFill>
                  <a:srgbClr val="000000"/>
                </a:solidFill>
                <a:latin typeface="Arial"/>
                <a:ea typeface="Arial"/>
                <a:cs typeface="Arial"/>
              </a:defRPr>
            </a:pPr>
            <a:endParaRPr lang="es-ES"/>
          </a:p>
        </c:txPr>
        <c:crossAx val="134426624"/>
        <c:crosses val="autoZero"/>
        <c:auto val="1"/>
        <c:lblAlgn val="ctr"/>
        <c:lblOffset val="100"/>
        <c:tickLblSkip val="3"/>
        <c:tickMarkSkip val="1"/>
        <c:noMultiLvlLbl val="0"/>
      </c:catAx>
      <c:valAx>
        <c:axId val="134426624"/>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000000"/>
                    </a:solidFill>
                    <a:latin typeface="Arial"/>
                    <a:ea typeface="Arial"/>
                    <a:cs typeface="Arial"/>
                  </a:defRPr>
                </a:pPr>
                <a:r>
                  <a:rPr lang="en-US"/>
                  <a:t>Sales</a:t>
                </a:r>
              </a:p>
            </c:rich>
          </c:tx>
          <c:layout>
            <c:manualLayout>
              <c:xMode val="edge"/>
              <c:yMode val="edge"/>
              <c:x val="1.8087855297157646E-2"/>
              <c:y val="0.42322171049373525"/>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a:ea typeface="Arial"/>
                <a:cs typeface="Arial"/>
              </a:defRPr>
            </a:pPr>
            <a:endParaRPr lang="es-ES"/>
          </a:p>
        </c:txPr>
        <c:crossAx val="125040128"/>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a:ea typeface="Arial"/>
          <a:cs typeface="Arial"/>
        </a:defRPr>
      </a:pPr>
      <a:endParaRPr lang="es-ES"/>
    </a:p>
  </c:txPr>
  <c:printSettings>
    <c:headerFooter/>
    <c:pageMargins b="0.75000000000000022" l="0.70000000000000018" r="0.70000000000000018" t="0.75000000000000022" header="0.3000000000000001" footer="0.3000000000000001"/>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'Previsión Centro'!$D$20</c:f>
              <c:strCache>
                <c:ptCount val="1"/>
                <c:pt idx="0">
                  <c:v>Demand Dt</c:v>
                </c:pt>
              </c:strCache>
            </c:strRef>
          </c:tx>
          <c:xVal>
            <c:numRef>
              <c:f>'Previsión Centro'!$C$21:$C$80</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'Previsión Centro'!$D$21:$D$80</c:f>
              <c:numCache>
                <c:formatCode>General</c:formatCode>
                <c:ptCount val="60"/>
                <c:pt idx="0">
                  <c:v>10000</c:v>
                </c:pt>
                <c:pt idx="1">
                  <c:v>32000</c:v>
                </c:pt>
                <c:pt idx="2">
                  <c:v>39000</c:v>
                </c:pt>
                <c:pt idx="3">
                  <c:v>42000</c:v>
                </c:pt>
                <c:pt idx="4">
                  <c:v>45000</c:v>
                </c:pt>
                <c:pt idx="5">
                  <c:v>49000</c:v>
                </c:pt>
                <c:pt idx="6">
                  <c:v>53000</c:v>
                </c:pt>
                <c:pt idx="7">
                  <c:v>56499.999999999993</c:v>
                </c:pt>
                <c:pt idx="8">
                  <c:v>62000</c:v>
                </c:pt>
                <c:pt idx="9">
                  <c:v>67000</c:v>
                </c:pt>
                <c:pt idx="10">
                  <c:v>71000</c:v>
                </c:pt>
                <c:pt idx="11">
                  <c:v>72000</c:v>
                </c:pt>
                <c:pt idx="12">
                  <c:v>73000</c:v>
                </c:pt>
                <c:pt idx="13">
                  <c:v>72000</c:v>
                </c:pt>
                <c:pt idx="14">
                  <c:v>73000</c:v>
                </c:pt>
                <c:pt idx="15">
                  <c:v>72000</c:v>
                </c:pt>
                <c:pt idx="16">
                  <c:v>71000</c:v>
                </c:pt>
                <c:pt idx="17">
                  <c:v>73000</c:v>
                </c:pt>
                <c:pt idx="18">
                  <c:v>77000</c:v>
                </c:pt>
                <c:pt idx="19">
                  <c:v>79000</c:v>
                </c:pt>
                <c:pt idx="20">
                  <c:v>81000</c:v>
                </c:pt>
                <c:pt idx="21">
                  <c:v>84000</c:v>
                </c:pt>
                <c:pt idx="22">
                  <c:v>83000</c:v>
                </c:pt>
                <c:pt idx="23">
                  <c:v>82000</c:v>
                </c:pt>
                <c:pt idx="24">
                  <c:v>79000</c:v>
                </c:pt>
                <c:pt idx="25">
                  <c:v>76000</c:v>
                </c:pt>
                <c:pt idx="26">
                  <c:v>73000</c:v>
                </c:pt>
                <c:pt idx="27">
                  <c:v>72000</c:v>
                </c:pt>
                <c:pt idx="28">
                  <c:v>75000</c:v>
                </c:pt>
                <c:pt idx="29">
                  <c:v>77000</c:v>
                </c:pt>
                <c:pt idx="30">
                  <c:v>79000</c:v>
                </c:pt>
                <c:pt idx="31">
                  <c:v>81000</c:v>
                </c:pt>
                <c:pt idx="32">
                  <c:v>83000</c:v>
                </c:pt>
                <c:pt idx="33">
                  <c:v>85000</c:v>
                </c:pt>
                <c:pt idx="34">
                  <c:v>85000</c:v>
                </c:pt>
                <c:pt idx="35">
                  <c:v>87000</c:v>
                </c:pt>
                <c:pt idx="36">
                  <c:v>91000</c:v>
                </c:pt>
                <c:pt idx="37">
                  <c:v>87000</c:v>
                </c:pt>
                <c:pt idx="38">
                  <c:v>85000</c:v>
                </c:pt>
                <c:pt idx="39">
                  <c:v>86000</c:v>
                </c:pt>
                <c:pt idx="40">
                  <c:v>86500</c:v>
                </c:pt>
                <c:pt idx="41">
                  <c:v>87500</c:v>
                </c:pt>
                <c:pt idx="42">
                  <c:v>88000</c:v>
                </c:pt>
                <c:pt idx="43">
                  <c:v>92000</c:v>
                </c:pt>
                <c:pt idx="44">
                  <c:v>90000</c:v>
                </c:pt>
                <c:pt idx="45">
                  <c:v>88000</c:v>
                </c:pt>
                <c:pt idx="46">
                  <c:v>87000</c:v>
                </c:pt>
                <c:pt idx="47">
                  <c:v>93000</c:v>
                </c:pt>
                <c:pt idx="48">
                  <c:v>95000</c:v>
                </c:pt>
                <c:pt idx="49">
                  <c:v>91000</c:v>
                </c:pt>
                <c:pt idx="50">
                  <c:v>90000</c:v>
                </c:pt>
                <c:pt idx="51">
                  <c:v>91000</c:v>
                </c:pt>
                <c:pt idx="52">
                  <c:v>89000</c:v>
                </c:pt>
                <c:pt idx="53">
                  <c:v>89000</c:v>
                </c:pt>
                <c:pt idx="54">
                  <c:v>92000</c:v>
                </c:pt>
                <c:pt idx="55">
                  <c:v>96000</c:v>
                </c:pt>
                <c:pt idx="56">
                  <c:v>93000</c:v>
                </c:pt>
                <c:pt idx="57">
                  <c:v>92000</c:v>
                </c:pt>
                <c:pt idx="58">
                  <c:v>96000</c:v>
                </c:pt>
                <c:pt idx="59">
                  <c:v>99000</c:v>
                </c:pt>
              </c:numCache>
            </c:numRef>
          </c:yVal>
          <c:smooth val="0"/>
          <c:extLst>
            <c:ext xmlns:c16="http://schemas.microsoft.com/office/drawing/2014/chart" uri="{C3380CC4-5D6E-409C-BE32-E72D297353CC}">
              <c16:uniqueId val="{00000000-2C79-44BE-B20F-C6D8EB8788DA}"/>
            </c:ext>
          </c:extLst>
        </c:ser>
        <c:ser>
          <c:idx val="1"/>
          <c:order val="1"/>
          <c:tx>
            <c:strRef>
              <c:f>'Previsión Centro'!$E$20</c:f>
              <c:strCache>
                <c:ptCount val="1"/>
                <c:pt idx="0">
                  <c:v>Deseasonalized Demand Dt</c:v>
                </c:pt>
              </c:strCache>
            </c:strRef>
          </c:tx>
          <c:trendline>
            <c:trendlineType val="linear"/>
            <c:dispRSqr val="1"/>
            <c:dispEq val="1"/>
            <c:trendlineLbl>
              <c:numFmt formatCode="General" sourceLinked="0"/>
            </c:trendlineLbl>
          </c:trendline>
          <c:xVal>
            <c:numRef>
              <c:f>'Previsión Centro'!$C$21:$C$80</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'Previsión Centro'!$E$21:$E$80</c:f>
              <c:numCache>
                <c:formatCode>0</c:formatCode>
                <c:ptCount val="60"/>
                <c:pt idx="3">
                  <c:v>39750</c:v>
                </c:pt>
                <c:pt idx="4">
                  <c:v>45375</c:v>
                </c:pt>
                <c:pt idx="5">
                  <c:v>49333.333333333336</c:v>
                </c:pt>
                <c:pt idx="6">
                  <c:v>53333.333333333336</c:v>
                </c:pt>
                <c:pt idx="7">
                  <c:v>57583.333333333336</c:v>
                </c:pt>
                <c:pt idx="8">
                  <c:v>61666.666666666664</c:v>
                </c:pt>
                <c:pt idx="9">
                  <c:v>65250</c:v>
                </c:pt>
                <c:pt idx="10">
                  <c:v>68208.333333333328</c:v>
                </c:pt>
                <c:pt idx="11">
                  <c:v>70416.666666666672</c:v>
                </c:pt>
                <c:pt idx="12">
                  <c:v>71750</c:v>
                </c:pt>
                <c:pt idx="13">
                  <c:v>72166.666666666672</c:v>
                </c:pt>
                <c:pt idx="14">
                  <c:v>72250</c:v>
                </c:pt>
                <c:pt idx="15">
                  <c:v>72666.666666666672</c:v>
                </c:pt>
                <c:pt idx="16">
                  <c:v>73583.333333333328</c:v>
                </c:pt>
                <c:pt idx="17">
                  <c:v>74833.333333333328</c:v>
                </c:pt>
                <c:pt idx="18">
                  <c:v>76916.666666666672</c:v>
                </c:pt>
                <c:pt idx="19">
                  <c:v>77333.333333333328</c:v>
                </c:pt>
                <c:pt idx="20">
                  <c:v>77500</c:v>
                </c:pt>
                <c:pt idx="21">
                  <c:v>77500</c:v>
                </c:pt>
                <c:pt idx="22">
                  <c:v>77666.666666666672</c:v>
                </c:pt>
                <c:pt idx="23">
                  <c:v>78000</c:v>
                </c:pt>
                <c:pt idx="24">
                  <c:v>78250</c:v>
                </c:pt>
                <c:pt idx="25">
                  <c:v>78416.666666666672</c:v>
                </c:pt>
                <c:pt idx="26">
                  <c:v>78583.333333333328</c:v>
                </c:pt>
                <c:pt idx="27">
                  <c:v>78708.333333333328</c:v>
                </c:pt>
                <c:pt idx="28">
                  <c:v>78833.333333333328</c:v>
                </c:pt>
                <c:pt idx="29">
                  <c:v>79125</c:v>
                </c:pt>
                <c:pt idx="30">
                  <c:v>79833.333333333328</c:v>
                </c:pt>
                <c:pt idx="31">
                  <c:v>80791.666666666672</c:v>
                </c:pt>
                <c:pt idx="32">
                  <c:v>81750</c:v>
                </c:pt>
                <c:pt idx="33">
                  <c:v>82833.333333333328</c:v>
                </c:pt>
                <c:pt idx="34">
                  <c:v>83895.833333333328</c:v>
                </c:pt>
                <c:pt idx="35">
                  <c:v>84812.5</c:v>
                </c:pt>
                <c:pt idx="36">
                  <c:v>85625</c:v>
                </c:pt>
                <c:pt idx="37">
                  <c:v>86458.333333333328</c:v>
                </c:pt>
                <c:pt idx="38">
                  <c:v>87208.333333333328</c:v>
                </c:pt>
                <c:pt idx="39">
                  <c:v>87625</c:v>
                </c:pt>
                <c:pt idx="40">
                  <c:v>87833.333333333328</c:v>
                </c:pt>
                <c:pt idx="41">
                  <c:v>88166.666666666672</c:v>
                </c:pt>
                <c:pt idx="42">
                  <c:v>88583.333333333328</c:v>
                </c:pt>
                <c:pt idx="43">
                  <c:v>88916.666666666672</c:v>
                </c:pt>
                <c:pt idx="44">
                  <c:v>89291.666666666672</c:v>
                </c:pt>
                <c:pt idx="45">
                  <c:v>89708.333333333328</c:v>
                </c:pt>
                <c:pt idx="46">
                  <c:v>90020.833333333328</c:v>
                </c:pt>
                <c:pt idx="47">
                  <c:v>90187.5</c:v>
                </c:pt>
                <c:pt idx="48">
                  <c:v>90416.666666666672</c:v>
                </c:pt>
                <c:pt idx="49">
                  <c:v>90750</c:v>
                </c:pt>
                <c:pt idx="50">
                  <c:v>91041.666666666672</c:v>
                </c:pt>
                <c:pt idx="51">
                  <c:v>91333.333333333328</c:v>
                </c:pt>
                <c:pt idx="52">
                  <c:v>91875</c:v>
                </c:pt>
                <c:pt idx="53">
                  <c:v>92500</c:v>
                </c:pt>
              </c:numCache>
            </c:numRef>
          </c:yVal>
          <c:smooth val="0"/>
          <c:extLst>
            <c:ext xmlns:c16="http://schemas.microsoft.com/office/drawing/2014/chart" uri="{C3380CC4-5D6E-409C-BE32-E72D297353CC}">
              <c16:uniqueId val="{00000002-2C79-44BE-B20F-C6D8EB8788DA}"/>
            </c:ext>
          </c:extLst>
        </c:ser>
        <c:dLbls>
          <c:showLegendKey val="0"/>
          <c:showVal val="0"/>
          <c:showCatName val="0"/>
          <c:showSerName val="0"/>
          <c:showPercent val="0"/>
          <c:showBubbleSize val="0"/>
        </c:dLbls>
        <c:axId val="135772032"/>
        <c:axId val="135619328"/>
      </c:scatterChart>
      <c:valAx>
        <c:axId val="135772032"/>
        <c:scaling>
          <c:orientation val="minMax"/>
        </c:scaling>
        <c:delete val="0"/>
        <c:axPos val="b"/>
        <c:majorGridlines/>
        <c:minorGridlines/>
        <c:title>
          <c:overlay val="0"/>
        </c:title>
        <c:numFmt formatCode="General" sourceLinked="1"/>
        <c:majorTickMark val="out"/>
        <c:minorTickMark val="none"/>
        <c:tickLblPos val="nextTo"/>
        <c:crossAx val="135619328"/>
        <c:crosses val="autoZero"/>
        <c:crossBetween val="midCat"/>
      </c:valAx>
      <c:valAx>
        <c:axId val="135619328"/>
        <c:scaling>
          <c:orientation val="minMax"/>
        </c:scaling>
        <c:delete val="0"/>
        <c:axPos val="l"/>
        <c:majorGridlines/>
        <c:minorGridlines/>
        <c:title>
          <c:overlay val="0"/>
        </c:title>
        <c:numFmt formatCode="General" sourceLinked="1"/>
        <c:majorTickMark val="out"/>
        <c:minorTickMark val="none"/>
        <c:tickLblPos val="nextTo"/>
        <c:crossAx val="135772032"/>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11</xdr:col>
      <xdr:colOff>727710</xdr:colOff>
      <xdr:row>16</xdr:row>
      <xdr:rowOff>38099</xdr:rowOff>
    </xdr:from>
    <xdr:to>
      <xdr:col>15</xdr:col>
      <xdr:colOff>66042</xdr:colOff>
      <xdr:row>26</xdr:row>
      <xdr:rowOff>37647</xdr:rowOff>
    </xdr:to>
    <xdr:pic>
      <xdr:nvPicPr>
        <xdr:cNvPr id="2" name="Imagen 1">
          <a:extLst>
            <a:ext uri="{FF2B5EF4-FFF2-40B4-BE49-F238E27FC236}">
              <a16:creationId xmlns:a16="http://schemas.microsoft.com/office/drawing/2014/main" id="{52C13050-1847-4CBC-9B12-BF7B3CB1B148}"/>
            </a:ext>
          </a:extLst>
        </xdr:cNvPr>
        <xdr:cNvPicPr>
          <a:picLocks noChangeAspect="1"/>
        </xdr:cNvPicPr>
      </xdr:nvPicPr>
      <xdr:blipFill>
        <a:blip xmlns:r="http://schemas.openxmlformats.org/officeDocument/2006/relationships" r:embed="rId1"/>
        <a:stretch>
          <a:fillRect/>
        </a:stretch>
      </xdr:blipFill>
      <xdr:spPr>
        <a:xfrm>
          <a:off x="9824085" y="3676649"/>
          <a:ext cx="2386332" cy="17045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160868</xdr:colOff>
      <xdr:row>0</xdr:row>
      <xdr:rowOff>108477</xdr:rowOff>
    </xdr:from>
    <xdr:to>
      <xdr:col>23</xdr:col>
      <xdr:colOff>381001</xdr:colOff>
      <xdr:row>17</xdr:row>
      <xdr:rowOff>67733</xdr:rowOff>
    </xdr:to>
    <xdr:graphicFrame macro="">
      <xdr:nvGraphicFramePr>
        <xdr:cNvPr id="4" name="Chart 1">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266700</xdr:colOff>
      <xdr:row>72</xdr:row>
      <xdr:rowOff>52387</xdr:rowOff>
    </xdr:from>
    <xdr:to>
      <xdr:col>26</xdr:col>
      <xdr:colOff>381000</xdr:colOff>
      <xdr:row>93</xdr:row>
      <xdr:rowOff>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16</xdr:col>
      <xdr:colOff>160868</xdr:colOff>
      <xdr:row>0</xdr:row>
      <xdr:rowOff>108477</xdr:rowOff>
    </xdr:from>
    <xdr:to>
      <xdr:col>23</xdr:col>
      <xdr:colOff>381001</xdr:colOff>
      <xdr:row>17</xdr:row>
      <xdr:rowOff>67733</xdr:rowOff>
    </xdr:to>
    <xdr:graphicFrame macro="">
      <xdr:nvGraphicFramePr>
        <xdr:cNvPr id="2" name="Chart 1">
          <a:extLst>
            <a:ext uri="{FF2B5EF4-FFF2-40B4-BE49-F238E27FC236}">
              <a16:creationId xmlns:a16="http://schemas.microsoft.com/office/drawing/2014/main" id="{665ECCF0-4E35-4947-82E7-5BD52129B0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266700</xdr:colOff>
      <xdr:row>72</xdr:row>
      <xdr:rowOff>52387</xdr:rowOff>
    </xdr:from>
    <xdr:to>
      <xdr:col>26</xdr:col>
      <xdr:colOff>381000</xdr:colOff>
      <xdr:row>93</xdr:row>
      <xdr:rowOff>0</xdr:rowOff>
    </xdr:to>
    <xdr:graphicFrame macro="">
      <xdr:nvGraphicFramePr>
        <xdr:cNvPr id="3" name="Chart 1">
          <a:extLst>
            <a:ext uri="{FF2B5EF4-FFF2-40B4-BE49-F238E27FC236}">
              <a16:creationId xmlns:a16="http://schemas.microsoft.com/office/drawing/2014/main" id="{597C2324-C837-457F-BE49-DA65D0B891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11</xdr:col>
      <xdr:colOff>472469</xdr:colOff>
      <xdr:row>9</xdr:row>
      <xdr:rowOff>41276</xdr:rowOff>
    </xdr:from>
    <xdr:to>
      <xdr:col>17</xdr:col>
      <xdr:colOff>558647</xdr:colOff>
      <xdr:row>26</xdr:row>
      <xdr:rowOff>90261</xdr:rowOff>
    </xdr:to>
    <xdr:graphicFrame macro="">
      <xdr:nvGraphicFramePr>
        <xdr:cNvPr id="2" name="Gráfico 1">
          <a:extLst>
            <a:ext uri="{FF2B5EF4-FFF2-40B4-BE49-F238E27FC236}">
              <a16:creationId xmlns:a16="http://schemas.microsoft.com/office/drawing/2014/main" id="{0F3DFA54-80D0-43E6-B9D7-D433F20472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160868</xdr:colOff>
      <xdr:row>0</xdr:row>
      <xdr:rowOff>108477</xdr:rowOff>
    </xdr:from>
    <xdr:to>
      <xdr:col>23</xdr:col>
      <xdr:colOff>381001</xdr:colOff>
      <xdr:row>17</xdr:row>
      <xdr:rowOff>67733</xdr:rowOff>
    </xdr:to>
    <xdr:graphicFrame macro="">
      <xdr:nvGraphicFramePr>
        <xdr:cNvPr id="2" name="Chart 1">
          <a:extLst>
            <a:ext uri="{FF2B5EF4-FFF2-40B4-BE49-F238E27FC236}">
              <a16:creationId xmlns:a16="http://schemas.microsoft.com/office/drawing/2014/main" id="{21B0FD3D-FE53-4440-9856-3C5BA22CB0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266700</xdr:colOff>
      <xdr:row>72</xdr:row>
      <xdr:rowOff>52387</xdr:rowOff>
    </xdr:from>
    <xdr:to>
      <xdr:col>26</xdr:col>
      <xdr:colOff>381000</xdr:colOff>
      <xdr:row>93</xdr:row>
      <xdr:rowOff>0</xdr:rowOff>
    </xdr:to>
    <xdr:graphicFrame macro="">
      <xdr:nvGraphicFramePr>
        <xdr:cNvPr id="3" name="Chart 1">
          <a:extLst>
            <a:ext uri="{FF2B5EF4-FFF2-40B4-BE49-F238E27FC236}">
              <a16:creationId xmlns:a16="http://schemas.microsoft.com/office/drawing/2014/main" id="{E453A46F-5DF9-405F-A5DE-93808D3F6C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16</xdr:col>
      <xdr:colOff>160868</xdr:colOff>
      <xdr:row>0</xdr:row>
      <xdr:rowOff>108477</xdr:rowOff>
    </xdr:from>
    <xdr:to>
      <xdr:col>23</xdr:col>
      <xdr:colOff>381001</xdr:colOff>
      <xdr:row>17</xdr:row>
      <xdr:rowOff>67733</xdr:rowOff>
    </xdr:to>
    <xdr:graphicFrame macro="">
      <xdr:nvGraphicFramePr>
        <xdr:cNvPr id="2" name="Chart 1">
          <a:extLst>
            <a:ext uri="{FF2B5EF4-FFF2-40B4-BE49-F238E27FC236}">
              <a16:creationId xmlns:a16="http://schemas.microsoft.com/office/drawing/2014/main" id="{2E3D1207-40BA-4B9D-A720-2CC825D003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266700</xdr:colOff>
      <xdr:row>72</xdr:row>
      <xdr:rowOff>52387</xdr:rowOff>
    </xdr:from>
    <xdr:to>
      <xdr:col>26</xdr:col>
      <xdr:colOff>381000</xdr:colOff>
      <xdr:row>93</xdr:row>
      <xdr:rowOff>0</xdr:rowOff>
    </xdr:to>
    <xdr:graphicFrame macro="">
      <xdr:nvGraphicFramePr>
        <xdr:cNvPr id="3" name="Chart 1">
          <a:extLst>
            <a:ext uri="{FF2B5EF4-FFF2-40B4-BE49-F238E27FC236}">
              <a16:creationId xmlns:a16="http://schemas.microsoft.com/office/drawing/2014/main" id="{D6A4087D-648D-43E1-8343-5540378185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16</xdr:col>
      <xdr:colOff>160868</xdr:colOff>
      <xdr:row>0</xdr:row>
      <xdr:rowOff>108477</xdr:rowOff>
    </xdr:from>
    <xdr:to>
      <xdr:col>23</xdr:col>
      <xdr:colOff>381001</xdr:colOff>
      <xdr:row>17</xdr:row>
      <xdr:rowOff>67733</xdr:rowOff>
    </xdr:to>
    <xdr:graphicFrame macro="">
      <xdr:nvGraphicFramePr>
        <xdr:cNvPr id="2" name="Chart 1">
          <a:extLst>
            <a:ext uri="{FF2B5EF4-FFF2-40B4-BE49-F238E27FC236}">
              <a16:creationId xmlns:a16="http://schemas.microsoft.com/office/drawing/2014/main" id="{06B0B6C3-2D79-4BDE-A909-08BD18DA23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266700</xdr:colOff>
      <xdr:row>72</xdr:row>
      <xdr:rowOff>52387</xdr:rowOff>
    </xdr:from>
    <xdr:to>
      <xdr:col>26</xdr:col>
      <xdr:colOff>381000</xdr:colOff>
      <xdr:row>93</xdr:row>
      <xdr:rowOff>0</xdr:rowOff>
    </xdr:to>
    <xdr:graphicFrame macro="">
      <xdr:nvGraphicFramePr>
        <xdr:cNvPr id="3" name="Chart 1">
          <a:extLst>
            <a:ext uri="{FF2B5EF4-FFF2-40B4-BE49-F238E27FC236}">
              <a16:creationId xmlns:a16="http://schemas.microsoft.com/office/drawing/2014/main" id="{25E1397E-E805-47C0-8F82-4E00DBC844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38100</xdr:colOff>
      <xdr:row>1</xdr:row>
      <xdr:rowOff>0</xdr:rowOff>
    </xdr:from>
    <xdr:to>
      <xdr:col>6</xdr:col>
      <xdr:colOff>758390</xdr:colOff>
      <xdr:row>13</xdr:row>
      <xdr:rowOff>0</xdr:rowOff>
    </xdr:to>
    <xdr:pic>
      <xdr:nvPicPr>
        <xdr:cNvPr id="2" name="Imagen 1">
          <a:extLst>
            <a:ext uri="{FF2B5EF4-FFF2-40B4-BE49-F238E27FC236}">
              <a16:creationId xmlns:a16="http://schemas.microsoft.com/office/drawing/2014/main" id="{4B14BDF8-CBBF-4513-BC50-81D6DDFA88E3}"/>
            </a:ext>
          </a:extLst>
        </xdr:cNvPr>
        <xdr:cNvPicPr>
          <a:picLocks noChangeAspect="1"/>
        </xdr:cNvPicPr>
      </xdr:nvPicPr>
      <xdr:blipFill>
        <a:blip xmlns:r="http://schemas.openxmlformats.org/officeDocument/2006/relationships" r:embed="rId1"/>
        <a:stretch>
          <a:fillRect/>
        </a:stretch>
      </xdr:blipFill>
      <xdr:spPr>
        <a:xfrm>
          <a:off x="38100" y="161925"/>
          <a:ext cx="5292290" cy="1943100"/>
        </a:xfrm>
        <a:prstGeom prst="rect">
          <a:avLst/>
        </a:prstGeom>
      </xdr:spPr>
    </xdr:pic>
    <xdr:clientData/>
  </xdr:twoCellAnchor>
  <xdr:twoCellAnchor editAs="oneCell">
    <xdr:from>
      <xdr:col>0</xdr:col>
      <xdr:colOff>693420</xdr:colOff>
      <xdr:row>18</xdr:row>
      <xdr:rowOff>68580</xdr:rowOff>
    </xdr:from>
    <xdr:to>
      <xdr:col>5</xdr:col>
      <xdr:colOff>435782</xdr:colOff>
      <xdr:row>26</xdr:row>
      <xdr:rowOff>108412</xdr:rowOff>
    </xdr:to>
    <xdr:pic>
      <xdr:nvPicPr>
        <xdr:cNvPr id="4" name="Imagen 3">
          <a:extLst>
            <a:ext uri="{FF2B5EF4-FFF2-40B4-BE49-F238E27FC236}">
              <a16:creationId xmlns:a16="http://schemas.microsoft.com/office/drawing/2014/main" id="{E15A4B67-1343-4A23-9FF7-9F36D1888A0B}"/>
            </a:ext>
          </a:extLst>
        </xdr:cNvPr>
        <xdr:cNvPicPr>
          <a:picLocks noChangeAspect="1"/>
        </xdr:cNvPicPr>
      </xdr:nvPicPr>
      <xdr:blipFill>
        <a:blip xmlns:r="http://schemas.openxmlformats.org/officeDocument/2006/relationships" r:embed="rId2"/>
        <a:stretch>
          <a:fillRect/>
        </a:stretch>
      </xdr:blipFill>
      <xdr:spPr>
        <a:xfrm>
          <a:off x="693420" y="3086100"/>
          <a:ext cx="3704762" cy="1380952"/>
        </a:xfrm>
        <a:prstGeom prst="rect">
          <a:avLst/>
        </a:prstGeom>
      </xdr:spPr>
    </xdr:pic>
    <xdr:clientData/>
  </xdr:twoCellAnchor>
  <xdr:twoCellAnchor editAs="oneCell">
    <xdr:from>
      <xdr:col>1</xdr:col>
      <xdr:colOff>304800</xdr:colOff>
      <xdr:row>31</xdr:row>
      <xdr:rowOff>99060</xdr:rowOff>
    </xdr:from>
    <xdr:to>
      <xdr:col>5</xdr:col>
      <xdr:colOff>20594</xdr:colOff>
      <xdr:row>50</xdr:row>
      <xdr:rowOff>37709</xdr:rowOff>
    </xdr:to>
    <xdr:pic>
      <xdr:nvPicPr>
        <xdr:cNvPr id="5" name="Imagen 4">
          <a:extLst>
            <a:ext uri="{FF2B5EF4-FFF2-40B4-BE49-F238E27FC236}">
              <a16:creationId xmlns:a16="http://schemas.microsoft.com/office/drawing/2014/main" id="{D715F2E8-1129-479C-A0F8-3DAFCCB59504}"/>
            </a:ext>
          </a:extLst>
        </xdr:cNvPr>
        <xdr:cNvPicPr>
          <a:picLocks noChangeAspect="1"/>
        </xdr:cNvPicPr>
      </xdr:nvPicPr>
      <xdr:blipFill>
        <a:blip xmlns:r="http://schemas.openxmlformats.org/officeDocument/2006/relationships" r:embed="rId3"/>
        <a:stretch>
          <a:fillRect/>
        </a:stretch>
      </xdr:blipFill>
      <xdr:spPr>
        <a:xfrm>
          <a:off x="1097280" y="5295900"/>
          <a:ext cx="2885714" cy="312380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LOS NUEZ" refreshedDate="44436.806188773146" createdVersion="4" refreshedVersion="6" minRefreshableVersion="3" recordCount="60" xr:uid="{00000000-000A-0000-FFFF-FFFF09000000}">
  <cacheSource type="worksheet">
    <worksheetSource ref="B20:H80" sheet="Previsión Centro"/>
  </cacheSource>
  <cacheFields count="7">
    <cacheField name="Month" numFmtId="0">
      <sharedItems count="12">
        <s v="JAN"/>
        <s v="FEB"/>
        <s v="MAR"/>
        <s v="APR"/>
        <s v="MAY"/>
        <s v="JUN"/>
        <s v="JUL"/>
        <s v="AUG"/>
        <s v="SEP"/>
        <s v="OCT"/>
        <s v="NOV"/>
        <s v="DEC"/>
      </sharedItems>
    </cacheField>
    <cacheField name="Period" numFmtId="0">
      <sharedItems containsSemiMixedTypes="0" containsString="0" containsNumber="1" containsInteger="1" minValue="1" maxValue="60"/>
    </cacheField>
    <cacheField name="Demand Dt" numFmtId="0">
      <sharedItems containsSemiMixedTypes="0" containsString="0" containsNumber="1" minValue="53282.126659617461" maxValue="378303.09928328393"/>
    </cacheField>
    <cacheField name="Deseasonalized Demand Dt" numFmtId="1">
      <sharedItems containsString="0" containsBlank="1" containsNumber="1" minValue="115444.6077625045" maxValue="356768.23975835525"/>
    </cacheField>
    <cacheField name=" Dt (based on regression)" numFmtId="1">
      <sharedItems containsSemiMixedTypes="0" containsString="0" containsNumber="1" minValue="65919.716780432253" maxValue="1137004.638624443"/>
    </cacheField>
    <cacheField name="Seasonal Factor St" numFmtId="2">
      <sharedItems containsSemiMixedTypes="0" containsString="0" containsNumber="1" minValue="0.20619208518440679" maxValue="2.156039342620983" count="240">
        <n v="0.8082881611444338"/>
        <n v="0.79219374795664343"/>
        <n v="0.83393658607210086"/>
        <n v="0.92948098709054194"/>
        <n v="1.038445689168358"/>
        <n v="1.0541514296895031"/>
        <n v="1.0665957215241917"/>
        <n v="1.0766989121265569"/>
        <n v="1.0093626395634103"/>
        <n v="0.95268831085006123"/>
        <n v="0.89356357391252317"/>
        <n v="0.88264091766635067"/>
        <n v="0.82617410158782167"/>
        <n v="0.8153226653594311"/>
        <n v="0.81569021211380544"/>
        <n v="0.85067545181193593"/>
        <n v="0.83724407159765746"/>
        <n v="0.8108886241877844"/>
        <n v="0.8005384304751646"/>
        <n v="0.79110292263433335"/>
        <n v="0.74520569550067239"/>
        <n v="0.75069863771556078"/>
        <n v="0.73286105721387362"/>
        <n v="0.72738405020664298"/>
        <n v="0.66919293039567329"/>
        <n v="0.67657336256798462"/>
        <n v="0.66364533258913638"/>
        <n v="0.61323427085274063"/>
        <n v="0.61240495609109469"/>
        <n v="0.59363745712439886"/>
        <n v="0.57598603670214044"/>
        <n v="0.55935401203324087"/>
        <n v="0.54365555406646615"/>
        <n v="0.52881420599971363"/>
        <n v="0.51476163800173924"/>
        <n v="0.50143659534440588"/>
        <n v="0.49618982405303952"/>
        <n v="0.49842486506009576"/>
        <n v="0.50055253255745613"/>
        <n v="0.4612724058891185"/>
        <n v="0.4641540560092039"/>
        <n v="0.35511204244225625"/>
        <n v="0.41808218199081632"/>
        <n v="0.43429285045270044"/>
        <n v="0.41901305992502935"/>
        <n v="0.40436166467487478"/>
        <n v="0.37847338741660452"/>
        <n v="0.39998251744230168"/>
        <n v="0.25012124835045835"/>
        <n v="0.24536890533336564"/>
        <n v="0.24079378557452369"/>
        <n v="0.23638615708337674"/>
        <n v="0.23213698762061669"/>
        <n v="0.22803788291669655"/>
        <n v="0.2240810313224377"/>
        <n v="0.22025915412380029"/>
        <n v="0.21656546085591002"/>
        <n v="0.21299360903916587"/>
        <n v="0.20953766783517416"/>
        <n v="0.20619208518440679"/>
        <n v="1.8371343643331386" u="1"/>
        <n v="0.40826491493800499" u="1"/>
        <n v="0.63989021809159397" u="1"/>
        <n v="0.54878373844026251" u="1"/>
        <n v="1.5660080641173157" u="1"/>
        <n v="1.0362962771056243" u="1"/>
        <n v="1.595150741745095" u="1"/>
        <n v="0.55109981152386445" u="1"/>
        <n v="1.0013400235877969" u="1"/>
        <n v="1.3277214971387601" u="1"/>
        <n v="0.44350028162267885" u="1"/>
        <n v="0.60192502705121886" u="1"/>
        <n v="1.7871508920791122" u="1"/>
        <n v="0.48606630187390709" u="1"/>
        <n v="0.83043925253823758" u="1"/>
        <n v="0.63493071318592365" u="1"/>
        <n v="0.63394104506766125" u="1"/>
        <n v="0.89364307002140275" u="1"/>
        <n v="0.72669632496042913" u="1"/>
        <n v="1.2056206032523626" u="1"/>
        <n v="0.31170488831770093" u="1"/>
        <n v="0.46067285989155576" u="1"/>
        <n v="0.4980626560108915" u="1"/>
        <n v="0.68468764549612471" u="1"/>
        <n v="2.0810257287162153" u="1"/>
        <n v="1.6841821611425492" u="1"/>
        <n v="0.54966627404789947" u="1"/>
        <n v="0.94501753007518285" u="1"/>
        <n v="1.9740472948831067" u="1"/>
        <n v="1.0873367492391262" u="1"/>
        <n v="0.33836939787165649" u="1"/>
        <n v="0.56964106102971579" u="1"/>
        <n v="0.94260744420329379" u="1"/>
        <n v="0.88349975851006612" u="1"/>
        <n v="1.092469932496283" u="1"/>
        <n v="1.7274217862485999" u="1"/>
        <n v="0.50234898384847548" u="1"/>
        <n v="0.22655693333269572" u="1"/>
        <n v="0.63563737234063078" u="1"/>
        <n v="1.2944559315422666" u="1"/>
        <n v="0.41057313644534221" u="1"/>
        <n v="0.90754258643586849" u="1"/>
        <n v="1.4288272566897693" u="1"/>
        <n v="1.7925702850512673" u="1"/>
        <n v="0.75116524508644023" u="1"/>
        <n v="1.0641580913260473" u="1"/>
        <n v="0.74009110521505195" u="1"/>
        <n v="0.20937887052703805" u="1"/>
        <n v="0.61001589795278666" u="1"/>
        <n v="0.69755984845512287" u="1"/>
        <n v="0.84288071341423587" u="1"/>
        <n v="0.80692407143149891" u="1"/>
        <n v="0.87303458089974939" u="1"/>
        <n v="1.6103684578391919" u="1"/>
        <n v="0.4552884024385247" u="1"/>
        <n v="0.86308271568976491" u="1"/>
        <n v="1.5336915713961679" u="1"/>
        <n v="0.70918716513068547" u="1"/>
        <n v="0.75635082576702384" u="1"/>
        <n v="0.92942849441878195" u="1"/>
        <n v="0.69033360371399477" u="1"/>
        <n v="0.50189314092757875" u="1"/>
        <n v="1.8031485449041118" u="1"/>
        <n v="1.3926296468569741" u="1"/>
        <n v="1.7894345327869843" u="1"/>
        <n v="1.9113747649877848" u="1"/>
        <n v="0.71652742435299199" u="1"/>
        <n v="0.93506590656198085" u="1"/>
        <n v="1.2756172645599047" u="1"/>
        <n v="1.4619617436287307" u="1"/>
        <n v="0.79752130378782748" u="1"/>
        <n v="0.85616753550938796" u="1"/>
        <n v="1.1058926800272326" u="1"/>
        <n v="0.84333031139971759" u="1"/>
        <n v="1.1978421418288654" u="1"/>
        <n v="0.41104815223579361" u="1"/>
        <n v="0.71992685543148816" u="1"/>
        <n v="0.80379774754751432" u="1"/>
        <n v="1.4559537589086169" u="1"/>
        <n v="0.67682287738676761" u="1"/>
        <n v="0.95969750334694504" u="1"/>
        <n v="2.1062157755843898" u="1"/>
        <n v="0.93182402689616872" u="1"/>
        <n v="2.1262336538719264" u="1"/>
        <n v="0.43653485409600801" u="1"/>
        <n v="0.5617832967416071" u="1"/>
        <n v="0.20625118360647887" u="1"/>
        <n v="0.70526027462515928" u="1"/>
        <n v="1.5018115601944848" u="1"/>
        <n v="0.8994763248836527" u="1"/>
        <n v="0.83492804590100422" u="1"/>
        <n v="0.81896057523790811" u="1"/>
        <n v="1.049666730812967" u="1"/>
        <n v="1.2664887087660506" u="1"/>
        <n v="0.9726911554274007" u="1"/>
        <n v="0.47327420560924588" u="1"/>
        <n v="0.78014813385918469" u="1"/>
        <n v="0.66414103319471762" u="1"/>
        <n v="1.3039529238204808" u="1"/>
        <n v="1.2123569512969068" u="1"/>
        <n v="0.96405538768137733" u="1"/>
        <n v="1.7679032346200456" u="1"/>
        <n v="0.5759763657114374" u="1"/>
        <n v="0.88071894849203314" u="1"/>
        <n v="2.156039342620983" u="1"/>
        <n v="1.008684775920677" u="1"/>
        <n v="1.5305919411273115" u="1"/>
        <n v="1.2861019535888676" u="1"/>
        <n v="0.48796004391118541" u="1"/>
        <n v="0.60933810648183406" u="1"/>
        <n v="0.68122443279550671" u="1"/>
        <n v="1.8910812824556826" u="1"/>
        <n v="1.4397080575155792" u="1"/>
        <n v="0.3769463547371576" u="1"/>
        <n v="1.1466496045205514" u="1"/>
        <n v="0.42752367122657225" u="1"/>
        <n v="1.0061804634970304" u="1"/>
        <n v="1.7410356072164173" u="1"/>
        <n v="0.61228613355593331" u="1"/>
        <n v="1.2588977091658544" u="1"/>
        <n v="1.0512458071465309" u="1"/>
        <n v="1.4638165461457713" u="1"/>
        <n v="0.93697667002059326" u="1"/>
        <n v="1.440370710267374" u="1"/>
        <n v="1.524034016439247" u="1"/>
        <n v="0.71218033118165847" u="1"/>
        <n v="0.59917122635969922" u="1"/>
        <n v="0.49377689225034183" u="1"/>
        <n v="1.9434602562377599" u="1"/>
        <n v="1.0866612333604999" u="1"/>
        <n v="1.3266879764584945" u="1"/>
        <n v="0.6857699310458335" u="1"/>
        <n v="0.65955809607562932" u="1"/>
        <n v="0.73577453513764868" u="1"/>
        <n v="0.70036021860576958" u="1"/>
        <n v="0.25835072108322332" u="1"/>
        <n v="2.1425240209182812" u="1"/>
        <n v="1.0628844984673207" u="1"/>
        <n v="0.98705721230366816" u="1"/>
        <n v="1.8027065712261763" u="1"/>
        <n v="0.64258955020873454" u="1"/>
        <n v="0.72958351724917836" u="1"/>
        <n v="0.69782635812274241" u="1"/>
        <n v="0.67104185959120133" u="1"/>
        <n v="0.56411251562591669" u="1"/>
        <n v="1.4918009553919545" u="1"/>
        <n v="0.92163436286175615" u="1"/>
        <n v="0.60964669119500026" u="1"/>
        <n v="1.6106313382003683" u="1"/>
        <n v="0.62378362193722248" u="1"/>
        <n v="1.5355074996932525" u="1"/>
        <n v="1.2029749570688311" u="1"/>
        <n v="1.1180358346456944" u="1"/>
        <n v="0.74191901805534122" u="1"/>
        <n v="0.74041678659385513" u="1"/>
        <n v="0.45686209866445998" u="1"/>
        <n v="1.6594274145706025" u="1"/>
        <n v="1.2443052297319268" u="1"/>
        <n v="1.1764917693876475" u="1"/>
        <n v="0.33315606405954845" u="1"/>
        <n v="0.79382326120456725" u="1"/>
        <n v="0.63401359269685287" u="1"/>
        <n v="0.77848869572004586" u="1"/>
        <n v="1.1970692324990617" u="1"/>
        <n v="0.46642226140169218" u="1"/>
        <n v="0.96759482812698316" u="1"/>
        <n v="0.58068466025914856" u="1"/>
        <n v="0.52869771179630343" u="1"/>
        <n v="0.60757032626526519" u="1"/>
        <n v="1.4542744306742836" u="1"/>
        <n v="1.3714147789142235" u="1"/>
        <n v="1.6073322927345008" u="1"/>
        <n v="1.2470741721346073" u="1"/>
        <n v="0.52744639504260959" u="1"/>
        <n v="0.69812831880250137" u="1"/>
        <n v="0.95985516523906678" u="1"/>
        <n v="1.0841158921170135" u="1"/>
        <n v="1.2318115328354762" u="1"/>
        <n v="1.5191566012975488" u="1"/>
        <n v="0.83609593364742674" u="1"/>
      </sharedItems>
    </cacheField>
    <cacheField name="Forecast" numFmtId="1">
      <sharedItems containsSemiMixedTypes="0" containsString="0" containsNumber="1" minValue="60353.482551588277" maxValue="1937380.609602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n v="1"/>
    <n v="53282.126659617461"/>
    <m/>
    <n v="65919.716780432253"/>
    <x v="0"/>
    <n v="80788.939946354323"/>
  </r>
  <r>
    <x v="1"/>
    <n v="2"/>
    <n v="66602.658324521835"/>
    <m/>
    <n v="84073.698506601926"/>
    <x v="1"/>
    <n v="60353.482551588277"/>
  </r>
  <r>
    <x v="2"/>
    <n v="3"/>
    <n v="85251.402655387938"/>
    <m/>
    <n v="102227.6802327716"/>
    <x v="2"/>
    <n v="67618.216902121174"/>
  </r>
  <r>
    <x v="3"/>
    <n v="4"/>
    <n v="111892.46598519667"/>
    <n v="115444.6077625045"/>
    <n v="120381.66195894127"/>
    <x v="3"/>
    <n v="63768.680275307648"/>
  </r>
  <r>
    <x v="4"/>
    <n v="5"/>
    <n v="143861.74198096714"/>
    <n v="138311.52045392367"/>
    <n v="138535.64368511096"/>
    <x v="4"/>
    <n v="103215.26523854843"/>
  </r>
  <r>
    <x v="5"/>
    <n v="6"/>
    <n v="165174.59264481414"/>
    <n v="160734.41542317937"/>
    <n v="156689.62541128061"/>
    <x v="5"/>
    <n v="134719.18458821968"/>
  </r>
  <r>
    <x v="6"/>
    <n v="7"/>
    <n v="186487.44330866114"/>
    <n v="180271.19519837244"/>
    <n v="174843.60713745031"/>
    <x v="6"/>
    <n v="186429.8241660418"/>
  </r>
  <r>
    <x v="7"/>
    <n v="8"/>
    <n v="207800.29397250811"/>
    <n v="195589.80661301245"/>
    <n v="192997.58886361995"/>
    <x v="7"/>
    <n v="266720.83518711518"/>
  </r>
  <r>
    <x v="8"/>
    <n v="9"/>
    <n v="213128.50663846984"/>
    <n v="207800.29397250814"/>
    <n v="211151.57058978966"/>
    <x v="8"/>
    <n v="174252.5299016427"/>
  </r>
  <r>
    <x v="9"/>
    <n v="10"/>
    <n v="218456.71930443161"/>
    <n v="217568.68386010462"/>
    <n v="229305.5523159593"/>
    <x v="9"/>
    <n v="189965.82142241058"/>
  </r>
  <r>
    <x v="10"/>
    <n v="11"/>
    <n v="221120.82563741249"/>
    <n v="224761.77095915299"/>
    <n v="247459.534042129"/>
    <x v="10"/>
    <n v="298780.83905787527"/>
  </r>
  <r>
    <x v="11"/>
    <n v="12"/>
    <n v="234441.35730231681"/>
    <n v="231954.85805820135"/>
    <n v="265613.51576829865"/>
    <x v="11"/>
    <n v="452587.84143603576"/>
  </r>
  <r>
    <x v="0"/>
    <n v="13"/>
    <n v="234441.35730231681"/>
    <n v="241723.24794579789"/>
    <n v="283767.49749446835"/>
    <x v="12"/>
    <n v="347775.69494371739"/>
  </r>
  <r>
    <x v="1"/>
    <n v="14"/>
    <n v="246163.42516743267"/>
    <n v="253933.73530529355"/>
    <n v="301921.47922063799"/>
    <x v="13"/>
    <n v="216738.56451862416"/>
  </r>
  <r>
    <x v="2"/>
    <n v="15"/>
    <n v="261082.42063212558"/>
    <n v="266144.22266478924"/>
    <n v="320075.46094680764"/>
    <x v="14"/>
    <n v="211713.03011148132"/>
  </r>
  <r>
    <x v="3"/>
    <n v="16"/>
    <n v="287723.48396193428"/>
    <n v="278576.71888536663"/>
    <n v="338229.44267297734"/>
    <x v="15"/>
    <n v="179167.19904452696"/>
  </r>
  <r>
    <x v="4"/>
    <n v="17"/>
    <n v="298379.90929385781"/>
    <n v="291808.44700583827"/>
    <n v="356383.42439914704"/>
    <x v="16"/>
    <n v="265521.62820703373"/>
  </r>
  <r>
    <x v="5"/>
    <n v="18"/>
    <n v="303708.12195981952"/>
    <n v="303264.10423765605"/>
    <n v="374537.40612531669"/>
    <x v="17"/>
    <n v="322021.15372060199"/>
  </r>
  <r>
    <x v="6"/>
    <n v="19"/>
    <n v="314364.54729174299"/>
    <n v="305795.00525398785"/>
    <n v="392691.38785148633"/>
    <x v="18"/>
    <n v="418713.54399088334"/>
  </r>
  <r>
    <x v="7"/>
    <n v="20"/>
    <n v="325020.97262366652"/>
    <n v="314408.94906395936"/>
    <n v="410845.36957765603"/>
    <x v="19"/>
    <n v="567784.3995447316"/>
  </r>
  <r>
    <x v="8"/>
    <n v="21"/>
    <n v="319692.75995770475"/>
    <n v="322800.88401284913"/>
    <n v="428999.35130382574"/>
    <x v="20"/>
    <n v="354031.097576264"/>
  </r>
  <r>
    <x v="9"/>
    <n v="22"/>
    <n v="335677.39795558999"/>
    <n v="329017.13212313777"/>
    <n v="447153.33302999538"/>
    <x v="21"/>
    <n v="370439.5700535326"/>
  </r>
  <r>
    <x v="10"/>
    <n v="23"/>
    <n v="341005.61062155175"/>
    <n v="333457.30934477266"/>
    <n v="465307.31475616503"/>
    <x v="22"/>
    <n v="561808.66282139451"/>
  </r>
  <r>
    <x v="11"/>
    <n v="24"/>
    <n v="351662.03595347528"/>
    <n v="337675.47770532564"/>
    <n v="483461.29648233473"/>
    <x v="23"/>
    <n v="823786.03347760183"/>
  </r>
  <r>
    <x v="0"/>
    <n v="25"/>
    <n v="335677.39795558999"/>
    <n v="341227.61948263342"/>
    <n v="501615.27820850443"/>
    <x v="24"/>
    <n v="614762.44994108041"/>
  </r>
  <r>
    <x v="1"/>
    <n v="26"/>
    <n v="351662.03595347528"/>
    <n v="343891.72581561439"/>
    <n v="519769.25993467408"/>
    <x v="25"/>
    <n v="373123.64648566005"/>
  </r>
  <r>
    <x v="2"/>
    <n v="27"/>
    <n v="356990.24861943698"/>
    <n v="346333.82328751346"/>
    <n v="537923.24166084372"/>
    <x v="26"/>
    <n v="355807.84332084149"/>
  </r>
  <r>
    <x v="3"/>
    <n v="28"/>
    <n v="341005.61062155175"/>
    <n v="348331.90303724911"/>
    <n v="556077.22338701342"/>
    <x v="27"/>
    <n v="294565.71781374625"/>
  </r>
  <r>
    <x v="4"/>
    <n v="29"/>
    <n v="351662.03595347528"/>
    <n v="349441.94734265783"/>
    <n v="574231.20511318312"/>
    <x v="28"/>
    <n v="427827.99117551907"/>
  </r>
  <r>
    <x v="5"/>
    <n v="30"/>
    <n v="351662.03595347528"/>
    <n v="349885.9650648213"/>
    <n v="592385.18683935271"/>
    <x v="29"/>
    <n v="509323.12285298423"/>
  </r>
  <r>
    <x v="6"/>
    <n v="31"/>
    <n v="351662.03595347528"/>
    <n v="350774.00050914823"/>
    <n v="610539.16856552241"/>
    <x v="30"/>
    <n v="650997.26381572499"/>
  </r>
  <r>
    <x v="7"/>
    <n v="32"/>
    <n v="351662.03595347528"/>
    <n v="352328.06253672042"/>
    <n v="628693.15029169212"/>
    <x v="31"/>
    <n v="868847.96390234795"/>
  </r>
  <r>
    <x v="8"/>
    <n v="33"/>
    <n v="351662.03595347528"/>
    <n v="353882.12456429261"/>
    <n v="646847.13201786182"/>
    <x v="32"/>
    <n v="533809.6652508853"/>
  </r>
  <r>
    <x v="9"/>
    <n v="34"/>
    <n v="351662.03595347528"/>
    <n v="355436.1865918648"/>
    <n v="665001.11374403152"/>
    <x v="33"/>
    <n v="550913.31868465466"/>
  </r>
  <r>
    <x v="10"/>
    <n v="35"/>
    <n v="351662.03595347528"/>
    <n v="356768.23975835525"/>
    <n v="683155.09547020111"/>
    <x v="34"/>
    <n v="824836.4865849138"/>
  </r>
  <r>
    <x v="11"/>
    <n v="36"/>
    <n v="351662.03595347528"/>
    <n v="354770.16000861954"/>
    <n v="701309.07719637081"/>
    <x v="35"/>
    <n v="1194984.225519168"/>
  </r>
  <r>
    <x v="0"/>
    <n v="37"/>
    <n v="356990.24861943698"/>
    <n v="351884.0448145569"/>
    <n v="719463.05892254051"/>
    <x v="36"/>
    <n v="881749.20493844338"/>
  </r>
  <r>
    <x v="1"/>
    <n v="38"/>
    <n v="367646.67395136051"/>
    <n v="352328.06253672048"/>
    <n v="737617.0406487101"/>
    <x v="37"/>
    <n v="529508.72845269588"/>
  </r>
  <r>
    <x v="2"/>
    <n v="39"/>
    <n v="378303.09928328393"/>
    <n v="353438.1068421292"/>
    <n v="755771.0223748798"/>
    <x v="38"/>
    <n v="499902.65653020161"/>
  </r>
  <r>
    <x v="3"/>
    <n v="40"/>
    <n v="356990.24861943698"/>
    <n v="354104.13342537434"/>
    <n v="773925.0041010495"/>
    <x v="39"/>
    <n v="409964.23658296559"/>
  </r>
  <r>
    <x v="4"/>
    <n v="41"/>
    <n v="367646.67395136051"/>
    <n v="353882.12456429261"/>
    <n v="792078.98582721921"/>
    <x v="40"/>
    <n v="590134.35414400429"/>
  </r>
  <r>
    <x v="5"/>
    <n v="42"/>
    <n v="287723.48396193428"/>
    <n v="354104.13342537446"/>
    <n v="810232.96755338891"/>
    <x v="41"/>
    <n v="696625.09198536666"/>
  </r>
  <r>
    <x v="6"/>
    <n v="43"/>
    <n v="346333.82328751351"/>
    <n v="349663.95620373962"/>
    <n v="828386.9492795585"/>
    <x v="42"/>
    <n v="883280.98364056658"/>
  </r>
  <r>
    <x v="7"/>
    <n v="44"/>
    <n v="367646.67395136051"/>
    <n v="339007.53087181615"/>
    <n v="846540.9310057282"/>
    <x v="43"/>
    <n v="1169911.5282599644"/>
  </r>
  <r>
    <x v="8"/>
    <n v="45"/>
    <n v="362318.46128539875"/>
    <n v="327463.07009556569"/>
    <n v="864694.9127318979"/>
    <x v="44"/>
    <n v="713588.23292550666"/>
  </r>
  <r>
    <x v="9"/>
    <n v="46"/>
    <n v="356990.24861943698"/>
    <n v="316362.6270414787"/>
    <n v="882848.89445806749"/>
    <x v="45"/>
    <n v="731387.0673157766"/>
  </r>
  <r>
    <x v="10"/>
    <n v="47"/>
    <n v="341005.61062155175"/>
    <n v="305706.20170955523"/>
    <n v="901002.87618423719"/>
    <x v="46"/>
    <n v="1087864.3103484332"/>
  </r>
  <r>
    <x v="11"/>
    <n v="48"/>
    <n v="367646.67395136051"/>
    <n v="297935.89157169434"/>
    <n v="919156.85791040689"/>
    <x v="47"/>
    <n v="1566182.4175607339"/>
  </r>
  <r>
    <x v="0"/>
    <n v="49"/>
    <n v="234441.35730231681"/>
    <n v="291053.61687816045"/>
    <n v="937310.83963657659"/>
    <x v="48"/>
    <n v="1148735.9599358065"/>
  </r>
  <r>
    <x v="1"/>
    <n v="50"/>
    <n v="234441.35730231681"/>
    <n v="280841.20926840045"/>
    <n v="955464.8213627463"/>
    <x v="49"/>
    <n v="685893.81041973189"/>
  </r>
  <r>
    <x v="2"/>
    <n v="51"/>
    <n v="234441.35730231681"/>
    <n v="269962.77507539518"/>
    <n v="973618.80308891588"/>
    <x v="50"/>
    <n v="643997.46973956178"/>
  </r>
  <r>
    <x v="3"/>
    <n v="52"/>
    <n v="234441.35730231681"/>
    <n v="259528.35860455342"/>
    <n v="991772.78481508559"/>
    <x v="51"/>
    <n v="525362.75535218487"/>
  </r>
  <r>
    <x v="4"/>
    <n v="53"/>
    <n v="234441.35730231681"/>
    <n v="249981.97757803861"/>
    <n v="1009926.7665412553"/>
    <x v="52"/>
    <n v="752440.71711248963"/>
  </r>
  <r>
    <x v="5"/>
    <n v="54"/>
    <n v="234441.35730231681"/>
    <n v="239991.57882936034"/>
    <n v="1028080.7482674249"/>
    <x v="53"/>
    <n v="883927.06111774885"/>
  </r>
  <r>
    <x v="6"/>
    <n v="55"/>
    <n v="234441.35730231681"/>
    <m/>
    <n v="1046234.7299935946"/>
    <x v="54"/>
    <n v="1115564.7034654082"/>
  </r>
  <r>
    <x v="7"/>
    <n v="56"/>
    <n v="234441.35730231681"/>
    <m/>
    <n v="1064388.7117197644"/>
    <x v="55"/>
    <n v="1470975.0926175809"/>
  </r>
  <r>
    <x v="8"/>
    <n v="57"/>
    <n v="234441.35730231681"/>
    <m/>
    <n v="1082542.693445934"/>
    <x v="56"/>
    <n v="893366.8006001279"/>
  </r>
  <r>
    <x v="9"/>
    <n v="58"/>
    <n v="234441.35730231681"/>
    <m/>
    <n v="1100696.6751721038"/>
    <x v="57"/>
    <n v="911860.81594689877"/>
  </r>
  <r>
    <x v="10"/>
    <n v="59"/>
    <n v="234441.35730231681"/>
    <m/>
    <n v="1118850.6568982734"/>
    <x v="58"/>
    <n v="1350892.1341119525"/>
  </r>
  <r>
    <x v="11"/>
    <n v="60"/>
    <n v="234441.35730231681"/>
    <m/>
    <n v="1137004.638624443"/>
    <x v="59"/>
    <n v="1937380.60960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0"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location ref="S57:T70" firstHeaderRow="1" firstDataRow="1" firstDataCol="1" rowPageCount="1" colPageCount="1"/>
  <pivotFields count="7">
    <pivotField axis="axisRow" showAll="0" nonAutoSortDefault="1">
      <items count="13">
        <item x="0"/>
        <item x="1"/>
        <item x="2"/>
        <item x="3"/>
        <item x="4"/>
        <item x="5"/>
        <item x="6"/>
        <item x="7"/>
        <item x="8"/>
        <item x="9"/>
        <item x="10"/>
        <item x="11"/>
        <item t="default"/>
      </items>
    </pivotField>
    <pivotField showAll="0"/>
    <pivotField showAll="0"/>
    <pivotField showAll="0"/>
    <pivotField numFmtId="1" showAll="0"/>
    <pivotField axis="axisPage" dataField="1" numFmtId="2" showAll="0">
      <items count="241">
        <item m="1" x="146"/>
        <item m="1" x="107"/>
        <item m="1" x="97"/>
        <item m="1" x="195"/>
        <item m="1" x="80"/>
        <item m="1" x="219"/>
        <item m="1" x="173"/>
        <item m="1" x="100"/>
        <item m="1" x="175"/>
        <item m="1" x="144"/>
        <item m="1" x="215"/>
        <item m="1" x="81"/>
        <item m="1" x="168"/>
        <item m="1" x="187"/>
        <item m="1" x="82"/>
        <item m="1" x="233"/>
        <item m="1" x="145"/>
        <item m="1" x="162"/>
        <item m="1" x="226"/>
        <item m="1" x="207"/>
        <item m="1" x="221"/>
        <item m="1" x="98"/>
        <item m="1" x="62"/>
        <item m="1" x="234"/>
        <item m="1" x="147"/>
        <item m="1" x="126"/>
        <item m="1" x="214"/>
        <item m="1" x="222"/>
        <item m="1" x="156"/>
        <item m="1" x="137"/>
        <item m="1" x="111"/>
        <item m="1" x="131"/>
        <item m="1" x="206"/>
        <item m="1" x="182"/>
        <item m="1" x="92"/>
        <item m="1" x="225"/>
        <item m="1" x="68"/>
        <item m="1" x="236"/>
        <item m="1" x="89"/>
        <item m="1" x="218"/>
        <item m="1" x="159"/>
        <item m="1" x="128"/>
        <item m="1" x="158"/>
        <item m="1" x="190"/>
        <item m="1" x="129"/>
        <item m="1" x="238"/>
        <item m="1" x="210"/>
        <item m="1" x="113"/>
        <item m="1" x="95"/>
        <item m="1" x="177"/>
        <item m="1" x="72"/>
        <item m="1" x="124"/>
        <item m="1" x="199"/>
        <item m="1" x="122"/>
        <item m="1" x="88"/>
        <item m="1" x="84"/>
        <item m="1" x="141"/>
        <item m="1" x="143"/>
        <item m="1" x="196"/>
        <item m="1" x="164"/>
        <item m="1" x="114"/>
        <item m="1" x="204"/>
        <item m="1" x="203"/>
        <item m="1" x="70"/>
        <item m="1" x="192"/>
        <item m="1" x="109"/>
        <item m="1" x="154"/>
        <item m="1" x="167"/>
        <item m="1" x="197"/>
        <item m="1" x="133"/>
        <item m="1" x="181"/>
        <item m="1" x="216"/>
        <item m="1" x="183"/>
        <item m="1" x="61"/>
        <item m="1" x="228"/>
        <item m="1" x="96"/>
        <item m="1" x="130"/>
        <item m="1" x="213"/>
        <item m="1" x="93"/>
        <item m="1" x="153"/>
        <item m="1" x="139"/>
        <item m="1" x="209"/>
        <item m="1" x="102"/>
        <item m="1" x="171"/>
        <item m="1" x="148"/>
        <item m="1" x="142"/>
        <item m="1" x="106"/>
        <item m="1" x="67"/>
        <item m="1" x="201"/>
        <item m="1" x="189"/>
        <item m="1" x="179"/>
        <item m="1" x="231"/>
        <item m="1" x="105"/>
        <item m="1" x="163"/>
        <item m="1" x="152"/>
        <item m="1" x="125"/>
        <item m="1" x="99"/>
        <item m="1" x="191"/>
        <item m="1" x="170"/>
        <item m="1" x="90"/>
        <item m="1" x="118"/>
        <item m="1" x="150"/>
        <item m="1" x="217"/>
        <item m="1" x="64"/>
        <item m="1" x="151"/>
        <item m="1" x="91"/>
        <item m="1" x="180"/>
        <item m="1" x="161"/>
        <item m="1" x="212"/>
        <item m="1" x="75"/>
        <item m="1" x="155"/>
        <item m="1" x="63"/>
        <item m="1" x="127"/>
        <item m="1" x="119"/>
        <item m="1" x="237"/>
        <item m="1" x="166"/>
        <item m="1" x="83"/>
        <item m="1" x="101"/>
        <item m="1" x="211"/>
        <item m="1" x="188"/>
        <item m="1" x="73"/>
        <item m="1" x="186"/>
        <item m="1" x="117"/>
        <item m="1" x="224"/>
        <item m="1" x="120"/>
        <item m="1" x="78"/>
        <item m="1" x="165"/>
        <item m="1" x="69"/>
        <item m="1" x="94"/>
        <item m="1" x="115"/>
        <item m="1" x="205"/>
        <item m="1" x="85"/>
        <item m="1" x="138"/>
        <item m="1" x="135"/>
        <item m="1" x="169"/>
        <item m="1" x="121"/>
        <item m="1" x="220"/>
        <item m="1" x="193"/>
        <item m="1" x="112"/>
        <item m="1" x="232"/>
        <item m="1" x="157"/>
        <item m="1" x="108"/>
        <item m="1" x="123"/>
        <item m="1" x="60"/>
        <item m="1" x="229"/>
        <item m="1" x="149"/>
        <item m="1" x="185"/>
        <item m="1" x="227"/>
        <item m="1" x="202"/>
        <item m="1" x="65"/>
        <item m="1" x="223"/>
        <item m="1" x="184"/>
        <item m="1" x="176"/>
        <item m="1" x="74"/>
        <item m="1" x="198"/>
        <item m="1" x="103"/>
        <item m="1" x="116"/>
        <item m="1" x="140"/>
        <item m="1" x="76"/>
        <item m="1" x="86"/>
        <item m="1" x="194"/>
        <item m="1" x="160"/>
        <item m="1" x="174"/>
        <item m="1" x="172"/>
        <item m="1" x="104"/>
        <item m="1" x="77"/>
        <item m="1" x="235"/>
        <item m="1" x="208"/>
        <item m="1" x="134"/>
        <item m="1" x="136"/>
        <item m="1" x="200"/>
        <item m="1" x="71"/>
        <item m="1" x="110"/>
        <item m="1" x="239"/>
        <item m="1" x="132"/>
        <item m="1" x="230"/>
        <item m="1" x="178"/>
        <item m="1" x="87"/>
        <item m="1" x="79"/>
        <item m="1" x="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numFmtId="1" showAll="0"/>
  </pivotFields>
  <rowFields count="1">
    <field x="0"/>
  </rowFields>
  <rowItems count="13">
    <i>
      <x/>
    </i>
    <i>
      <x v="1"/>
    </i>
    <i>
      <x v="2"/>
    </i>
    <i>
      <x v="3"/>
    </i>
    <i>
      <x v="4"/>
    </i>
    <i>
      <x v="5"/>
    </i>
    <i>
      <x v="6"/>
    </i>
    <i>
      <x v="7"/>
    </i>
    <i>
      <x v="8"/>
    </i>
    <i>
      <x v="9"/>
    </i>
    <i>
      <x v="10"/>
    </i>
    <i>
      <x v="11"/>
    </i>
    <i t="grand">
      <x/>
    </i>
  </rowItems>
  <colItems count="1">
    <i/>
  </colItems>
  <pageFields count="1">
    <pageField fld="5" hier="-1"/>
  </pageFields>
  <dataFields count="1">
    <dataField name="Promedio de Seasonal Factor St" fld="5" subtotal="average" baseField="0" baseItem="1"/>
  </dataFields>
  <formats count="4">
    <format dxfId="21">
      <pivotArea collapsedLevelsAreSubtotals="1" fieldPosition="0">
        <references count="1">
          <reference field="0" count="0"/>
        </references>
      </pivotArea>
    </format>
    <format dxfId="20">
      <pivotArea field="0" type="button" dataOnly="0" labelOnly="1" outline="0" axis="axisRow" fieldPosition="0"/>
    </format>
    <format dxfId="19">
      <pivotArea dataOnly="0" labelOnly="1" outline="0" axis="axisValues" fieldPosition="0"/>
    </format>
    <format dxfId="18">
      <pivotArea dataOnly="0" labelOnly="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BCC7D8-4A20-4059-B021-13D531AE1789}" name="TablaDinámica1" cacheId="0"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location ref="S57:T70" firstHeaderRow="1" firstDataRow="1" firstDataCol="1" rowPageCount="1" colPageCount="1"/>
  <pivotFields count="7">
    <pivotField axis="axisRow" showAll="0" nonAutoSortDefault="1">
      <items count="13">
        <item x="0"/>
        <item x="1"/>
        <item x="2"/>
        <item x="3"/>
        <item x="4"/>
        <item x="5"/>
        <item x="6"/>
        <item x="7"/>
        <item x="8"/>
        <item x="9"/>
        <item x="10"/>
        <item x="11"/>
        <item t="default"/>
      </items>
    </pivotField>
    <pivotField showAll="0"/>
    <pivotField showAll="0"/>
    <pivotField showAll="0"/>
    <pivotField numFmtId="1" showAll="0"/>
    <pivotField axis="axisPage" dataField="1" numFmtId="2" showAll="0">
      <items count="241">
        <item m="1" x="146"/>
        <item m="1" x="107"/>
        <item m="1" x="97"/>
        <item m="1" x="195"/>
        <item m="1" x="80"/>
        <item m="1" x="219"/>
        <item m="1" x="173"/>
        <item m="1" x="100"/>
        <item m="1" x="175"/>
        <item m="1" x="144"/>
        <item m="1" x="215"/>
        <item m="1" x="81"/>
        <item m="1" x="168"/>
        <item m="1" x="187"/>
        <item m="1" x="82"/>
        <item m="1" x="233"/>
        <item m="1" x="145"/>
        <item m="1" x="162"/>
        <item m="1" x="226"/>
        <item m="1" x="207"/>
        <item m="1" x="221"/>
        <item m="1" x="98"/>
        <item m="1" x="62"/>
        <item m="1" x="234"/>
        <item m="1" x="147"/>
        <item m="1" x="126"/>
        <item m="1" x="214"/>
        <item m="1" x="222"/>
        <item m="1" x="156"/>
        <item m="1" x="137"/>
        <item m="1" x="111"/>
        <item m="1" x="131"/>
        <item m="1" x="206"/>
        <item m="1" x="182"/>
        <item m="1" x="92"/>
        <item m="1" x="225"/>
        <item m="1" x="68"/>
        <item m="1" x="236"/>
        <item m="1" x="89"/>
        <item m="1" x="218"/>
        <item m="1" x="159"/>
        <item m="1" x="128"/>
        <item m="1" x="158"/>
        <item m="1" x="190"/>
        <item m="1" x="129"/>
        <item m="1" x="238"/>
        <item m="1" x="210"/>
        <item m="1" x="113"/>
        <item m="1" x="95"/>
        <item m="1" x="177"/>
        <item m="1" x="72"/>
        <item m="1" x="124"/>
        <item m="1" x="199"/>
        <item m="1" x="122"/>
        <item m="1" x="88"/>
        <item m="1" x="84"/>
        <item m="1" x="141"/>
        <item m="1" x="143"/>
        <item m="1" x="196"/>
        <item m="1" x="164"/>
        <item m="1" x="114"/>
        <item m="1" x="204"/>
        <item m="1" x="203"/>
        <item m="1" x="70"/>
        <item m="1" x="192"/>
        <item m="1" x="109"/>
        <item m="1" x="154"/>
        <item m="1" x="167"/>
        <item m="1" x="197"/>
        <item m="1" x="133"/>
        <item m="1" x="181"/>
        <item m="1" x="216"/>
        <item m="1" x="183"/>
        <item m="1" x="61"/>
        <item m="1" x="228"/>
        <item m="1" x="96"/>
        <item m="1" x="130"/>
        <item m="1" x="213"/>
        <item m="1" x="93"/>
        <item m="1" x="153"/>
        <item m="1" x="139"/>
        <item m="1" x="209"/>
        <item m="1" x="102"/>
        <item m="1" x="171"/>
        <item m="1" x="148"/>
        <item m="1" x="142"/>
        <item m="1" x="106"/>
        <item m="1" x="67"/>
        <item m="1" x="201"/>
        <item m="1" x="189"/>
        <item m="1" x="179"/>
        <item m="1" x="231"/>
        <item m="1" x="105"/>
        <item m="1" x="163"/>
        <item m="1" x="152"/>
        <item m="1" x="125"/>
        <item m="1" x="99"/>
        <item m="1" x="191"/>
        <item m="1" x="170"/>
        <item m="1" x="90"/>
        <item m="1" x="118"/>
        <item m="1" x="150"/>
        <item m="1" x="217"/>
        <item m="1" x="64"/>
        <item m="1" x="151"/>
        <item m="1" x="91"/>
        <item m="1" x="180"/>
        <item m="1" x="161"/>
        <item m="1" x="212"/>
        <item m="1" x="75"/>
        <item m="1" x="155"/>
        <item m="1" x="63"/>
        <item m="1" x="127"/>
        <item m="1" x="119"/>
        <item m="1" x="237"/>
        <item m="1" x="166"/>
        <item m="1" x="83"/>
        <item m="1" x="101"/>
        <item m="1" x="211"/>
        <item m="1" x="188"/>
        <item m="1" x="73"/>
        <item m="1" x="186"/>
        <item m="1" x="117"/>
        <item m="1" x="224"/>
        <item m="1" x="120"/>
        <item m="1" x="78"/>
        <item m="1" x="165"/>
        <item m="1" x="69"/>
        <item m="1" x="94"/>
        <item m="1" x="115"/>
        <item m="1" x="205"/>
        <item m="1" x="85"/>
        <item m="1" x="138"/>
        <item m="1" x="135"/>
        <item m="1" x="169"/>
        <item m="1" x="121"/>
        <item m="1" x="220"/>
        <item m="1" x="193"/>
        <item m="1" x="112"/>
        <item m="1" x="232"/>
        <item m="1" x="157"/>
        <item m="1" x="108"/>
        <item m="1" x="123"/>
        <item m="1" x="60"/>
        <item m="1" x="229"/>
        <item m="1" x="149"/>
        <item m="1" x="185"/>
        <item m="1" x="227"/>
        <item m="1" x="202"/>
        <item m="1" x="65"/>
        <item m="1" x="223"/>
        <item m="1" x="184"/>
        <item m="1" x="176"/>
        <item m="1" x="74"/>
        <item m="1" x="198"/>
        <item m="1" x="103"/>
        <item m="1" x="116"/>
        <item m="1" x="140"/>
        <item m="1" x="76"/>
        <item m="1" x="86"/>
        <item m="1" x="194"/>
        <item m="1" x="160"/>
        <item m="1" x="174"/>
        <item m="1" x="172"/>
        <item m="1" x="104"/>
        <item m="1" x="77"/>
        <item m="1" x="235"/>
        <item m="1" x="208"/>
        <item m="1" x="134"/>
        <item m="1" x="136"/>
        <item m="1" x="200"/>
        <item m="1" x="71"/>
        <item m="1" x="110"/>
        <item m="1" x="239"/>
        <item m="1" x="132"/>
        <item m="1" x="230"/>
        <item m="1" x="178"/>
        <item m="1" x="87"/>
        <item m="1" x="79"/>
        <item m="1" x="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numFmtId="1" showAll="0"/>
  </pivotFields>
  <rowFields count="1">
    <field x="0"/>
  </rowFields>
  <rowItems count="13">
    <i>
      <x/>
    </i>
    <i>
      <x v="1"/>
    </i>
    <i>
      <x v="2"/>
    </i>
    <i>
      <x v="3"/>
    </i>
    <i>
      <x v="4"/>
    </i>
    <i>
      <x v="5"/>
    </i>
    <i>
      <x v="6"/>
    </i>
    <i>
      <x v="7"/>
    </i>
    <i>
      <x v="8"/>
    </i>
    <i>
      <x v="9"/>
    </i>
    <i>
      <x v="10"/>
    </i>
    <i>
      <x v="11"/>
    </i>
    <i t="grand">
      <x/>
    </i>
  </rowItems>
  <colItems count="1">
    <i/>
  </colItems>
  <pageFields count="1">
    <pageField fld="5" hier="-1"/>
  </pageFields>
  <dataFields count="1">
    <dataField name="Promedio de Seasonal Factor St" fld="5" subtotal="average" baseField="0" baseItem="1"/>
  </dataFields>
  <formats count="4">
    <format dxfId="2">
      <pivotArea collapsedLevelsAreSubtotals="1" fieldPosition="0">
        <references count="1">
          <reference field="0" count="0"/>
        </references>
      </pivotArea>
    </format>
    <format dxfId="3">
      <pivotArea field="0" type="button" dataOnly="0" labelOnly="1" outline="0" axis="axisRow" fieldPosition="0"/>
    </format>
    <format dxfId="4">
      <pivotArea dataOnly="0" labelOnly="1" outline="0" axis="axisValues" fieldPosition="0"/>
    </format>
    <format dxfId="5">
      <pivotArea dataOnly="0" labelOnly="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A0F6928-984D-4028-AAA1-F300EE58B8DC}" name="TablaDinámica2" cacheId="0"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location ref="S57:T70" firstHeaderRow="1" firstDataRow="1" firstDataCol="1" rowPageCount="1" colPageCount="1"/>
  <pivotFields count="7">
    <pivotField axis="axisRow" showAll="0" nonAutoSortDefault="1">
      <items count="13">
        <item x="0"/>
        <item x="1"/>
        <item x="2"/>
        <item x="3"/>
        <item x="4"/>
        <item x="5"/>
        <item x="6"/>
        <item x="7"/>
        <item x="8"/>
        <item x="9"/>
        <item x="10"/>
        <item x="11"/>
        <item t="default"/>
      </items>
    </pivotField>
    <pivotField showAll="0"/>
    <pivotField showAll="0"/>
    <pivotField showAll="0"/>
    <pivotField numFmtId="1" showAll="0"/>
    <pivotField axis="axisPage" dataField="1" numFmtId="2" showAll="0">
      <items count="241">
        <item m="1" x="146"/>
        <item m="1" x="107"/>
        <item m="1" x="97"/>
        <item m="1" x="195"/>
        <item m="1" x="80"/>
        <item m="1" x="219"/>
        <item m="1" x="173"/>
        <item m="1" x="100"/>
        <item m="1" x="175"/>
        <item m="1" x="144"/>
        <item m="1" x="215"/>
        <item m="1" x="81"/>
        <item m="1" x="168"/>
        <item m="1" x="187"/>
        <item m="1" x="82"/>
        <item m="1" x="233"/>
        <item m="1" x="145"/>
        <item m="1" x="162"/>
        <item m="1" x="226"/>
        <item m="1" x="207"/>
        <item m="1" x="221"/>
        <item m="1" x="98"/>
        <item m="1" x="62"/>
        <item m="1" x="234"/>
        <item m="1" x="147"/>
        <item m="1" x="126"/>
        <item m="1" x="214"/>
        <item m="1" x="222"/>
        <item m="1" x="156"/>
        <item m="1" x="137"/>
        <item m="1" x="111"/>
        <item m="1" x="131"/>
        <item m="1" x="206"/>
        <item m="1" x="182"/>
        <item m="1" x="92"/>
        <item m="1" x="225"/>
        <item m="1" x="68"/>
        <item m="1" x="236"/>
        <item m="1" x="89"/>
        <item m="1" x="218"/>
        <item m="1" x="159"/>
        <item m="1" x="128"/>
        <item m="1" x="158"/>
        <item m="1" x="190"/>
        <item m="1" x="129"/>
        <item m="1" x="238"/>
        <item m="1" x="210"/>
        <item m="1" x="113"/>
        <item m="1" x="95"/>
        <item m="1" x="177"/>
        <item m="1" x="72"/>
        <item m="1" x="124"/>
        <item m="1" x="199"/>
        <item m="1" x="122"/>
        <item m="1" x="88"/>
        <item m="1" x="84"/>
        <item m="1" x="141"/>
        <item m="1" x="143"/>
        <item m="1" x="196"/>
        <item m="1" x="164"/>
        <item m="1" x="114"/>
        <item m="1" x="204"/>
        <item m="1" x="203"/>
        <item m="1" x="70"/>
        <item m="1" x="192"/>
        <item m="1" x="109"/>
        <item m="1" x="154"/>
        <item m="1" x="167"/>
        <item m="1" x="197"/>
        <item m="1" x="133"/>
        <item m="1" x="181"/>
        <item m="1" x="216"/>
        <item m="1" x="183"/>
        <item m="1" x="61"/>
        <item m="1" x="228"/>
        <item m="1" x="96"/>
        <item m="1" x="130"/>
        <item m="1" x="213"/>
        <item m="1" x="93"/>
        <item m="1" x="153"/>
        <item m="1" x="139"/>
        <item m="1" x="209"/>
        <item m="1" x="102"/>
        <item m="1" x="171"/>
        <item m="1" x="148"/>
        <item m="1" x="142"/>
        <item m="1" x="106"/>
        <item m="1" x="67"/>
        <item m="1" x="201"/>
        <item m="1" x="189"/>
        <item m="1" x="179"/>
        <item m="1" x="231"/>
        <item m="1" x="105"/>
        <item m="1" x="163"/>
        <item m="1" x="152"/>
        <item m="1" x="125"/>
        <item m="1" x="99"/>
        <item m="1" x="191"/>
        <item m="1" x="170"/>
        <item m="1" x="90"/>
        <item m="1" x="118"/>
        <item m="1" x="150"/>
        <item m="1" x="217"/>
        <item m="1" x="64"/>
        <item m="1" x="151"/>
        <item m="1" x="91"/>
        <item m="1" x="180"/>
        <item m="1" x="161"/>
        <item m="1" x="212"/>
        <item m="1" x="75"/>
        <item m="1" x="155"/>
        <item m="1" x="63"/>
        <item m="1" x="127"/>
        <item m="1" x="119"/>
        <item m="1" x="237"/>
        <item m="1" x="166"/>
        <item m="1" x="83"/>
        <item m="1" x="101"/>
        <item m="1" x="211"/>
        <item m="1" x="188"/>
        <item m="1" x="73"/>
        <item m="1" x="186"/>
        <item m="1" x="117"/>
        <item m="1" x="224"/>
        <item m="1" x="120"/>
        <item m="1" x="78"/>
        <item m="1" x="165"/>
        <item m="1" x="69"/>
        <item m="1" x="94"/>
        <item m="1" x="115"/>
        <item m="1" x="205"/>
        <item m="1" x="85"/>
        <item m="1" x="138"/>
        <item m="1" x="135"/>
        <item m="1" x="169"/>
        <item m="1" x="121"/>
        <item m="1" x="220"/>
        <item m="1" x="193"/>
        <item m="1" x="112"/>
        <item m="1" x="232"/>
        <item m="1" x="157"/>
        <item m="1" x="108"/>
        <item m="1" x="123"/>
        <item m="1" x="60"/>
        <item m="1" x="229"/>
        <item m="1" x="149"/>
        <item m="1" x="185"/>
        <item m="1" x="227"/>
        <item m="1" x="202"/>
        <item m="1" x="65"/>
        <item m="1" x="223"/>
        <item m="1" x="184"/>
        <item m="1" x="176"/>
        <item m="1" x="74"/>
        <item m="1" x="198"/>
        <item m="1" x="103"/>
        <item m="1" x="116"/>
        <item m="1" x="140"/>
        <item m="1" x="76"/>
        <item m="1" x="86"/>
        <item m="1" x="194"/>
        <item m="1" x="160"/>
        <item m="1" x="174"/>
        <item m="1" x="172"/>
        <item m="1" x="104"/>
        <item m="1" x="77"/>
        <item m="1" x="235"/>
        <item m="1" x="208"/>
        <item m="1" x="134"/>
        <item m="1" x="136"/>
        <item m="1" x="200"/>
        <item m="1" x="71"/>
        <item m="1" x="110"/>
        <item m="1" x="239"/>
        <item m="1" x="132"/>
        <item m="1" x="230"/>
        <item m="1" x="178"/>
        <item m="1" x="87"/>
        <item m="1" x="79"/>
        <item m="1" x="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numFmtId="1" showAll="0"/>
  </pivotFields>
  <rowFields count="1">
    <field x="0"/>
  </rowFields>
  <rowItems count="13">
    <i>
      <x/>
    </i>
    <i>
      <x v="1"/>
    </i>
    <i>
      <x v="2"/>
    </i>
    <i>
      <x v="3"/>
    </i>
    <i>
      <x v="4"/>
    </i>
    <i>
      <x v="5"/>
    </i>
    <i>
      <x v="6"/>
    </i>
    <i>
      <x v="7"/>
    </i>
    <i>
      <x v="8"/>
    </i>
    <i>
      <x v="9"/>
    </i>
    <i>
      <x v="10"/>
    </i>
    <i>
      <x v="11"/>
    </i>
    <i t="grand">
      <x/>
    </i>
  </rowItems>
  <colItems count="1">
    <i/>
  </colItems>
  <pageFields count="1">
    <pageField fld="5" hier="-1"/>
  </pageFields>
  <dataFields count="1">
    <dataField name="Promedio de Seasonal Factor St" fld="5" subtotal="average" baseField="0" baseItem="1"/>
  </dataFields>
  <formats count="4">
    <format dxfId="17">
      <pivotArea collapsedLevelsAreSubtotals="1" fieldPosition="0">
        <references count="1">
          <reference field="0" count="0"/>
        </references>
      </pivotArea>
    </format>
    <format dxfId="16">
      <pivotArea field="0" type="button" dataOnly="0" labelOnly="1" outline="0" axis="axisRow" fieldPosition="0"/>
    </format>
    <format dxfId="15">
      <pivotArea dataOnly="0" labelOnly="1" outline="0" axis="axisValues" fieldPosition="0"/>
    </format>
    <format dxfId="14">
      <pivotArea dataOnly="0" labelOnly="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415976C-5FCC-43FC-A446-C09E88E6CED4}" name="TablaDinámica1" cacheId="0"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location ref="S57:T70" firstHeaderRow="1" firstDataRow="1" firstDataCol="1" rowPageCount="1" colPageCount="1"/>
  <pivotFields count="7">
    <pivotField axis="axisRow" showAll="0" nonAutoSortDefault="1">
      <items count="13">
        <item x="0"/>
        <item x="1"/>
        <item x="2"/>
        <item x="3"/>
        <item x="4"/>
        <item x="5"/>
        <item x="6"/>
        <item x="7"/>
        <item x="8"/>
        <item x="9"/>
        <item x="10"/>
        <item x="11"/>
        <item t="default"/>
      </items>
    </pivotField>
    <pivotField showAll="0"/>
    <pivotField showAll="0"/>
    <pivotField showAll="0"/>
    <pivotField numFmtId="1" showAll="0"/>
    <pivotField axis="axisPage" dataField="1" numFmtId="2" showAll="0">
      <items count="241">
        <item m="1" x="146"/>
        <item m="1" x="107"/>
        <item m="1" x="97"/>
        <item m="1" x="195"/>
        <item m="1" x="80"/>
        <item m="1" x="219"/>
        <item m="1" x="173"/>
        <item m="1" x="100"/>
        <item m="1" x="175"/>
        <item m="1" x="144"/>
        <item m="1" x="215"/>
        <item m="1" x="81"/>
        <item m="1" x="168"/>
        <item m="1" x="187"/>
        <item m="1" x="82"/>
        <item m="1" x="233"/>
        <item m="1" x="145"/>
        <item m="1" x="162"/>
        <item m="1" x="226"/>
        <item m="1" x="207"/>
        <item m="1" x="221"/>
        <item m="1" x="98"/>
        <item m="1" x="62"/>
        <item m="1" x="234"/>
        <item m="1" x="147"/>
        <item m="1" x="126"/>
        <item m="1" x="214"/>
        <item m="1" x="222"/>
        <item m="1" x="156"/>
        <item m="1" x="137"/>
        <item m="1" x="111"/>
        <item m="1" x="131"/>
        <item m="1" x="206"/>
        <item m="1" x="182"/>
        <item m="1" x="92"/>
        <item m="1" x="225"/>
        <item m="1" x="68"/>
        <item m="1" x="236"/>
        <item m="1" x="89"/>
        <item m="1" x="218"/>
        <item m="1" x="159"/>
        <item m="1" x="128"/>
        <item m="1" x="158"/>
        <item m="1" x="190"/>
        <item m="1" x="129"/>
        <item m="1" x="238"/>
        <item m="1" x="210"/>
        <item m="1" x="113"/>
        <item m="1" x="95"/>
        <item m="1" x="177"/>
        <item m="1" x="72"/>
        <item m="1" x="124"/>
        <item m="1" x="199"/>
        <item m="1" x="122"/>
        <item m="1" x="88"/>
        <item m="1" x="84"/>
        <item m="1" x="141"/>
        <item m="1" x="143"/>
        <item m="1" x="196"/>
        <item m="1" x="164"/>
        <item m="1" x="114"/>
        <item m="1" x="204"/>
        <item m="1" x="203"/>
        <item m="1" x="70"/>
        <item m="1" x="192"/>
        <item m="1" x="109"/>
        <item m="1" x="154"/>
        <item m="1" x="167"/>
        <item m="1" x="197"/>
        <item m="1" x="133"/>
        <item m="1" x="181"/>
        <item m="1" x="216"/>
        <item m="1" x="183"/>
        <item m="1" x="61"/>
        <item m="1" x="228"/>
        <item m="1" x="96"/>
        <item m="1" x="130"/>
        <item m="1" x="213"/>
        <item m="1" x="93"/>
        <item m="1" x="153"/>
        <item m="1" x="139"/>
        <item m="1" x="209"/>
        <item m="1" x="102"/>
        <item m="1" x="171"/>
        <item m="1" x="148"/>
        <item m="1" x="142"/>
        <item m="1" x="106"/>
        <item m="1" x="67"/>
        <item m="1" x="201"/>
        <item m="1" x="189"/>
        <item m="1" x="179"/>
        <item m="1" x="231"/>
        <item m="1" x="105"/>
        <item m="1" x="163"/>
        <item m="1" x="152"/>
        <item m="1" x="125"/>
        <item m="1" x="99"/>
        <item m="1" x="191"/>
        <item m="1" x="170"/>
        <item m="1" x="90"/>
        <item m="1" x="118"/>
        <item m="1" x="150"/>
        <item m="1" x="217"/>
        <item m="1" x="64"/>
        <item m="1" x="151"/>
        <item m="1" x="91"/>
        <item m="1" x="180"/>
        <item m="1" x="161"/>
        <item m="1" x="212"/>
        <item m="1" x="75"/>
        <item m="1" x="155"/>
        <item m="1" x="63"/>
        <item m="1" x="127"/>
        <item m="1" x="119"/>
        <item m="1" x="237"/>
        <item m="1" x="166"/>
        <item m="1" x="83"/>
        <item m="1" x="101"/>
        <item m="1" x="211"/>
        <item m="1" x="188"/>
        <item m="1" x="73"/>
        <item m="1" x="186"/>
        <item m="1" x="117"/>
        <item m="1" x="224"/>
        <item m="1" x="120"/>
        <item m="1" x="78"/>
        <item m="1" x="165"/>
        <item m="1" x="69"/>
        <item m="1" x="94"/>
        <item m="1" x="115"/>
        <item m="1" x="205"/>
        <item m="1" x="85"/>
        <item m="1" x="138"/>
        <item m="1" x="135"/>
        <item m="1" x="169"/>
        <item m="1" x="121"/>
        <item m="1" x="220"/>
        <item m="1" x="193"/>
        <item m="1" x="112"/>
        <item m="1" x="232"/>
        <item m="1" x="157"/>
        <item m="1" x="108"/>
        <item m="1" x="123"/>
        <item m="1" x="60"/>
        <item m="1" x="229"/>
        <item m="1" x="149"/>
        <item m="1" x="185"/>
        <item m="1" x="227"/>
        <item m="1" x="202"/>
        <item m="1" x="65"/>
        <item m="1" x="223"/>
        <item m="1" x="184"/>
        <item m="1" x="176"/>
        <item m="1" x="74"/>
        <item m="1" x="198"/>
        <item m="1" x="103"/>
        <item m="1" x="116"/>
        <item m="1" x="140"/>
        <item m="1" x="76"/>
        <item m="1" x="86"/>
        <item m="1" x="194"/>
        <item m="1" x="160"/>
        <item m="1" x="174"/>
        <item m="1" x="172"/>
        <item m="1" x="104"/>
        <item m="1" x="77"/>
        <item m="1" x="235"/>
        <item m="1" x="208"/>
        <item m="1" x="134"/>
        <item m="1" x="136"/>
        <item m="1" x="200"/>
        <item m="1" x="71"/>
        <item m="1" x="110"/>
        <item m="1" x="239"/>
        <item m="1" x="132"/>
        <item m="1" x="230"/>
        <item m="1" x="178"/>
        <item m="1" x="87"/>
        <item m="1" x="79"/>
        <item m="1" x="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numFmtId="1" showAll="0"/>
  </pivotFields>
  <rowFields count="1">
    <field x="0"/>
  </rowFields>
  <rowItems count="13">
    <i>
      <x/>
    </i>
    <i>
      <x v="1"/>
    </i>
    <i>
      <x v="2"/>
    </i>
    <i>
      <x v="3"/>
    </i>
    <i>
      <x v="4"/>
    </i>
    <i>
      <x v="5"/>
    </i>
    <i>
      <x v="6"/>
    </i>
    <i>
      <x v="7"/>
    </i>
    <i>
      <x v="8"/>
    </i>
    <i>
      <x v="9"/>
    </i>
    <i>
      <x v="10"/>
    </i>
    <i>
      <x v="11"/>
    </i>
    <i t="grand">
      <x/>
    </i>
  </rowItems>
  <colItems count="1">
    <i/>
  </colItems>
  <pageFields count="1">
    <pageField fld="5" hier="-1"/>
  </pageFields>
  <dataFields count="1">
    <dataField name="Promedio de Seasonal Factor St" fld="5" subtotal="average" baseField="0" baseItem="1"/>
  </dataFields>
  <formats count="4">
    <format dxfId="13">
      <pivotArea collapsedLevelsAreSubtotals="1" fieldPosition="0">
        <references count="1">
          <reference field="0" count="0"/>
        </references>
      </pivotArea>
    </format>
    <format dxfId="12">
      <pivotArea field="0" type="button" dataOnly="0" labelOnly="1" outline="0" axis="axisRow" fieldPosition="0"/>
    </format>
    <format dxfId="11">
      <pivotArea dataOnly="0" labelOnly="1" outline="0" axis="axisValues" fieldPosition="0"/>
    </format>
    <format dxfId="10">
      <pivotArea dataOnly="0" labelOnly="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8AC9FEB-4A6A-4E22-BEA6-6A5B7B6E2E97}" name="TablaDinámica2" cacheId="0"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location ref="S57:T70" firstHeaderRow="1" firstDataRow="1" firstDataCol="1" rowPageCount="1" colPageCount="1"/>
  <pivotFields count="7">
    <pivotField axis="axisRow" showAll="0" nonAutoSortDefault="1">
      <items count="13">
        <item x="0"/>
        <item x="1"/>
        <item x="2"/>
        <item x="3"/>
        <item x="4"/>
        <item x="5"/>
        <item x="6"/>
        <item x="7"/>
        <item x="8"/>
        <item x="9"/>
        <item x="10"/>
        <item x="11"/>
        <item t="default"/>
      </items>
    </pivotField>
    <pivotField showAll="0"/>
    <pivotField showAll="0"/>
    <pivotField showAll="0"/>
    <pivotField numFmtId="1" showAll="0"/>
    <pivotField axis="axisPage" dataField="1" numFmtId="2" showAll="0">
      <items count="241">
        <item m="1" x="146"/>
        <item m="1" x="107"/>
        <item m="1" x="97"/>
        <item m="1" x="195"/>
        <item m="1" x="80"/>
        <item m="1" x="219"/>
        <item m="1" x="173"/>
        <item m="1" x="100"/>
        <item m="1" x="175"/>
        <item m="1" x="144"/>
        <item m="1" x="215"/>
        <item m="1" x="81"/>
        <item m="1" x="168"/>
        <item m="1" x="187"/>
        <item m="1" x="82"/>
        <item m="1" x="233"/>
        <item m="1" x="145"/>
        <item m="1" x="162"/>
        <item m="1" x="226"/>
        <item m="1" x="207"/>
        <item m="1" x="221"/>
        <item m="1" x="98"/>
        <item m="1" x="62"/>
        <item m="1" x="234"/>
        <item m="1" x="147"/>
        <item m="1" x="126"/>
        <item m="1" x="214"/>
        <item m="1" x="222"/>
        <item m="1" x="156"/>
        <item m="1" x="137"/>
        <item m="1" x="111"/>
        <item m="1" x="131"/>
        <item m="1" x="206"/>
        <item m="1" x="182"/>
        <item m="1" x="92"/>
        <item m="1" x="225"/>
        <item m="1" x="68"/>
        <item m="1" x="236"/>
        <item m="1" x="89"/>
        <item m="1" x="218"/>
        <item m="1" x="159"/>
        <item m="1" x="128"/>
        <item m="1" x="158"/>
        <item m="1" x="190"/>
        <item m="1" x="129"/>
        <item m="1" x="238"/>
        <item m="1" x="210"/>
        <item m="1" x="113"/>
        <item m="1" x="95"/>
        <item m="1" x="177"/>
        <item m="1" x="72"/>
        <item m="1" x="124"/>
        <item m="1" x="199"/>
        <item m="1" x="122"/>
        <item m="1" x="88"/>
        <item m="1" x="84"/>
        <item m="1" x="141"/>
        <item m="1" x="143"/>
        <item m="1" x="196"/>
        <item m="1" x="164"/>
        <item m="1" x="114"/>
        <item m="1" x="204"/>
        <item m="1" x="203"/>
        <item m="1" x="70"/>
        <item m="1" x="192"/>
        <item m="1" x="109"/>
        <item m="1" x="154"/>
        <item m="1" x="167"/>
        <item m="1" x="197"/>
        <item m="1" x="133"/>
        <item m="1" x="181"/>
        <item m="1" x="216"/>
        <item m="1" x="183"/>
        <item m="1" x="61"/>
        <item m="1" x="228"/>
        <item m="1" x="96"/>
        <item m="1" x="130"/>
        <item m="1" x="213"/>
        <item m="1" x="93"/>
        <item m="1" x="153"/>
        <item m="1" x="139"/>
        <item m="1" x="209"/>
        <item m="1" x="102"/>
        <item m="1" x="171"/>
        <item m="1" x="148"/>
        <item m="1" x="142"/>
        <item m="1" x="106"/>
        <item m="1" x="67"/>
        <item m="1" x="201"/>
        <item m="1" x="189"/>
        <item m="1" x="179"/>
        <item m="1" x="231"/>
        <item m="1" x="105"/>
        <item m="1" x="163"/>
        <item m="1" x="152"/>
        <item m="1" x="125"/>
        <item m="1" x="99"/>
        <item m="1" x="191"/>
        <item m="1" x="170"/>
        <item m="1" x="90"/>
        <item m="1" x="118"/>
        <item m="1" x="150"/>
        <item m="1" x="217"/>
        <item m="1" x="64"/>
        <item m="1" x="151"/>
        <item m="1" x="91"/>
        <item m="1" x="180"/>
        <item m="1" x="161"/>
        <item m="1" x="212"/>
        <item m="1" x="75"/>
        <item m="1" x="155"/>
        <item m="1" x="63"/>
        <item m="1" x="127"/>
        <item m="1" x="119"/>
        <item m="1" x="237"/>
        <item m="1" x="166"/>
        <item m="1" x="83"/>
        <item m="1" x="101"/>
        <item m="1" x="211"/>
        <item m="1" x="188"/>
        <item m="1" x="73"/>
        <item m="1" x="186"/>
        <item m="1" x="117"/>
        <item m="1" x="224"/>
        <item m="1" x="120"/>
        <item m="1" x="78"/>
        <item m="1" x="165"/>
        <item m="1" x="69"/>
        <item m="1" x="94"/>
        <item m="1" x="115"/>
        <item m="1" x="205"/>
        <item m="1" x="85"/>
        <item m="1" x="138"/>
        <item m="1" x="135"/>
        <item m="1" x="169"/>
        <item m="1" x="121"/>
        <item m="1" x="220"/>
        <item m="1" x="193"/>
        <item m="1" x="112"/>
        <item m="1" x="232"/>
        <item m="1" x="157"/>
        <item m="1" x="108"/>
        <item m="1" x="123"/>
        <item m="1" x="60"/>
        <item m="1" x="229"/>
        <item m="1" x="149"/>
        <item m="1" x="185"/>
        <item m="1" x="227"/>
        <item m="1" x="202"/>
        <item m="1" x="65"/>
        <item m="1" x="223"/>
        <item m="1" x="184"/>
        <item m="1" x="176"/>
        <item m="1" x="74"/>
        <item m="1" x="198"/>
        <item m="1" x="103"/>
        <item m="1" x="116"/>
        <item m="1" x="140"/>
        <item m="1" x="76"/>
        <item m="1" x="86"/>
        <item m="1" x="194"/>
        <item m="1" x="160"/>
        <item m="1" x="174"/>
        <item m="1" x="172"/>
        <item m="1" x="104"/>
        <item m="1" x="77"/>
        <item m="1" x="235"/>
        <item m="1" x="208"/>
        <item m="1" x="134"/>
        <item m="1" x="136"/>
        <item m="1" x="200"/>
        <item m="1" x="71"/>
        <item m="1" x="110"/>
        <item m="1" x="239"/>
        <item m="1" x="132"/>
        <item m="1" x="230"/>
        <item m="1" x="178"/>
        <item m="1" x="87"/>
        <item m="1" x="79"/>
        <item m="1" x="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numFmtId="1" showAll="0"/>
  </pivotFields>
  <rowFields count="1">
    <field x="0"/>
  </rowFields>
  <rowItems count="13">
    <i>
      <x/>
    </i>
    <i>
      <x v="1"/>
    </i>
    <i>
      <x v="2"/>
    </i>
    <i>
      <x v="3"/>
    </i>
    <i>
      <x v="4"/>
    </i>
    <i>
      <x v="5"/>
    </i>
    <i>
      <x v="6"/>
    </i>
    <i>
      <x v="7"/>
    </i>
    <i>
      <x v="8"/>
    </i>
    <i>
      <x v="9"/>
    </i>
    <i>
      <x v="10"/>
    </i>
    <i>
      <x v="11"/>
    </i>
    <i t="grand">
      <x/>
    </i>
  </rowItems>
  <colItems count="1">
    <i/>
  </colItems>
  <pageFields count="1">
    <pageField fld="5" hier="-1"/>
  </pageFields>
  <dataFields count="1">
    <dataField name="Promedio de Seasonal Factor St" fld="5" subtotal="average" baseField="0" baseItem="1"/>
  </dataFields>
  <formats count="4">
    <format dxfId="9">
      <pivotArea collapsedLevelsAreSubtotals="1" fieldPosition="0">
        <references count="1">
          <reference field="0" count="0"/>
        </references>
      </pivotArea>
    </format>
    <format dxfId="8">
      <pivotArea field="0" type="button" dataOnly="0" labelOnly="1" outline="0" axis="axisRow" fieldPosition="0"/>
    </format>
    <format dxfId="7">
      <pivotArea dataOnly="0" labelOnly="1" outline="0" axis="axisValues" fieldPosition="0"/>
    </format>
    <format dxfId="6">
      <pivotArea dataOnly="0" labelOnly="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exteriores.gob.es/Portal/es/ServiciosAlCiudadano/SiViajasAlExtranjero/Paginas/DetalleRecomendacion.aspx?IdP=178" TargetMode="External"/><Relationship Id="rId1" Type="http://schemas.openxmlformats.org/officeDocument/2006/relationships/hyperlink" Target="https://datosmacro.expansion.com/paises/tanzania"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knoema.es/atlas/Rep%c3%bablica-Unida-de-Tanzania/topics/Econom%c3%ada/Inflaci%c3%b3n-y-Precios/Precio-de-la-gasolina"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0.bin"/><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1.bin"/><Relationship Id="rId1" Type="http://schemas.openxmlformats.org/officeDocument/2006/relationships/pivotTable" Target="../pivotTables/pivotTable2.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3.bin"/><Relationship Id="rId1" Type="http://schemas.openxmlformats.org/officeDocument/2006/relationships/pivotTable" Target="../pivotTables/pivotTable3.x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4.bin"/><Relationship Id="rId1" Type="http://schemas.openxmlformats.org/officeDocument/2006/relationships/pivotTable" Target="../pivotTables/pivotTable4.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pivotTable" Target="../pivotTables/pivotTable5.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54C8E-667B-41B6-93A9-3268B496F054}">
  <sheetPr>
    <tabColor rgb="FF002060"/>
  </sheetPr>
  <dimension ref="B2:O50"/>
  <sheetViews>
    <sheetView workbookViewId="0">
      <selection activeCell="M29" sqref="M29"/>
    </sheetView>
  </sheetViews>
  <sheetFormatPr baseColWidth="10" defaultRowHeight="12.75" x14ac:dyDescent="0.2"/>
  <cols>
    <col min="1" max="2" width="11.42578125" style="142"/>
    <col min="3" max="3" width="14.42578125" style="142" customWidth="1"/>
    <col min="4" max="6" width="14" style="143" customWidth="1"/>
    <col min="7" max="9" width="11.42578125" style="142"/>
    <col min="10" max="10" width="11.42578125" style="143"/>
    <col min="11" max="16384" width="11.42578125" style="142"/>
  </cols>
  <sheetData>
    <row r="2" spans="2:15" ht="13.5" thickBot="1" x14ac:dyDescent="0.25"/>
    <row r="3" spans="2:15" ht="39" thickBot="1" x14ac:dyDescent="0.25">
      <c r="B3" s="144" t="s">
        <v>378</v>
      </c>
      <c r="C3" s="145" t="s">
        <v>379</v>
      </c>
      <c r="D3" s="146" t="s">
        <v>380</v>
      </c>
      <c r="E3" s="146" t="s">
        <v>381</v>
      </c>
      <c r="F3" s="146" t="s">
        <v>382</v>
      </c>
      <c r="G3" s="145" t="s">
        <v>383</v>
      </c>
      <c r="H3" s="147" t="s">
        <v>384</v>
      </c>
      <c r="I3" s="145" t="s">
        <v>385</v>
      </c>
      <c r="J3" s="146" t="s">
        <v>386</v>
      </c>
      <c r="M3" s="323" t="s">
        <v>530</v>
      </c>
      <c r="N3" s="324"/>
      <c r="O3" s="324"/>
    </row>
    <row r="4" spans="2:15" ht="32.25" thickBot="1" x14ac:dyDescent="0.25">
      <c r="B4" s="148">
        <v>2020</v>
      </c>
      <c r="C4" s="149">
        <v>7371</v>
      </c>
      <c r="D4" s="150"/>
      <c r="E4" s="151">
        <v>4345.8999999999996</v>
      </c>
      <c r="F4" s="152"/>
      <c r="G4" s="149"/>
      <c r="H4" s="153"/>
      <c r="I4" s="149"/>
      <c r="J4" s="150"/>
      <c r="M4" s="208" t="s">
        <v>527</v>
      </c>
      <c r="N4" s="208" t="s">
        <v>528</v>
      </c>
      <c r="O4" s="208" t="s">
        <v>529</v>
      </c>
    </row>
    <row r="5" spans="2:15" ht="15.75" thickBot="1" x14ac:dyDescent="0.25">
      <c r="B5" s="154">
        <v>2019</v>
      </c>
      <c r="C5" s="155">
        <v>8442.7999999999993</v>
      </c>
      <c r="D5" s="156">
        <v>0.15540000000000001</v>
      </c>
      <c r="E5" s="157">
        <v>4470.3999999999996</v>
      </c>
      <c r="F5" s="158">
        <v>8.2299999999999998E-2</v>
      </c>
      <c r="G5" s="155">
        <v>54319</v>
      </c>
      <c r="H5" s="159">
        <v>7.0000000000000007E-2</v>
      </c>
      <c r="I5" s="155">
        <v>936</v>
      </c>
      <c r="J5" s="156">
        <v>9.9000000000000005E-2</v>
      </c>
      <c r="M5" s="209">
        <v>2020</v>
      </c>
      <c r="N5" s="209">
        <v>193.6</v>
      </c>
      <c r="O5" s="210">
        <v>3.2899999999999999E-2</v>
      </c>
    </row>
    <row r="6" spans="2:15" ht="15.75" thickBot="1" x14ac:dyDescent="0.25">
      <c r="B6" s="148">
        <v>2018</v>
      </c>
      <c r="C6" s="149">
        <v>7722.6</v>
      </c>
      <c r="D6" s="150">
        <v>0.16089999999999999</v>
      </c>
      <c r="E6" s="160">
        <v>3422</v>
      </c>
      <c r="F6" s="161">
        <v>7.1300000000000002E-2</v>
      </c>
      <c r="G6" s="149">
        <v>48009</v>
      </c>
      <c r="H6" s="162">
        <v>7.0000000000000007E-2</v>
      </c>
      <c r="I6" s="149">
        <v>852</v>
      </c>
      <c r="J6" s="150">
        <v>-1.0999999999999999E-2</v>
      </c>
      <c r="M6" s="211">
        <v>2019</v>
      </c>
      <c r="N6" s="211">
        <v>187.4</v>
      </c>
      <c r="O6" s="212">
        <v>3.4599999999999999E-2</v>
      </c>
    </row>
    <row r="7" spans="2:15" ht="15.75" thickBot="1" x14ac:dyDescent="0.25">
      <c r="B7" s="154">
        <v>2017</v>
      </c>
      <c r="C7" s="155">
        <v>7345.9</v>
      </c>
      <c r="D7" s="156">
        <v>0.15590000000000001</v>
      </c>
      <c r="E7" s="157">
        <v>3640.5</v>
      </c>
      <c r="F7" s="158">
        <v>7.7299999999999994E-2</v>
      </c>
      <c r="G7" s="155">
        <v>47116</v>
      </c>
      <c r="H7" s="159">
        <v>6.8000000000000005E-2</v>
      </c>
      <c r="I7" s="155">
        <v>862</v>
      </c>
      <c r="J7" s="156">
        <v>1.7000000000000001E-2</v>
      </c>
      <c r="M7" s="209">
        <v>2018</v>
      </c>
      <c r="N7" s="209">
        <v>181.2</v>
      </c>
      <c r="O7" s="210">
        <v>3.49E-2</v>
      </c>
    </row>
    <row r="8" spans="2:15" ht="15.75" thickBot="1" x14ac:dyDescent="0.25">
      <c r="B8" s="148">
        <v>2016</v>
      </c>
      <c r="C8" s="149">
        <v>8402.2999999999993</v>
      </c>
      <c r="D8" s="150">
        <v>0.18690000000000001</v>
      </c>
      <c r="E8" s="160">
        <v>4065.1</v>
      </c>
      <c r="F8" s="161">
        <v>9.0399999999999994E-2</v>
      </c>
      <c r="G8" s="149">
        <v>44967</v>
      </c>
      <c r="H8" s="162">
        <v>6.9000000000000006E-2</v>
      </c>
      <c r="I8" s="149">
        <v>848</v>
      </c>
      <c r="J8" s="150">
        <v>2.1999999999999999E-2</v>
      </c>
      <c r="M8" s="211">
        <v>2017</v>
      </c>
      <c r="N8" s="211">
        <v>175</v>
      </c>
      <c r="O8" s="212">
        <v>5.3199999999999997E-2</v>
      </c>
    </row>
    <row r="9" spans="2:15" ht="15.75" thickBot="1" x14ac:dyDescent="0.25">
      <c r="B9" s="154">
        <v>2015</v>
      </c>
      <c r="C9" s="155">
        <v>9724.1</v>
      </c>
      <c r="D9" s="156">
        <v>0.22770000000000001</v>
      </c>
      <c r="E9" s="157">
        <v>4356.5</v>
      </c>
      <c r="F9" s="158">
        <v>0.10199999999999999</v>
      </c>
      <c r="G9" s="155">
        <v>42708</v>
      </c>
      <c r="H9" s="159">
        <v>6.2E-2</v>
      </c>
      <c r="I9" s="155">
        <v>830</v>
      </c>
      <c r="J9" s="156">
        <v>0.10100000000000001</v>
      </c>
      <c r="M9" s="209">
        <v>2016</v>
      </c>
      <c r="N9" s="209">
        <v>166.2</v>
      </c>
      <c r="O9" s="210">
        <v>5.1700000000000003E-2</v>
      </c>
    </row>
    <row r="10" spans="2:15" ht="15.75" thickBot="1" x14ac:dyDescent="0.25">
      <c r="B10" s="148">
        <v>2014</v>
      </c>
      <c r="C10" s="149">
        <v>9027.7999999999993</v>
      </c>
      <c r="D10" s="150">
        <v>0.2399</v>
      </c>
      <c r="E10" s="160">
        <v>3483.3</v>
      </c>
      <c r="F10" s="161">
        <v>9.2499999999999999E-2</v>
      </c>
      <c r="G10" s="149">
        <v>37638</v>
      </c>
      <c r="H10" s="162">
        <v>6.7000000000000004E-2</v>
      </c>
      <c r="I10" s="149">
        <v>753</v>
      </c>
      <c r="J10" s="150">
        <v>6.2E-2</v>
      </c>
      <c r="M10" s="211">
        <v>2015</v>
      </c>
      <c r="N10" s="211">
        <v>158</v>
      </c>
      <c r="O10" s="212">
        <v>5.5899999999999998E-2</v>
      </c>
    </row>
    <row r="11" spans="2:15" ht="15.75" thickBot="1" x14ac:dyDescent="0.25">
      <c r="B11" s="154">
        <v>2013</v>
      </c>
      <c r="C11" s="155">
        <v>9104.2999999999993</v>
      </c>
      <c r="D11" s="156">
        <v>0.26469999999999999</v>
      </c>
      <c r="E11" s="157">
        <v>3432.4</v>
      </c>
      <c r="F11" s="158">
        <v>9.98E-2</v>
      </c>
      <c r="G11" s="155">
        <v>34396</v>
      </c>
      <c r="H11" s="159">
        <v>6.8000000000000005E-2</v>
      </c>
      <c r="I11" s="155">
        <v>709</v>
      </c>
      <c r="J11" s="156">
        <v>0.05</v>
      </c>
      <c r="M11" s="209">
        <v>2014</v>
      </c>
      <c r="N11" s="209">
        <v>149.69999999999999</v>
      </c>
      <c r="O11" s="210">
        <v>6.13E-2</v>
      </c>
    </row>
    <row r="12" spans="2:15" ht="15.75" thickBot="1" x14ac:dyDescent="0.25">
      <c r="B12" s="148">
        <v>2012</v>
      </c>
      <c r="C12" s="149">
        <v>8831</v>
      </c>
      <c r="D12" s="150">
        <v>0.28610000000000002</v>
      </c>
      <c r="E12" s="160">
        <v>3950.1</v>
      </c>
      <c r="F12" s="161">
        <v>0.128</v>
      </c>
      <c r="G12" s="149">
        <v>30862</v>
      </c>
      <c r="H12" s="162">
        <v>5.0999999999999997E-2</v>
      </c>
      <c r="I12" s="149">
        <v>675</v>
      </c>
      <c r="J12" s="150">
        <v>0.224</v>
      </c>
      <c r="M12" s="211">
        <v>2013</v>
      </c>
      <c r="N12" s="211">
        <v>141</v>
      </c>
      <c r="O12" s="212">
        <v>7.8700000000000006E-2</v>
      </c>
    </row>
    <row r="13" spans="2:15" ht="15.75" thickBot="1" x14ac:dyDescent="0.25">
      <c r="B13" s="154">
        <v>2011</v>
      </c>
      <c r="C13" s="155">
        <v>7758.2</v>
      </c>
      <c r="D13" s="156">
        <v>0.317</v>
      </c>
      <c r="E13" s="157">
        <v>3401.6</v>
      </c>
      <c r="F13" s="158">
        <v>0.13900000000000001</v>
      </c>
      <c r="G13" s="155">
        <v>24473</v>
      </c>
      <c r="H13" s="159">
        <v>7.9000000000000001E-2</v>
      </c>
      <c r="I13" s="155">
        <v>552</v>
      </c>
      <c r="J13" s="156">
        <v>-1E-3</v>
      </c>
      <c r="M13" s="209">
        <v>2012</v>
      </c>
      <c r="N13" s="209">
        <v>130.69999999999999</v>
      </c>
      <c r="O13" s="210">
        <v>0.16</v>
      </c>
    </row>
    <row r="14" spans="2:15" ht="15.75" thickBot="1" x14ac:dyDescent="0.25">
      <c r="B14" s="148">
        <v>2010</v>
      </c>
      <c r="C14" s="149">
        <v>5939.7</v>
      </c>
      <c r="D14" s="150">
        <v>0.24970000000000001</v>
      </c>
      <c r="E14" s="160">
        <v>3055.4</v>
      </c>
      <c r="F14" s="161">
        <v>0.1285</v>
      </c>
      <c r="G14" s="149">
        <v>23786</v>
      </c>
      <c r="H14" s="162">
        <v>6.4000000000000001E-2</v>
      </c>
      <c r="I14" s="149">
        <v>552</v>
      </c>
      <c r="J14" s="150">
        <v>0.112</v>
      </c>
      <c r="M14" s="211">
        <v>2011</v>
      </c>
      <c r="N14" s="211">
        <v>112.7</v>
      </c>
      <c r="O14" s="212">
        <v>0.12690000000000001</v>
      </c>
    </row>
    <row r="15" spans="2:15" ht="15.75" thickBot="1" x14ac:dyDescent="0.25">
      <c r="B15" s="154">
        <v>2009</v>
      </c>
      <c r="C15" s="155">
        <v>4596.3</v>
      </c>
      <c r="D15" s="156">
        <v>0.22120000000000001</v>
      </c>
      <c r="E15" s="157">
        <v>2138.1999999999998</v>
      </c>
      <c r="F15" s="158">
        <v>0.10290000000000001</v>
      </c>
      <c r="G15" s="155">
        <v>20781</v>
      </c>
      <c r="H15" s="159">
        <v>5.3999999999999999E-2</v>
      </c>
      <c r="I15" s="155">
        <v>497</v>
      </c>
      <c r="J15" s="156">
        <v>7.0000000000000007E-2</v>
      </c>
      <c r="M15" s="209">
        <v>2010</v>
      </c>
      <c r="N15" s="209">
        <v>100</v>
      </c>
      <c r="O15" s="210">
        <v>6.2E-2</v>
      </c>
    </row>
    <row r="16" spans="2:15" ht="15.75" thickBot="1" x14ac:dyDescent="0.25">
      <c r="B16" s="148">
        <v>2008</v>
      </c>
      <c r="C16" s="149">
        <v>5237.1000000000004</v>
      </c>
      <c r="D16" s="150">
        <v>0.27750000000000002</v>
      </c>
      <c r="E16" s="160">
        <v>2122</v>
      </c>
      <c r="F16" s="161">
        <v>0.1124</v>
      </c>
      <c r="G16" s="149">
        <v>18875</v>
      </c>
      <c r="H16" s="162">
        <v>5.6000000000000001E-2</v>
      </c>
      <c r="I16" s="149">
        <v>464</v>
      </c>
      <c r="J16" s="150">
        <v>0.154</v>
      </c>
      <c r="M16" s="211">
        <v>2009</v>
      </c>
      <c r="N16" s="211">
        <v>94.2</v>
      </c>
      <c r="O16" s="182"/>
    </row>
    <row r="17" spans="2:10" ht="13.5" thickBot="1" x14ac:dyDescent="0.25">
      <c r="B17" s="154">
        <v>2007</v>
      </c>
      <c r="C17" s="155">
        <v>3894.2</v>
      </c>
      <c r="D17" s="156">
        <v>0.2447</v>
      </c>
      <c r="E17" s="157">
        <v>1561</v>
      </c>
      <c r="F17" s="158">
        <v>9.8100000000000007E-2</v>
      </c>
      <c r="G17" s="155">
        <v>15912</v>
      </c>
      <c r="H17" s="159">
        <v>8.5000000000000006E-2</v>
      </c>
      <c r="I17" s="155">
        <v>403</v>
      </c>
      <c r="J17" s="156">
        <v>2.9000000000000001E-2</v>
      </c>
    </row>
    <row r="18" spans="2:10" ht="13.5" thickBot="1" x14ac:dyDescent="0.25">
      <c r="B18" s="148">
        <v>2006</v>
      </c>
      <c r="C18" s="149">
        <v>3381.8</v>
      </c>
      <c r="D18" s="150">
        <v>0.22509999999999999</v>
      </c>
      <c r="E18" s="160">
        <v>1485.1</v>
      </c>
      <c r="F18" s="161">
        <v>9.8799999999999999E-2</v>
      </c>
      <c r="G18" s="149">
        <v>15026</v>
      </c>
      <c r="H18" s="162">
        <v>4.7E-2</v>
      </c>
      <c r="I18" s="149">
        <v>391</v>
      </c>
      <c r="J18" s="150">
        <v>5.8000000000000003E-2</v>
      </c>
    </row>
    <row r="19" spans="2:10" ht="13.5" thickBot="1" x14ac:dyDescent="0.25">
      <c r="B19" s="154">
        <v>2005</v>
      </c>
      <c r="C19" s="155">
        <v>2642.1</v>
      </c>
      <c r="D19" s="156">
        <v>0.19139999999999999</v>
      </c>
      <c r="E19" s="157">
        <v>1349.7</v>
      </c>
      <c r="F19" s="158">
        <v>9.7799999999999998E-2</v>
      </c>
      <c r="G19" s="155">
        <v>13804</v>
      </c>
      <c r="H19" s="159">
        <v>7.3999999999999996E-2</v>
      </c>
      <c r="I19" s="155">
        <v>370</v>
      </c>
      <c r="J19" s="156">
        <v>7.1999999999999995E-2</v>
      </c>
    </row>
    <row r="20" spans="2:10" ht="13.5" thickBot="1" x14ac:dyDescent="0.25">
      <c r="B20" s="148">
        <v>2004</v>
      </c>
      <c r="C20" s="149">
        <v>2191.6999999999998</v>
      </c>
      <c r="D20" s="150">
        <v>0.17499999999999999</v>
      </c>
      <c r="E20" s="160">
        <v>1189.0999999999999</v>
      </c>
      <c r="F20" s="161">
        <v>9.5000000000000001E-2</v>
      </c>
      <c r="G20" s="149">
        <v>12522</v>
      </c>
      <c r="H20" s="162">
        <v>7.8E-2</v>
      </c>
      <c r="I20" s="149">
        <v>345</v>
      </c>
      <c r="J20" s="150">
        <v>-2.8000000000000001E-2</v>
      </c>
    </row>
    <row r="21" spans="2:10" ht="13.5" thickBot="1" x14ac:dyDescent="0.25">
      <c r="B21" s="154">
        <v>2003</v>
      </c>
      <c r="C21" s="155">
        <v>1878.7</v>
      </c>
      <c r="D21" s="156">
        <v>0.15010000000000001</v>
      </c>
      <c r="E21" s="157">
        <v>1075.0999999999999</v>
      </c>
      <c r="F21" s="158">
        <v>8.5900000000000004E-2</v>
      </c>
      <c r="G21" s="155">
        <v>12517</v>
      </c>
      <c r="H21" s="159">
        <v>6.9000000000000006E-2</v>
      </c>
      <c r="I21" s="155">
        <v>355</v>
      </c>
      <c r="J21" s="156">
        <v>-0.123</v>
      </c>
    </row>
    <row r="22" spans="2:10" ht="13.5" thickBot="1" x14ac:dyDescent="0.25">
      <c r="B22" s="148">
        <v>2002</v>
      </c>
      <c r="C22" s="149">
        <v>1755.8</v>
      </c>
      <c r="D22" s="150">
        <v>0.1265</v>
      </c>
      <c r="E22" s="160">
        <v>1036</v>
      </c>
      <c r="F22" s="161">
        <v>7.46E-2</v>
      </c>
      <c r="G22" s="149">
        <v>13880</v>
      </c>
      <c r="H22" s="162">
        <v>7.1999999999999995E-2</v>
      </c>
      <c r="I22" s="149">
        <v>404</v>
      </c>
      <c r="J22" s="150">
        <v>-4.1000000000000002E-2</v>
      </c>
    </row>
    <row r="23" spans="2:10" ht="13.5" thickBot="1" x14ac:dyDescent="0.25">
      <c r="B23" s="154">
        <v>2001</v>
      </c>
      <c r="C23" s="155">
        <v>1911.6</v>
      </c>
      <c r="D23" s="156">
        <v>0.1358</v>
      </c>
      <c r="E23" s="163">
        <v>950.5</v>
      </c>
      <c r="F23" s="158">
        <v>6.7500000000000004E-2</v>
      </c>
      <c r="G23" s="155">
        <v>14080</v>
      </c>
      <c r="H23" s="159">
        <v>0.06</v>
      </c>
      <c r="I23" s="155">
        <v>421</v>
      </c>
      <c r="J23" s="156">
        <v>2.4E-2</v>
      </c>
    </row>
    <row r="24" spans="2:10" ht="13.5" thickBot="1" x14ac:dyDescent="0.25">
      <c r="B24" s="148">
        <v>2000</v>
      </c>
      <c r="C24" s="149">
        <v>1650.1</v>
      </c>
      <c r="D24" s="150">
        <v>0.1232</v>
      </c>
      <c r="E24" s="164">
        <v>794.4</v>
      </c>
      <c r="F24" s="161">
        <v>5.9299999999999999E-2</v>
      </c>
      <c r="G24" s="149">
        <v>13392</v>
      </c>
      <c r="H24" s="162">
        <v>4.9000000000000002E-2</v>
      </c>
      <c r="I24" s="149">
        <v>412</v>
      </c>
      <c r="J24" s="150">
        <v>0.182</v>
      </c>
    </row>
    <row r="25" spans="2:10" ht="13.5" thickBot="1" x14ac:dyDescent="0.25">
      <c r="B25" s="165">
        <v>1999</v>
      </c>
      <c r="C25" s="166">
        <v>1459.9</v>
      </c>
      <c r="D25" s="167">
        <v>0.1321</v>
      </c>
      <c r="E25" s="168">
        <v>509.5</v>
      </c>
      <c r="F25" s="169">
        <v>4.6100000000000002E-2</v>
      </c>
      <c r="G25" s="166">
        <v>11050</v>
      </c>
      <c r="H25" s="159">
        <v>4.8000000000000001E-2</v>
      </c>
      <c r="I25" s="166">
        <v>348</v>
      </c>
      <c r="J25" s="167"/>
    </row>
    <row r="30" spans="2:10" x14ac:dyDescent="0.2">
      <c r="B30" s="170"/>
    </row>
    <row r="31" spans="2:10" x14ac:dyDescent="0.2">
      <c r="B31" s="170"/>
    </row>
    <row r="32" spans="2:10" x14ac:dyDescent="0.2">
      <c r="B32" s="170"/>
    </row>
    <row r="33" spans="2:2" x14ac:dyDescent="0.2">
      <c r="B33" s="170"/>
    </row>
    <row r="34" spans="2:2" x14ac:dyDescent="0.2">
      <c r="B34" s="170"/>
    </row>
    <row r="35" spans="2:2" x14ac:dyDescent="0.2">
      <c r="B35" s="170"/>
    </row>
    <row r="36" spans="2:2" x14ac:dyDescent="0.2">
      <c r="B36" s="170"/>
    </row>
    <row r="37" spans="2:2" x14ac:dyDescent="0.2">
      <c r="B37" s="170"/>
    </row>
    <row r="38" spans="2:2" x14ac:dyDescent="0.2">
      <c r="B38" s="170"/>
    </row>
    <row r="39" spans="2:2" x14ac:dyDescent="0.2">
      <c r="B39" s="170"/>
    </row>
    <row r="40" spans="2:2" x14ac:dyDescent="0.2">
      <c r="B40" s="170"/>
    </row>
    <row r="41" spans="2:2" x14ac:dyDescent="0.2">
      <c r="B41" s="170"/>
    </row>
    <row r="42" spans="2:2" x14ac:dyDescent="0.2">
      <c r="B42" s="170"/>
    </row>
    <row r="43" spans="2:2" x14ac:dyDescent="0.2">
      <c r="B43" s="170"/>
    </row>
    <row r="44" spans="2:2" x14ac:dyDescent="0.2">
      <c r="B44" s="170"/>
    </row>
    <row r="45" spans="2:2" x14ac:dyDescent="0.2">
      <c r="B45" s="170"/>
    </row>
    <row r="46" spans="2:2" x14ac:dyDescent="0.2">
      <c r="B46" s="170"/>
    </row>
    <row r="47" spans="2:2" x14ac:dyDescent="0.2">
      <c r="B47" s="170"/>
    </row>
    <row r="48" spans="2:2" x14ac:dyDescent="0.2">
      <c r="B48" s="170"/>
    </row>
    <row r="49" spans="2:2" x14ac:dyDescent="0.2">
      <c r="B49" s="170"/>
    </row>
    <row r="50" spans="2:2" x14ac:dyDescent="0.2">
      <c r="B50" s="170"/>
    </row>
  </sheetData>
  <mergeCells count="1">
    <mergeCell ref="M3:O3"/>
  </mergeCells>
  <pageMargins left="0.7" right="0.7" top="0.75" bottom="0.75" header="0.3" footer="0.3"/>
  <pageSetup paperSize="9" orientation="portrait" horizontalDpi="200" verticalDpi="200" copies="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69258-C156-4788-BBEA-9A4872F1C77A}">
  <dimension ref="A1:AC76"/>
  <sheetViews>
    <sheetView showGridLines="0" topLeftCell="A4" zoomScale="60" zoomScaleNormal="60" workbookViewId="0">
      <selection activeCell="X12" sqref="X12:Z15"/>
    </sheetView>
  </sheetViews>
  <sheetFormatPr baseColWidth="10" defaultRowHeight="12.75" x14ac:dyDescent="0.2"/>
  <cols>
    <col min="1" max="1" width="10.28515625" style="129" customWidth="1"/>
    <col min="2" max="2" width="11.42578125" style="129"/>
    <col min="3" max="3" width="16.28515625" style="129" bestFit="1" customWidth="1"/>
    <col min="4" max="4" width="16.28515625" style="129" customWidth="1"/>
    <col min="5" max="5" width="11.5703125" style="129" bestFit="1" customWidth="1"/>
    <col min="6" max="9" width="11.42578125" style="129"/>
    <col min="10" max="10" width="3.28515625" style="129" customWidth="1"/>
    <col min="11" max="11" width="13.28515625" style="129" customWidth="1"/>
    <col min="12" max="12" width="14.28515625" style="129" customWidth="1"/>
    <col min="13" max="13" width="11.42578125" style="129"/>
    <col min="14" max="14" width="12.85546875" style="129" customWidth="1"/>
    <col min="15" max="15" width="29.28515625" style="129" customWidth="1"/>
    <col min="16" max="23" width="11.42578125" style="129"/>
    <col min="24" max="24" width="14.42578125" style="129" customWidth="1"/>
    <col min="25" max="25" width="15.5703125" style="129" customWidth="1"/>
    <col min="26" max="16384" width="11.42578125" style="129"/>
  </cols>
  <sheetData>
    <row r="1" spans="1:29" ht="108.75" customHeight="1" x14ac:dyDescent="0.2">
      <c r="B1" s="128" t="s">
        <v>248</v>
      </c>
      <c r="E1" s="133" t="s">
        <v>281</v>
      </c>
      <c r="N1" s="325"/>
      <c r="O1" s="325"/>
      <c r="P1" s="325"/>
      <c r="Q1" s="325"/>
    </row>
    <row r="2" spans="1:29" ht="15.75" customHeight="1" x14ac:dyDescent="0.2"/>
    <row r="3" spans="1:29" ht="12.75" customHeight="1" x14ac:dyDescent="0.2">
      <c r="B3" s="326" t="s">
        <v>268</v>
      </c>
      <c r="C3" s="326"/>
      <c r="D3" s="326"/>
      <c r="E3" s="326"/>
      <c r="F3" s="326"/>
      <c r="G3" s="326"/>
      <c r="H3" s="326"/>
      <c r="I3" s="326"/>
      <c r="K3" s="327" t="s">
        <v>267</v>
      </c>
      <c r="L3" s="327"/>
      <c r="M3" s="327"/>
      <c r="N3" s="327"/>
      <c r="O3" s="327"/>
      <c r="P3" s="327"/>
      <c r="Q3" s="327"/>
      <c r="R3" s="327"/>
      <c r="S3" s="327"/>
      <c r="T3" s="327"/>
      <c r="U3" s="327"/>
      <c r="V3" s="327"/>
    </row>
    <row r="4" spans="1:29" ht="38.25" x14ac:dyDescent="0.2">
      <c r="A4" s="123" t="s">
        <v>249</v>
      </c>
      <c r="B4" s="124" t="s">
        <v>231</v>
      </c>
      <c r="C4" s="124" t="s">
        <v>232</v>
      </c>
      <c r="D4" s="124" t="s">
        <v>330</v>
      </c>
      <c r="E4" s="124" t="s">
        <v>234</v>
      </c>
      <c r="F4" s="124" t="s">
        <v>244</v>
      </c>
      <c r="G4" s="124" t="s">
        <v>245</v>
      </c>
      <c r="H4" s="124" t="s">
        <v>285</v>
      </c>
      <c r="I4" s="124" t="s">
        <v>253</v>
      </c>
      <c r="J4" s="123"/>
      <c r="K4" s="124" t="s">
        <v>256</v>
      </c>
      <c r="L4" s="124" t="s">
        <v>255</v>
      </c>
      <c r="M4" s="124" t="s">
        <v>251</v>
      </c>
      <c r="N4" s="124" t="s">
        <v>254</v>
      </c>
      <c r="O4" s="124" t="s">
        <v>260</v>
      </c>
      <c r="P4" s="125" t="s">
        <v>263</v>
      </c>
      <c r="Q4" s="125" t="s">
        <v>257</v>
      </c>
      <c r="R4" s="125" t="s">
        <v>258</v>
      </c>
      <c r="S4" s="125" t="s">
        <v>259</v>
      </c>
      <c r="T4" s="130" t="s">
        <v>269</v>
      </c>
      <c r="U4" s="124" t="s">
        <v>282</v>
      </c>
      <c r="V4" s="124" t="s">
        <v>278</v>
      </c>
      <c r="X4" s="130" t="s">
        <v>279</v>
      </c>
      <c r="Y4" s="130" t="s">
        <v>293</v>
      </c>
      <c r="Z4" s="130" t="s">
        <v>280</v>
      </c>
    </row>
    <row r="5" spans="1:29" x14ac:dyDescent="0.2">
      <c r="A5" s="123"/>
      <c r="B5" s="123"/>
      <c r="C5" s="123"/>
      <c r="D5" s="131"/>
      <c r="E5" s="123"/>
      <c r="F5" s="123"/>
      <c r="G5" s="123"/>
      <c r="H5" s="123"/>
      <c r="J5" s="123"/>
      <c r="K5" s="129">
        <v>0.3</v>
      </c>
      <c r="L5" s="129">
        <v>0.3</v>
      </c>
      <c r="M5" s="129">
        <v>0.2</v>
      </c>
      <c r="N5" s="129">
        <v>0.05</v>
      </c>
      <c r="P5" s="129">
        <v>0.05</v>
      </c>
      <c r="Q5" s="129">
        <v>0.1</v>
      </c>
      <c r="X5" s="129">
        <f>SUM(K5:W5)</f>
        <v>1.0000000000000002</v>
      </c>
    </row>
    <row r="6" spans="1:29" ht="229.5" customHeight="1" x14ac:dyDescent="0.2">
      <c r="A6" s="123"/>
      <c r="B6" s="123"/>
      <c r="C6" s="136"/>
      <c r="D6" s="136"/>
      <c r="E6" s="137"/>
      <c r="F6" s="123"/>
      <c r="G6" s="123"/>
      <c r="H6" s="123"/>
      <c r="I6" s="123"/>
      <c r="J6" s="123"/>
      <c r="K6" s="123" t="s">
        <v>243</v>
      </c>
      <c r="L6" s="123" t="s">
        <v>243</v>
      </c>
      <c r="M6" s="123" t="s">
        <v>243</v>
      </c>
      <c r="N6" s="123" t="s">
        <v>272</v>
      </c>
      <c r="O6" s="129" t="s">
        <v>271</v>
      </c>
      <c r="S6" s="123" t="s">
        <v>274</v>
      </c>
      <c r="T6" s="129" t="s">
        <v>270</v>
      </c>
      <c r="U6" s="123" t="s">
        <v>276</v>
      </c>
      <c r="V6" s="129" t="s">
        <v>277</v>
      </c>
      <c r="X6" s="130"/>
      <c r="Y6" s="130"/>
      <c r="Z6" s="130"/>
    </row>
    <row r="7" spans="1:29" ht="51" x14ac:dyDescent="0.2">
      <c r="A7" s="123" t="s">
        <v>250</v>
      </c>
      <c r="B7" s="126" t="s">
        <v>233</v>
      </c>
      <c r="C7" s="136">
        <v>2698652</v>
      </c>
      <c r="D7" s="139">
        <v>4.3900000000000002E-2</v>
      </c>
      <c r="E7" s="137">
        <v>0</v>
      </c>
      <c r="F7" s="123" t="s">
        <v>243</v>
      </c>
      <c r="G7" s="123" t="s">
        <v>243</v>
      </c>
      <c r="H7" s="123" t="s">
        <v>286</v>
      </c>
      <c r="I7" s="123" t="s">
        <v>266</v>
      </c>
      <c r="J7" s="123"/>
      <c r="K7" s="129">
        <v>200</v>
      </c>
      <c r="L7" s="123">
        <v>32</v>
      </c>
      <c r="M7" s="129">
        <v>50</v>
      </c>
      <c r="N7" s="123">
        <v>1</v>
      </c>
      <c r="O7" s="123" t="s">
        <v>273</v>
      </c>
      <c r="P7" s="129">
        <v>1</v>
      </c>
      <c r="Q7" s="129">
        <v>1</v>
      </c>
      <c r="R7" s="129" t="s">
        <v>265</v>
      </c>
      <c r="S7" s="129" t="s">
        <v>243</v>
      </c>
      <c r="T7" s="129" t="s">
        <v>243</v>
      </c>
      <c r="U7" s="123" t="s">
        <v>275</v>
      </c>
      <c r="X7" s="129">
        <f>$K$5*K7+$L$5*L7+$M$5*M7+$N$5*N7+$P$5*P7+$Q$5*Q7</f>
        <v>79.799999999999983</v>
      </c>
      <c r="Y7" s="129" t="s">
        <v>294</v>
      </c>
      <c r="Z7" s="129" t="s">
        <v>297</v>
      </c>
    </row>
    <row r="8" spans="1:29" ht="25.5" x14ac:dyDescent="0.2">
      <c r="B8" s="127" t="s">
        <v>235</v>
      </c>
      <c r="C8" s="136">
        <v>436801</v>
      </c>
      <c r="D8" s="136"/>
      <c r="E8" s="137">
        <v>1124</v>
      </c>
      <c r="F8" s="122">
        <v>0.74791666666666667</v>
      </c>
      <c r="G8" s="123" t="s">
        <v>246</v>
      </c>
      <c r="H8" s="123" t="s">
        <v>243</v>
      </c>
      <c r="I8" s="123" t="s">
        <v>252</v>
      </c>
      <c r="J8" s="123"/>
      <c r="K8" s="123" t="s">
        <v>243</v>
      </c>
      <c r="L8" s="123" t="s">
        <v>243</v>
      </c>
      <c r="M8" s="123" t="s">
        <v>243</v>
      </c>
      <c r="N8" s="123" t="s">
        <v>243</v>
      </c>
      <c r="O8" s="123" t="s">
        <v>243</v>
      </c>
      <c r="P8" s="123" t="s">
        <v>243</v>
      </c>
      <c r="Q8" s="123" t="s">
        <v>243</v>
      </c>
      <c r="R8" s="123" t="s">
        <v>243</v>
      </c>
      <c r="S8" s="123" t="s">
        <v>243</v>
      </c>
      <c r="T8" s="129" t="s">
        <v>243</v>
      </c>
      <c r="X8" s="129" t="s">
        <v>243</v>
      </c>
      <c r="Y8" s="129" t="s">
        <v>243</v>
      </c>
      <c r="Z8" s="129" t="s">
        <v>243</v>
      </c>
    </row>
    <row r="9" spans="1:29" ht="63.75" x14ac:dyDescent="0.2">
      <c r="B9" s="127" t="s">
        <v>236</v>
      </c>
      <c r="C9" s="136">
        <v>403658</v>
      </c>
      <c r="D9" s="136"/>
      <c r="E9" s="137" t="s">
        <v>247</v>
      </c>
      <c r="F9" s="120">
        <v>0.13749999999999998</v>
      </c>
      <c r="G9" s="123" t="s">
        <v>243</v>
      </c>
      <c r="H9" s="123" t="s">
        <v>287</v>
      </c>
      <c r="I9" s="123" t="s">
        <v>266</v>
      </c>
      <c r="J9" s="123"/>
      <c r="K9" s="129">
        <v>47</v>
      </c>
      <c r="L9" s="123">
        <v>24</v>
      </c>
      <c r="M9" s="129">
        <v>10</v>
      </c>
      <c r="N9" s="123">
        <v>1</v>
      </c>
      <c r="O9" s="123" t="s">
        <v>261</v>
      </c>
      <c r="T9" s="129" t="s">
        <v>243</v>
      </c>
      <c r="X9" s="129">
        <f t="shared" ref="X9:X15" si="0">$K$5*K9+$L$5*L9+$M$5*M9+$N$5*N9+$P$5*P9+$Q$5*Q9</f>
        <v>23.349999999999998</v>
      </c>
      <c r="Y9" s="129" t="s">
        <v>295</v>
      </c>
      <c r="Z9" s="129" t="s">
        <v>298</v>
      </c>
      <c r="AA9" s="129" t="s">
        <v>324</v>
      </c>
      <c r="AB9" s="129" t="s">
        <v>325</v>
      </c>
      <c r="AC9" s="129" t="s">
        <v>326</v>
      </c>
    </row>
    <row r="10" spans="1:29" ht="89.25" x14ac:dyDescent="0.2">
      <c r="B10" s="127" t="s">
        <v>237</v>
      </c>
      <c r="C10" s="136" t="s">
        <v>366</v>
      </c>
      <c r="D10" s="136" t="s">
        <v>367</v>
      </c>
      <c r="E10" s="137">
        <v>872</v>
      </c>
      <c r="F10" s="141">
        <v>0.43541666666666662</v>
      </c>
      <c r="G10" s="123" t="s">
        <v>368</v>
      </c>
      <c r="H10" s="123" t="s">
        <v>243</v>
      </c>
      <c r="I10" s="123" t="s">
        <v>329</v>
      </c>
      <c r="J10" s="123"/>
      <c r="K10" s="123">
        <v>19</v>
      </c>
      <c r="L10" s="123">
        <v>56</v>
      </c>
      <c r="M10" s="123">
        <v>10</v>
      </c>
      <c r="N10" s="123">
        <v>1</v>
      </c>
      <c r="O10" s="123" t="s">
        <v>261</v>
      </c>
      <c r="P10" s="123">
        <v>1</v>
      </c>
      <c r="Q10" s="123">
        <v>1</v>
      </c>
      <c r="R10" s="123" t="s">
        <v>372</v>
      </c>
      <c r="S10" s="123" t="s">
        <v>243</v>
      </c>
      <c r="T10" s="129" t="s">
        <v>243</v>
      </c>
      <c r="X10" s="129">
        <f t="shared" si="0"/>
        <v>24.700000000000003</v>
      </c>
      <c r="Y10" s="129" t="s">
        <v>369</v>
      </c>
      <c r="Z10" s="129" t="s">
        <v>370</v>
      </c>
      <c r="AA10" s="129" t="s">
        <v>371</v>
      </c>
    </row>
    <row r="11" spans="1:29" ht="14.25" x14ac:dyDescent="0.2">
      <c r="B11" s="127" t="s">
        <v>238</v>
      </c>
      <c r="C11" s="136">
        <v>291649</v>
      </c>
      <c r="D11" s="136"/>
      <c r="E11" s="137">
        <v>812</v>
      </c>
      <c r="F11" s="122">
        <v>0.56666666666666665</v>
      </c>
      <c r="G11" s="123" t="s">
        <v>239</v>
      </c>
      <c r="H11" s="123" t="s">
        <v>243</v>
      </c>
      <c r="I11" s="123" t="s">
        <v>252</v>
      </c>
      <c r="J11" s="123"/>
      <c r="K11" s="123" t="s">
        <v>243</v>
      </c>
      <c r="L11" s="123" t="s">
        <v>243</v>
      </c>
      <c r="M11" s="123" t="s">
        <v>243</v>
      </c>
      <c r="N11" s="123" t="s">
        <v>243</v>
      </c>
      <c r="O11" s="123" t="s">
        <v>243</v>
      </c>
      <c r="P11" s="123" t="s">
        <v>243</v>
      </c>
      <c r="Q11" s="123" t="s">
        <v>243</v>
      </c>
      <c r="R11" s="123" t="s">
        <v>243</v>
      </c>
      <c r="S11" s="123" t="s">
        <v>243</v>
      </c>
      <c r="T11" s="129" t="s">
        <v>243</v>
      </c>
      <c r="X11" s="129" t="s">
        <v>243</v>
      </c>
      <c r="Y11" s="129" t="s">
        <v>243</v>
      </c>
      <c r="Z11" s="129" t="s">
        <v>243</v>
      </c>
    </row>
    <row r="12" spans="1:29" ht="41.25" customHeight="1" x14ac:dyDescent="0.2">
      <c r="B12" s="127" t="s">
        <v>239</v>
      </c>
      <c r="C12" s="136">
        <v>250902</v>
      </c>
      <c r="D12" s="136"/>
      <c r="E12" s="137">
        <v>184</v>
      </c>
      <c r="F12" s="120">
        <v>0.13680555555555554</v>
      </c>
      <c r="G12" s="123" t="s">
        <v>243</v>
      </c>
      <c r="H12" s="123" t="s">
        <v>288</v>
      </c>
      <c r="I12" s="123" t="s">
        <v>266</v>
      </c>
      <c r="J12" s="123"/>
      <c r="K12" s="129">
        <v>15</v>
      </c>
      <c r="L12" s="123">
        <v>1</v>
      </c>
      <c r="M12" s="129">
        <v>10</v>
      </c>
      <c r="N12" s="123">
        <v>1</v>
      </c>
      <c r="O12" s="123" t="s">
        <v>262</v>
      </c>
      <c r="P12" s="129">
        <v>1</v>
      </c>
      <c r="Q12" s="129">
        <v>1</v>
      </c>
      <c r="R12" s="129" t="s">
        <v>283</v>
      </c>
      <c r="S12" s="123" t="s">
        <v>243</v>
      </c>
      <c r="T12" s="129" t="s">
        <v>243</v>
      </c>
      <c r="X12" s="129">
        <f t="shared" si="0"/>
        <v>6.9999999999999991</v>
      </c>
      <c r="Y12" s="129" t="s">
        <v>296</v>
      </c>
      <c r="Z12" s="129" t="s">
        <v>299</v>
      </c>
    </row>
    <row r="13" spans="1:29" ht="42" customHeight="1" x14ac:dyDescent="0.2">
      <c r="B13" s="127" t="s">
        <v>240</v>
      </c>
      <c r="C13" s="136">
        <v>224876</v>
      </c>
      <c r="D13" s="136"/>
      <c r="E13" s="137">
        <v>336</v>
      </c>
      <c r="F13" s="120">
        <v>0.23263888888888887</v>
      </c>
      <c r="G13" s="123" t="s">
        <v>243</v>
      </c>
      <c r="H13" s="123" t="s">
        <v>291</v>
      </c>
      <c r="I13" s="123" t="s">
        <v>266</v>
      </c>
      <c r="J13" s="123"/>
      <c r="K13" s="129">
        <v>25</v>
      </c>
      <c r="L13" s="123">
        <v>1</v>
      </c>
      <c r="M13" s="129">
        <v>10</v>
      </c>
      <c r="N13" s="123">
        <v>1</v>
      </c>
      <c r="O13" s="123" t="s">
        <v>264</v>
      </c>
      <c r="P13" s="129">
        <v>0</v>
      </c>
      <c r="Q13" s="129">
        <v>0</v>
      </c>
      <c r="R13" s="129" t="s">
        <v>284</v>
      </c>
      <c r="S13" s="123" t="s">
        <v>243</v>
      </c>
      <c r="T13" s="129" t="s">
        <v>243</v>
      </c>
      <c r="X13" s="129">
        <f>$K$5*K13+$L$5*L13+$M$5*M13+$N$5*N13+$P$5*P13+$Q$5*Q13</f>
        <v>9.8500000000000014</v>
      </c>
      <c r="Y13" s="129" t="s">
        <v>296</v>
      </c>
      <c r="Z13" s="129" t="s">
        <v>299</v>
      </c>
    </row>
    <row r="14" spans="1:29" ht="42" customHeight="1" x14ac:dyDescent="0.2">
      <c r="B14" s="127" t="s">
        <v>241</v>
      </c>
      <c r="C14" s="136">
        <v>180541</v>
      </c>
      <c r="D14" s="136"/>
      <c r="E14" s="137">
        <v>440</v>
      </c>
      <c r="F14" s="121">
        <v>0.28611111111111115</v>
      </c>
      <c r="G14" s="123" t="s">
        <v>239</v>
      </c>
      <c r="H14" s="123" t="s">
        <v>291</v>
      </c>
      <c r="I14" s="123" t="s">
        <v>266</v>
      </c>
      <c r="J14" s="123"/>
      <c r="K14" s="129">
        <v>25</v>
      </c>
      <c r="L14" s="123">
        <v>2</v>
      </c>
      <c r="M14" s="129">
        <v>15</v>
      </c>
      <c r="N14" s="123">
        <v>0.5</v>
      </c>
      <c r="O14" s="123" t="s">
        <v>290</v>
      </c>
      <c r="P14" s="129">
        <v>0</v>
      </c>
      <c r="Q14" s="129">
        <v>1</v>
      </c>
      <c r="S14" s="123" t="s">
        <v>243</v>
      </c>
      <c r="T14" s="129" t="s">
        <v>243</v>
      </c>
      <c r="X14" s="129">
        <f>$K$5*K14+$L$5*L14+$M$5*M14+$N$5*N14+$P$5*P14+$Q$5*Q14</f>
        <v>11.225</v>
      </c>
      <c r="Y14" s="129" t="s">
        <v>296</v>
      </c>
      <c r="Z14" s="129" t="s">
        <v>300</v>
      </c>
    </row>
    <row r="15" spans="1:29" ht="89.25" x14ac:dyDescent="0.2">
      <c r="B15" s="127" t="s">
        <v>242</v>
      </c>
      <c r="C15" s="136">
        <v>156959</v>
      </c>
      <c r="D15" s="136"/>
      <c r="E15" s="137">
        <v>547</v>
      </c>
      <c r="F15" s="138">
        <v>0.36249999999999999</v>
      </c>
      <c r="G15" s="123" t="s">
        <v>292</v>
      </c>
      <c r="H15" s="123" t="s">
        <v>291</v>
      </c>
      <c r="I15" s="123" t="s">
        <v>329</v>
      </c>
      <c r="J15" s="123"/>
      <c r="K15" s="129">
        <v>38</v>
      </c>
      <c r="L15" s="123">
        <v>2</v>
      </c>
      <c r="M15" s="129">
        <v>20</v>
      </c>
      <c r="N15" s="123">
        <v>0.5</v>
      </c>
      <c r="O15" s="123" t="s">
        <v>261</v>
      </c>
      <c r="P15" s="129">
        <v>1</v>
      </c>
      <c r="Q15" s="129">
        <v>0</v>
      </c>
      <c r="R15" s="129" t="s">
        <v>289</v>
      </c>
      <c r="S15" s="123" t="s">
        <v>243</v>
      </c>
      <c r="T15" s="129" t="s">
        <v>243</v>
      </c>
      <c r="X15" s="129">
        <f t="shared" si="0"/>
        <v>16.074999999999999</v>
      </c>
      <c r="Y15" s="129" t="s">
        <v>295</v>
      </c>
      <c r="Z15" s="129" t="s">
        <v>299</v>
      </c>
      <c r="AA15" s="129" t="s">
        <v>327</v>
      </c>
      <c r="AB15" s="129" t="s">
        <v>328</v>
      </c>
    </row>
    <row r="18" spans="6:18" ht="51" x14ac:dyDescent="0.2">
      <c r="F18" s="129" t="s">
        <v>308</v>
      </c>
      <c r="K18" s="129" t="s">
        <v>315</v>
      </c>
      <c r="L18" s="129" t="s">
        <v>314</v>
      </c>
      <c r="M18" s="129" t="s">
        <v>311</v>
      </c>
      <c r="R18" s="129" t="s">
        <v>313</v>
      </c>
    </row>
    <row r="19" spans="6:18" ht="38.25" x14ac:dyDescent="0.2">
      <c r="F19" s="129" t="s">
        <v>309</v>
      </c>
      <c r="L19" s="129" t="s">
        <v>321</v>
      </c>
      <c r="M19" s="129" t="s">
        <v>312</v>
      </c>
      <c r="O19" s="129" t="s">
        <v>317</v>
      </c>
    </row>
    <row r="20" spans="6:18" ht="76.5" x14ac:dyDescent="0.2">
      <c r="F20" s="129" t="s">
        <v>310</v>
      </c>
      <c r="L20" s="129" t="s">
        <v>322</v>
      </c>
      <c r="O20" s="129" t="s">
        <v>316</v>
      </c>
    </row>
    <row r="21" spans="6:18" ht="25.5" x14ac:dyDescent="0.2">
      <c r="L21" s="129" t="s">
        <v>323</v>
      </c>
      <c r="O21" s="129" t="s">
        <v>318</v>
      </c>
    </row>
    <row r="22" spans="6:18" x14ac:dyDescent="0.2">
      <c r="O22" s="129" t="s">
        <v>319</v>
      </c>
    </row>
    <row r="23" spans="6:18" ht="25.5" x14ac:dyDescent="0.2">
      <c r="O23" s="129" t="s">
        <v>320</v>
      </c>
    </row>
    <row r="63" spans="14:14" x14ac:dyDescent="0.2">
      <c r="N63" s="58"/>
    </row>
    <row r="76" spans="16:16" x14ac:dyDescent="0.2">
      <c r="P76" s="58"/>
    </row>
  </sheetData>
  <mergeCells count="3">
    <mergeCell ref="N1:Q1"/>
    <mergeCell ref="B3:I3"/>
    <mergeCell ref="K3:V3"/>
  </mergeCells>
  <hyperlinks>
    <hyperlink ref="B1" r:id="rId1" location=":~:text=Tanzania%20es%20la%20econom%C3%ADa%20n%C3%BAmero,habitante401%24%20dolares%20por%20habitante." display="https://datosmacro.expansion.com/paises/tanzania - :~:text=Tanzania%20es%20la%20econom%C3%ADa%20n%C3%BAmero,habitante401%24%20dolares%20por%20habitante." xr:uid="{80B6985E-CF63-4D6C-85F9-71BD0EA9D246}"/>
    <hyperlink ref="E1" r:id="rId2" display="http://www.exteriores.gob.es/Portal/es/ServiciosAlCiudadano/SiViajasAlExtranjero/Paginas/DetalleRecomendacion.aspx?IdP=178" xr:uid="{133081E0-5620-4F55-B179-6BD6DE959A7D}"/>
  </hyperlinks>
  <pageMargins left="0.7" right="0.7" top="0.75" bottom="0.75" header="0.3" footer="0.3"/>
  <pageSetup paperSize="9" orientation="portrait"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7D825-9098-4831-BC47-243059B65C70}">
  <dimension ref="B2:F3"/>
  <sheetViews>
    <sheetView workbookViewId="0">
      <selection activeCell="D4" sqref="D4"/>
    </sheetView>
  </sheetViews>
  <sheetFormatPr baseColWidth="10" defaultRowHeight="12.75" x14ac:dyDescent="0.2"/>
  <cols>
    <col min="1" max="16384" width="11.42578125" style="129"/>
  </cols>
  <sheetData>
    <row r="2" spans="2:6" x14ac:dyDescent="0.2">
      <c r="C2" s="328" t="s">
        <v>377</v>
      </c>
      <c r="D2" s="328"/>
      <c r="E2" s="328"/>
      <c r="F2" s="129" t="s">
        <v>375</v>
      </c>
    </row>
    <row r="3" spans="2:6" ht="25.5" x14ac:dyDescent="0.2">
      <c r="B3" s="129" t="s">
        <v>376</v>
      </c>
      <c r="C3" s="129" t="s">
        <v>332</v>
      </c>
      <c r="D3" s="129" t="s">
        <v>373</v>
      </c>
      <c r="E3" s="129" t="s">
        <v>374</v>
      </c>
      <c r="F3" s="129" t="s">
        <v>374</v>
      </c>
    </row>
  </sheetData>
  <mergeCells count="1">
    <mergeCell ref="C2:E2"/>
  </mergeCells>
  <pageMargins left="0.7" right="0.7" top="0.75" bottom="0.75" header="0.3" footer="0.3"/>
  <pageSetup paperSize="9" orientation="portrait" horizontalDpi="200" verticalDpi="200"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FFA46-489B-4845-A661-B01C46685886}">
  <sheetPr>
    <tabColor theme="6" tint="-0.249977111117893"/>
  </sheetPr>
  <dimension ref="B1:AC47"/>
  <sheetViews>
    <sheetView showGridLines="0" tabSelected="1" topLeftCell="H1" zoomScale="70" zoomScaleNormal="70" workbookViewId="0">
      <pane ySplit="2" topLeftCell="A13" activePane="bottomLeft" state="frozen"/>
      <selection pane="bottomLeft" activeCell="Y8" sqref="Y8:AC22"/>
    </sheetView>
  </sheetViews>
  <sheetFormatPr baseColWidth="10" defaultRowHeight="12.75" x14ac:dyDescent="0.2"/>
  <cols>
    <col min="1" max="1" width="2.5703125" style="129" customWidth="1"/>
    <col min="2" max="2" width="15" style="129" customWidth="1"/>
    <col min="3" max="3" width="16.85546875" style="129" customWidth="1"/>
    <col min="4" max="4" width="19" style="129" customWidth="1"/>
    <col min="5" max="5" width="13.28515625" style="215" customWidth="1"/>
    <col min="6" max="6" width="11.42578125" style="129"/>
    <col min="7" max="7" width="14.42578125" style="129" customWidth="1"/>
    <col min="8" max="8" width="11.42578125" style="129"/>
    <col min="9" max="9" width="14.140625" style="129" customWidth="1"/>
    <col min="10" max="11" width="11.42578125" style="129"/>
    <col min="12" max="12" width="11.42578125" style="180"/>
    <col min="13" max="13" width="11.42578125" style="129"/>
    <col min="14" max="14" width="12.85546875" style="129" customWidth="1"/>
    <col min="15" max="15" width="2.7109375" style="129" customWidth="1"/>
    <col min="16" max="16" width="14.42578125" style="129" customWidth="1"/>
    <col min="17" max="17" width="16.5703125" style="129" customWidth="1"/>
    <col min="18" max="18" width="16.5703125" style="180" customWidth="1"/>
    <col min="19" max="21" width="11.42578125" style="129"/>
    <col min="22" max="22" width="13.7109375" style="129" customWidth="1"/>
    <col min="23" max="23" width="5.7109375" style="129" customWidth="1"/>
    <col min="24" max="24" width="10.140625" style="129" customWidth="1"/>
    <col min="25" max="25" width="11.42578125" style="129"/>
    <col min="26" max="26" width="12.85546875" style="129" customWidth="1"/>
    <col min="27" max="28" width="11.42578125" style="129"/>
    <col min="29" max="29" width="14.85546875" style="129" customWidth="1"/>
    <col min="30" max="16384" width="11.42578125" style="129"/>
  </cols>
  <sheetData>
    <row r="1" spans="2:29" s="180" customFormat="1" ht="18" x14ac:dyDescent="0.2">
      <c r="B1" s="329" t="s">
        <v>539</v>
      </c>
      <c r="C1" s="329"/>
      <c r="D1" s="329"/>
      <c r="E1" s="329"/>
      <c r="F1" s="329"/>
      <c r="G1" s="329"/>
      <c r="H1" s="329"/>
      <c r="I1" s="329"/>
      <c r="J1" s="329"/>
      <c r="K1" s="329"/>
      <c r="L1" s="329"/>
      <c r="M1" s="329"/>
      <c r="N1" s="329"/>
      <c r="P1" s="329" t="s">
        <v>603</v>
      </c>
      <c r="Q1" s="329"/>
      <c r="R1" s="329"/>
      <c r="S1" s="329"/>
      <c r="T1" s="329"/>
      <c r="U1" s="329"/>
      <c r="V1" s="329"/>
    </row>
    <row r="2" spans="2:29" ht="27" customHeight="1" x14ac:dyDescent="0.2">
      <c r="B2" s="213" t="s">
        <v>343</v>
      </c>
      <c r="C2" s="213" t="s">
        <v>331</v>
      </c>
      <c r="D2" s="213" t="s">
        <v>566</v>
      </c>
      <c r="E2" s="214" t="s">
        <v>565</v>
      </c>
      <c r="F2" s="213" t="s">
        <v>333</v>
      </c>
      <c r="G2" s="213" t="s">
        <v>209</v>
      </c>
      <c r="H2" s="213" t="s">
        <v>334</v>
      </c>
      <c r="I2" s="213" t="s">
        <v>571</v>
      </c>
      <c r="J2" s="213" t="s">
        <v>336</v>
      </c>
      <c r="K2" s="213" t="s">
        <v>572</v>
      </c>
      <c r="L2" s="213"/>
      <c r="M2" s="213" t="s">
        <v>337</v>
      </c>
      <c r="N2" s="213" t="s">
        <v>338</v>
      </c>
      <c r="P2" s="213" t="s">
        <v>343</v>
      </c>
      <c r="Q2" s="213" t="s">
        <v>331</v>
      </c>
      <c r="R2" s="213" t="s">
        <v>575</v>
      </c>
      <c r="S2" s="213" t="s">
        <v>566</v>
      </c>
      <c r="T2" s="214" t="s">
        <v>565</v>
      </c>
      <c r="U2" s="213" t="s">
        <v>333</v>
      </c>
      <c r="V2" s="213" t="s">
        <v>209</v>
      </c>
    </row>
    <row r="3" spans="2:29" ht="17.25" customHeight="1" x14ac:dyDescent="0.2">
      <c r="E3" s="129"/>
    </row>
    <row r="4" spans="2:29" s="140" customFormat="1" x14ac:dyDescent="0.2">
      <c r="B4" s="257" t="s">
        <v>339</v>
      </c>
      <c r="C4" s="181" t="s">
        <v>560</v>
      </c>
      <c r="D4" s="140" t="s">
        <v>570</v>
      </c>
      <c r="E4" s="215">
        <v>771</v>
      </c>
      <c r="F4" s="246"/>
      <c r="G4" s="315">
        <f>E4*F4</f>
        <v>0</v>
      </c>
      <c r="H4" s="246"/>
      <c r="I4" s="246"/>
      <c r="J4" s="246"/>
      <c r="K4" s="246"/>
      <c r="L4" s="246"/>
      <c r="M4" s="246"/>
      <c r="N4" s="246"/>
      <c r="P4" s="220" t="s">
        <v>564</v>
      </c>
      <c r="Q4" s="230" t="s">
        <v>177</v>
      </c>
      <c r="R4" s="254">
        <v>1</v>
      </c>
      <c r="S4" s="232" t="s">
        <v>211</v>
      </c>
      <c r="T4" s="216"/>
      <c r="U4" s="220"/>
      <c r="V4" s="217">
        <f t="shared" ref="V4:V14" si="0">T4*U4</f>
        <v>0</v>
      </c>
    </row>
    <row r="5" spans="2:29" s="140" customFormat="1" ht="25.5" x14ac:dyDescent="0.2">
      <c r="C5" s="140" t="s">
        <v>535</v>
      </c>
      <c r="D5" s="140" t="s">
        <v>574</v>
      </c>
      <c r="E5" s="215"/>
      <c r="F5" s="246">
        <v>46</v>
      </c>
      <c r="G5" s="315">
        <f t="shared" ref="G5:G44" si="1">E5*F5</f>
        <v>0</v>
      </c>
      <c r="H5" s="246"/>
      <c r="I5" s="246"/>
      <c r="J5" s="246"/>
      <c r="K5" s="246"/>
      <c r="L5" s="246"/>
      <c r="M5" s="246"/>
      <c r="N5" s="246"/>
      <c r="P5" s="220"/>
      <c r="Q5" s="230" t="s">
        <v>178</v>
      </c>
      <c r="R5" s="254">
        <v>1</v>
      </c>
      <c r="S5" s="232" t="s">
        <v>211</v>
      </c>
      <c r="T5" s="221"/>
      <c r="U5" s="220"/>
      <c r="V5" s="217">
        <f t="shared" si="0"/>
        <v>0</v>
      </c>
    </row>
    <row r="6" spans="2:29" s="140" customFormat="1" ht="25.5" x14ac:dyDescent="0.2">
      <c r="C6" s="140" t="s">
        <v>534</v>
      </c>
      <c r="D6" s="140" t="s">
        <v>211</v>
      </c>
      <c r="E6" s="215">
        <v>22600.080000000002</v>
      </c>
      <c r="F6" s="246"/>
      <c r="G6" s="315">
        <f t="shared" si="1"/>
        <v>0</v>
      </c>
      <c r="H6" s="246"/>
      <c r="I6" s="246"/>
      <c r="J6" s="246"/>
      <c r="K6" s="246"/>
      <c r="L6" s="246"/>
      <c r="M6" s="246">
        <v>40</v>
      </c>
      <c r="N6" s="315">
        <f>E6/M6</f>
        <v>565.00200000000007</v>
      </c>
      <c r="P6" s="220"/>
      <c r="Q6" s="230" t="s">
        <v>179</v>
      </c>
      <c r="R6" s="254">
        <v>1</v>
      </c>
      <c r="S6" s="232" t="s">
        <v>211</v>
      </c>
      <c r="T6" s="221"/>
      <c r="U6" s="220"/>
      <c r="V6" s="217">
        <f t="shared" si="0"/>
        <v>0</v>
      </c>
    </row>
    <row r="7" spans="2:29" s="140" customFormat="1" x14ac:dyDescent="0.2">
      <c r="C7" s="140" t="s">
        <v>536</v>
      </c>
      <c r="D7" s="181" t="s">
        <v>570</v>
      </c>
      <c r="E7" s="215" t="s">
        <v>531</v>
      </c>
      <c r="F7" s="246"/>
      <c r="G7" s="315" t="e">
        <f t="shared" si="1"/>
        <v>#VALUE!</v>
      </c>
      <c r="H7" s="246"/>
      <c r="I7" s="246"/>
      <c r="J7" s="246"/>
      <c r="K7" s="246"/>
      <c r="L7" s="246"/>
      <c r="M7" s="246"/>
      <c r="N7" s="246"/>
      <c r="P7" s="220"/>
      <c r="Q7" s="230" t="s">
        <v>180</v>
      </c>
      <c r="R7" s="254">
        <v>1</v>
      </c>
      <c r="S7" s="232" t="s">
        <v>211</v>
      </c>
      <c r="T7" s="221"/>
      <c r="U7" s="220"/>
      <c r="V7" s="217">
        <f t="shared" si="0"/>
        <v>0</v>
      </c>
    </row>
    <row r="8" spans="2:29" s="140" customFormat="1" ht="26.25" thickBot="1" x14ac:dyDescent="0.25">
      <c r="C8" s="140" t="s">
        <v>361</v>
      </c>
      <c r="D8" s="140" t="s">
        <v>211</v>
      </c>
      <c r="E8" s="215">
        <v>10000</v>
      </c>
      <c r="F8" s="246"/>
      <c r="G8" s="315">
        <f t="shared" si="1"/>
        <v>0</v>
      </c>
      <c r="H8" s="246"/>
      <c r="I8" s="246"/>
      <c r="J8" s="246"/>
      <c r="K8" s="246"/>
      <c r="L8" s="246"/>
      <c r="M8" s="246">
        <v>25</v>
      </c>
      <c r="N8" s="315">
        <f>E8/M8</f>
        <v>400</v>
      </c>
      <c r="P8" s="222"/>
      <c r="Q8" s="231" t="s">
        <v>181</v>
      </c>
      <c r="R8" s="255">
        <v>1</v>
      </c>
      <c r="S8" s="124" t="s">
        <v>211</v>
      </c>
      <c r="T8" s="223"/>
      <c r="U8" s="222"/>
      <c r="V8" s="223">
        <f t="shared" si="0"/>
        <v>0</v>
      </c>
      <c r="Y8" s="213" t="s">
        <v>587</v>
      </c>
      <c r="Z8" s="213" t="s">
        <v>485</v>
      </c>
      <c r="AA8" s="213" t="s">
        <v>588</v>
      </c>
      <c r="AB8" s="213" t="s">
        <v>589</v>
      </c>
      <c r="AC8" s="213" t="s">
        <v>590</v>
      </c>
    </row>
    <row r="9" spans="2:29" s="140" customFormat="1" ht="26.25" thickBot="1" x14ac:dyDescent="0.25">
      <c r="C9" s="140" t="s">
        <v>362</v>
      </c>
      <c r="D9" s="181" t="s">
        <v>211</v>
      </c>
      <c r="E9" s="215" t="s">
        <v>531</v>
      </c>
      <c r="F9" s="246"/>
      <c r="G9" s="315" t="e">
        <f t="shared" si="1"/>
        <v>#VALUE!</v>
      </c>
      <c r="H9" s="246"/>
      <c r="I9" s="246"/>
      <c r="J9" s="246"/>
      <c r="K9" s="246"/>
      <c r="L9" s="246"/>
      <c r="M9" s="246"/>
      <c r="N9" s="246"/>
      <c r="P9" s="181" t="s">
        <v>188</v>
      </c>
      <c r="Q9" s="181" t="s">
        <v>563</v>
      </c>
      <c r="R9" s="254">
        <v>1</v>
      </c>
      <c r="S9" s="140" t="s">
        <v>562</v>
      </c>
      <c r="T9" s="219">
        <v>0.126</v>
      </c>
      <c r="U9" s="140">
        <f>AC22</f>
        <v>15076.45</v>
      </c>
      <c r="V9" s="217">
        <f t="shared" si="0"/>
        <v>1899.6327000000001</v>
      </c>
      <c r="W9" s="245" t="s">
        <v>577</v>
      </c>
      <c r="X9" s="233" t="s">
        <v>187</v>
      </c>
      <c r="Y9" s="181" t="s">
        <v>339</v>
      </c>
      <c r="Z9" s="181" t="s">
        <v>576</v>
      </c>
      <c r="AA9" s="140" t="s">
        <v>697</v>
      </c>
      <c r="AB9" s="140">
        <v>1</v>
      </c>
      <c r="AC9" s="140">
        <f>105927/12</f>
        <v>8827.25</v>
      </c>
    </row>
    <row r="10" spans="2:29" s="140" customFormat="1" ht="25.5" x14ac:dyDescent="0.2">
      <c r="C10" s="140" t="s">
        <v>363</v>
      </c>
      <c r="D10" s="181" t="s">
        <v>211</v>
      </c>
      <c r="E10" s="215" t="s">
        <v>531</v>
      </c>
      <c r="F10" s="246"/>
      <c r="G10" s="315" t="e">
        <f t="shared" si="1"/>
        <v>#VALUE!</v>
      </c>
      <c r="H10" s="246"/>
      <c r="I10" s="246"/>
      <c r="J10" s="246"/>
      <c r="K10" s="246"/>
      <c r="L10" s="246"/>
      <c r="M10" s="246"/>
      <c r="N10" s="246"/>
      <c r="Q10" s="140" t="s">
        <v>568</v>
      </c>
      <c r="R10" s="254">
        <v>1</v>
      </c>
      <c r="S10" s="140" t="s">
        <v>567</v>
      </c>
      <c r="T10" s="219">
        <v>0.87</v>
      </c>
      <c r="U10" s="140">
        <f>635.58*0.2</f>
        <v>127.11600000000001</v>
      </c>
      <c r="V10" s="217">
        <f t="shared" si="0"/>
        <v>110.59092000000001</v>
      </c>
      <c r="X10" s="218"/>
      <c r="Z10" s="181" t="s">
        <v>344</v>
      </c>
      <c r="AC10" s="140">
        <f>93.6+6.24</f>
        <v>99.839999999999989</v>
      </c>
    </row>
    <row r="11" spans="2:29" s="140" customFormat="1" ht="38.25" x14ac:dyDescent="0.2">
      <c r="C11" s="181" t="s">
        <v>580</v>
      </c>
      <c r="D11" s="181" t="s">
        <v>581</v>
      </c>
      <c r="E11" s="215"/>
      <c r="F11" s="246"/>
      <c r="G11" s="315">
        <f t="shared" si="1"/>
        <v>0</v>
      </c>
      <c r="H11" s="246"/>
      <c r="I11" s="246"/>
      <c r="J11" s="246"/>
      <c r="K11" s="246"/>
      <c r="L11" s="246"/>
      <c r="M11" s="246"/>
      <c r="N11" s="246"/>
      <c r="P11" s="222"/>
      <c r="Q11" s="222" t="s">
        <v>569</v>
      </c>
      <c r="R11" s="255">
        <v>1</v>
      </c>
      <c r="S11" s="222" t="s">
        <v>567</v>
      </c>
      <c r="T11" s="224">
        <v>0.8</v>
      </c>
      <c r="U11" s="222"/>
      <c r="V11" s="223">
        <f t="shared" si="0"/>
        <v>0</v>
      </c>
      <c r="X11" s="218"/>
      <c r="Z11" s="181" t="s">
        <v>349</v>
      </c>
      <c r="AC11" s="140">
        <v>6</v>
      </c>
    </row>
    <row r="12" spans="2:29" s="140" customFormat="1" ht="38.25" x14ac:dyDescent="0.2">
      <c r="C12" s="181" t="s">
        <v>579</v>
      </c>
      <c r="D12" s="181" t="s">
        <v>211</v>
      </c>
      <c r="E12" s="215"/>
      <c r="F12" s="246"/>
      <c r="G12" s="315">
        <f t="shared" si="1"/>
        <v>0</v>
      </c>
      <c r="H12" s="246"/>
      <c r="I12" s="246"/>
      <c r="J12" s="246"/>
      <c r="K12" s="246"/>
      <c r="L12" s="246"/>
      <c r="M12" s="246"/>
      <c r="N12" s="246"/>
      <c r="P12" s="181" t="s">
        <v>544</v>
      </c>
      <c r="Q12" s="181" t="s">
        <v>553</v>
      </c>
      <c r="R12" s="254">
        <v>4</v>
      </c>
      <c r="S12" s="249" t="s">
        <v>211</v>
      </c>
      <c r="T12" s="217"/>
      <c r="V12" s="217">
        <f t="shared" si="0"/>
        <v>0</v>
      </c>
      <c r="X12" s="218"/>
      <c r="Z12" s="181" t="s">
        <v>578</v>
      </c>
      <c r="AC12" s="140">
        <v>3</v>
      </c>
    </row>
    <row r="13" spans="2:29" s="140" customFormat="1" ht="25.5" x14ac:dyDescent="0.2">
      <c r="C13" s="140" t="s">
        <v>344</v>
      </c>
      <c r="D13" s="140" t="s">
        <v>570</v>
      </c>
      <c r="E13" s="215"/>
      <c r="F13" s="246"/>
      <c r="G13" s="315">
        <f t="shared" si="1"/>
        <v>0</v>
      </c>
      <c r="H13" s="246"/>
      <c r="I13" s="246"/>
      <c r="J13" s="246"/>
      <c r="K13" s="246"/>
      <c r="L13" s="246"/>
      <c r="M13" s="246"/>
      <c r="N13" s="246"/>
      <c r="Q13" s="181" t="s">
        <v>554</v>
      </c>
      <c r="R13" s="254">
        <v>0.5</v>
      </c>
      <c r="S13" s="249" t="s">
        <v>211</v>
      </c>
      <c r="T13" s="217"/>
      <c r="V13" s="217">
        <f t="shared" si="0"/>
        <v>0</v>
      </c>
      <c r="Z13" s="181" t="s">
        <v>585</v>
      </c>
      <c r="AC13" s="140">
        <v>3</v>
      </c>
    </row>
    <row r="14" spans="2:29" s="140" customFormat="1" ht="25.5" x14ac:dyDescent="0.2">
      <c r="C14" s="140" t="s">
        <v>364</v>
      </c>
      <c r="D14" s="181" t="s">
        <v>211</v>
      </c>
      <c r="E14" s="215"/>
      <c r="F14" s="246"/>
      <c r="G14" s="315">
        <f t="shared" si="1"/>
        <v>0</v>
      </c>
      <c r="H14" s="246"/>
      <c r="I14" s="246"/>
      <c r="J14" s="246"/>
      <c r="K14" s="246"/>
      <c r="L14" s="246"/>
      <c r="M14" s="246"/>
      <c r="N14" s="246"/>
      <c r="Q14" s="140" t="s">
        <v>541</v>
      </c>
      <c r="R14" s="254">
        <v>1</v>
      </c>
      <c r="S14" s="249" t="s">
        <v>211</v>
      </c>
      <c r="T14" s="217"/>
      <c r="V14" s="217">
        <f t="shared" si="0"/>
        <v>0</v>
      </c>
      <c r="Z14" s="181" t="s">
        <v>586</v>
      </c>
      <c r="AC14" s="140">
        <v>1</v>
      </c>
    </row>
    <row r="15" spans="2:29" s="140" customFormat="1" ht="38.25" x14ac:dyDescent="0.2">
      <c r="C15" s="140" t="s">
        <v>365</v>
      </c>
      <c r="D15" s="181" t="s">
        <v>211</v>
      </c>
      <c r="E15" s="215"/>
      <c r="F15" s="246"/>
      <c r="G15" s="315">
        <f t="shared" si="1"/>
        <v>0</v>
      </c>
      <c r="H15" s="246"/>
      <c r="I15" s="246"/>
      <c r="J15" s="246"/>
      <c r="K15" s="246"/>
      <c r="L15" s="246"/>
      <c r="M15" s="246"/>
      <c r="N15" s="246"/>
      <c r="Q15" s="181" t="s">
        <v>354</v>
      </c>
      <c r="R15" s="254">
        <v>1</v>
      </c>
      <c r="S15" s="249" t="s">
        <v>211</v>
      </c>
      <c r="T15" s="217">
        <v>30</v>
      </c>
      <c r="U15" s="140">
        <v>1</v>
      </c>
      <c r="V15" s="217">
        <f>T15*U15</f>
        <v>30</v>
      </c>
      <c r="Y15" s="234" t="s">
        <v>595</v>
      </c>
      <c r="Z15" s="234" t="s">
        <v>591</v>
      </c>
      <c r="AA15" s="228" t="s">
        <v>708</v>
      </c>
      <c r="AB15" s="228">
        <v>1</v>
      </c>
      <c r="AC15" s="228">
        <v>6039</v>
      </c>
    </row>
    <row r="16" spans="2:29" s="140" customFormat="1" ht="30.75" x14ac:dyDescent="0.4">
      <c r="C16" s="140" t="s">
        <v>349</v>
      </c>
      <c r="D16" s="140" t="s">
        <v>570</v>
      </c>
      <c r="E16" s="215"/>
      <c r="F16" s="246"/>
      <c r="G16" s="315">
        <f t="shared" si="1"/>
        <v>0</v>
      </c>
      <c r="H16" s="246"/>
      <c r="I16" s="246"/>
      <c r="J16" s="246"/>
      <c r="K16" s="246"/>
      <c r="L16" s="246"/>
      <c r="M16" s="246"/>
      <c r="N16" s="246"/>
      <c r="P16" s="222"/>
      <c r="Q16" s="225" t="s">
        <v>543</v>
      </c>
      <c r="R16" s="255">
        <v>1</v>
      </c>
      <c r="S16" s="225" t="s">
        <v>211</v>
      </c>
      <c r="T16" s="223">
        <v>20</v>
      </c>
      <c r="U16" s="222">
        <v>2</v>
      </c>
      <c r="V16" s="223">
        <f t="shared" ref="V16:V20" si="2">T16*U16</f>
        <v>40</v>
      </c>
      <c r="Y16" s="206"/>
      <c r="Z16" s="181" t="s">
        <v>344</v>
      </c>
      <c r="AC16" s="140">
        <v>87.36</v>
      </c>
    </row>
    <row r="17" spans="2:29" s="140" customFormat="1" ht="30" customHeight="1" x14ac:dyDescent="0.4">
      <c r="C17" s="181" t="s">
        <v>584</v>
      </c>
      <c r="D17" s="181" t="s">
        <v>211</v>
      </c>
      <c r="E17" s="316">
        <v>800</v>
      </c>
      <c r="F17" s="246"/>
      <c r="G17" s="315">
        <f t="shared" si="1"/>
        <v>0</v>
      </c>
      <c r="H17" s="246"/>
      <c r="I17" s="246"/>
      <c r="J17" s="246"/>
      <c r="K17" s="246"/>
      <c r="L17" s="246"/>
      <c r="M17" s="246">
        <v>30</v>
      </c>
      <c r="N17" s="315">
        <f>E17/M17</f>
        <v>26.666666666666668</v>
      </c>
      <c r="P17" s="181" t="s">
        <v>556</v>
      </c>
      <c r="Q17" s="181" t="s">
        <v>557</v>
      </c>
      <c r="R17" s="254">
        <v>1</v>
      </c>
      <c r="S17" s="249" t="s">
        <v>211</v>
      </c>
      <c r="T17" s="217">
        <v>50</v>
      </c>
      <c r="U17" s="140">
        <v>1</v>
      </c>
      <c r="V17" s="217">
        <f t="shared" si="2"/>
        <v>50</v>
      </c>
      <c r="Y17" s="206"/>
      <c r="Z17" s="181" t="s">
        <v>349</v>
      </c>
      <c r="AC17" s="140">
        <v>6</v>
      </c>
    </row>
    <row r="18" spans="2:29" s="140" customFormat="1" x14ac:dyDescent="0.2">
      <c r="E18" s="215"/>
      <c r="F18" s="246"/>
      <c r="G18" s="315">
        <f t="shared" si="1"/>
        <v>0</v>
      </c>
      <c r="H18" s="246"/>
      <c r="I18" s="246"/>
      <c r="J18" s="246"/>
      <c r="K18" s="246"/>
      <c r="L18" s="246"/>
      <c r="M18" s="246"/>
      <c r="N18" s="246"/>
      <c r="Q18" s="181" t="s">
        <v>558</v>
      </c>
      <c r="R18" s="254"/>
      <c r="S18" s="249" t="s">
        <v>211</v>
      </c>
      <c r="T18" s="217"/>
      <c r="V18" s="217">
        <f t="shared" si="2"/>
        <v>0</v>
      </c>
      <c r="Z18" s="181" t="s">
        <v>578</v>
      </c>
      <c r="AC18" s="140">
        <v>1</v>
      </c>
    </row>
    <row r="19" spans="2:29" s="140" customFormat="1" ht="25.5" x14ac:dyDescent="0.2">
      <c r="B19" s="222"/>
      <c r="C19" s="222"/>
      <c r="D19" s="222"/>
      <c r="E19" s="317"/>
      <c r="F19" s="248"/>
      <c r="G19" s="322">
        <f t="shared" si="1"/>
        <v>0</v>
      </c>
      <c r="H19" s="248"/>
      <c r="I19" s="248"/>
      <c r="J19" s="248"/>
      <c r="K19" s="248"/>
      <c r="L19" s="248"/>
      <c r="M19" s="248"/>
      <c r="N19" s="248"/>
      <c r="P19" s="222"/>
      <c r="Q19" s="225" t="s">
        <v>559</v>
      </c>
      <c r="R19" s="255"/>
      <c r="S19" s="225" t="s">
        <v>211</v>
      </c>
      <c r="T19" s="223"/>
      <c r="U19" s="222"/>
      <c r="V19" s="223">
        <f t="shared" si="2"/>
        <v>0</v>
      </c>
      <c r="Z19" s="181" t="s">
        <v>592</v>
      </c>
      <c r="AC19" s="140">
        <v>1</v>
      </c>
    </row>
    <row r="20" spans="2:29" s="140" customFormat="1" ht="25.5" x14ac:dyDescent="0.2">
      <c r="B20" s="257" t="s">
        <v>540</v>
      </c>
      <c r="C20" s="181" t="s">
        <v>560</v>
      </c>
      <c r="D20" s="140" t="s">
        <v>570</v>
      </c>
      <c r="E20" s="215">
        <v>1600</v>
      </c>
      <c r="F20" s="246"/>
      <c r="G20" s="315">
        <f t="shared" si="1"/>
        <v>0</v>
      </c>
      <c r="H20" s="246"/>
      <c r="I20" s="246"/>
      <c r="J20" s="246"/>
      <c r="K20" s="246"/>
      <c r="L20" s="246"/>
      <c r="M20" s="246"/>
      <c r="N20" s="246"/>
      <c r="P20" s="181" t="s">
        <v>604</v>
      </c>
      <c r="R20" s="256"/>
      <c r="S20" s="227"/>
      <c r="T20" s="227"/>
      <c r="U20" s="227"/>
      <c r="V20" s="235">
        <f t="shared" si="2"/>
        <v>0</v>
      </c>
      <c r="X20" s="218"/>
      <c r="Z20" s="181" t="s">
        <v>351</v>
      </c>
      <c r="AC20" s="140">
        <v>1</v>
      </c>
    </row>
    <row r="21" spans="2:29" s="140" customFormat="1" ht="38.25" x14ac:dyDescent="0.2">
      <c r="C21" s="249" t="s">
        <v>536</v>
      </c>
      <c r="D21" s="249" t="s">
        <v>570</v>
      </c>
      <c r="E21" s="215" t="s">
        <v>531</v>
      </c>
      <c r="F21" s="246"/>
      <c r="G21" s="315" t="e">
        <f t="shared" si="1"/>
        <v>#VALUE!</v>
      </c>
      <c r="H21" s="246"/>
      <c r="I21" s="246"/>
      <c r="J21" s="246"/>
      <c r="K21" s="246"/>
      <c r="L21" s="246"/>
      <c r="M21" s="246"/>
      <c r="N21" s="246"/>
      <c r="P21" s="227" t="s">
        <v>353</v>
      </c>
      <c r="Q21" s="227" t="s">
        <v>355</v>
      </c>
      <c r="R21" s="256">
        <v>1</v>
      </c>
      <c r="S21" s="226" t="s">
        <v>211</v>
      </c>
      <c r="T21" s="227"/>
      <c r="U21" s="227"/>
      <c r="V21" s="235">
        <f>T21*U21</f>
        <v>0</v>
      </c>
      <c r="X21" s="218"/>
      <c r="Y21" s="222"/>
      <c r="Z21" s="225" t="s">
        <v>586</v>
      </c>
      <c r="AA21" s="222"/>
      <c r="AB21" s="222"/>
      <c r="AC21" s="222">
        <v>1</v>
      </c>
    </row>
    <row r="22" spans="2:29" s="140" customFormat="1" ht="38.25" x14ac:dyDescent="0.2">
      <c r="C22" s="181" t="s">
        <v>582</v>
      </c>
      <c r="D22" s="181" t="s">
        <v>581</v>
      </c>
      <c r="E22" s="316" t="s">
        <v>531</v>
      </c>
      <c r="F22" s="246">
        <v>1</v>
      </c>
      <c r="G22" s="315" t="e">
        <f t="shared" si="1"/>
        <v>#VALUE!</v>
      </c>
      <c r="H22" s="246" t="s">
        <v>360</v>
      </c>
      <c r="I22" s="246" t="s">
        <v>358</v>
      </c>
      <c r="J22" s="246" t="s">
        <v>359</v>
      </c>
      <c r="K22" s="246"/>
      <c r="L22" s="246"/>
      <c r="M22" s="246"/>
      <c r="N22" s="246"/>
      <c r="P22" s="226" t="s">
        <v>593</v>
      </c>
      <c r="Q22" s="226" t="s">
        <v>594</v>
      </c>
      <c r="R22" s="256">
        <v>1</v>
      </c>
      <c r="S22" s="226" t="s">
        <v>211</v>
      </c>
      <c r="T22" s="227">
        <v>50</v>
      </c>
      <c r="U22" s="227">
        <v>5</v>
      </c>
      <c r="V22" s="235">
        <f>T22*U22</f>
        <v>250</v>
      </c>
      <c r="AC22" s="140">
        <f>SUM(AC9:AC21)</f>
        <v>15076.45</v>
      </c>
    </row>
    <row r="23" spans="2:29" s="140" customFormat="1" ht="38.25" x14ac:dyDescent="0.2">
      <c r="C23" s="181" t="s">
        <v>579</v>
      </c>
      <c r="D23" s="181" t="s">
        <v>211</v>
      </c>
      <c r="E23" s="316"/>
      <c r="F23" s="246"/>
      <c r="G23" s="315">
        <f t="shared" si="1"/>
        <v>0</v>
      </c>
      <c r="H23" s="246"/>
      <c r="I23" s="246"/>
      <c r="J23" s="246"/>
      <c r="K23" s="246"/>
      <c r="L23" s="246"/>
      <c r="M23" s="246"/>
      <c r="N23" s="246"/>
      <c r="P23" s="227" t="s">
        <v>573</v>
      </c>
      <c r="Q23" s="227"/>
      <c r="R23" s="256"/>
      <c r="S23" s="227"/>
      <c r="T23" s="227"/>
      <c r="U23" s="227"/>
      <c r="V23" s="227"/>
    </row>
    <row r="24" spans="2:29" s="140" customFormat="1" ht="76.5" x14ac:dyDescent="0.2">
      <c r="C24" s="140" t="s">
        <v>352</v>
      </c>
      <c r="D24" s="181" t="s">
        <v>583</v>
      </c>
      <c r="E24" s="215" t="s">
        <v>531</v>
      </c>
      <c r="F24" s="246">
        <v>1</v>
      </c>
      <c r="G24" s="315" t="e">
        <f t="shared" si="1"/>
        <v>#VALUE!</v>
      </c>
      <c r="H24" s="246" t="s">
        <v>360</v>
      </c>
      <c r="I24" s="246"/>
      <c r="J24" s="246"/>
      <c r="K24" s="246"/>
      <c r="L24" s="246"/>
      <c r="M24" s="246"/>
      <c r="N24" s="246"/>
      <c r="P24" s="181" t="s">
        <v>347</v>
      </c>
      <c r="Q24" s="181" t="s">
        <v>502</v>
      </c>
      <c r="T24" s="236">
        <v>5.7000000000000002E-2</v>
      </c>
    </row>
    <row r="25" spans="2:29" s="140" customFormat="1" ht="51" x14ac:dyDescent="0.2">
      <c r="C25" s="140" t="s">
        <v>340</v>
      </c>
      <c r="D25" s="181" t="s">
        <v>211</v>
      </c>
      <c r="E25" s="215"/>
      <c r="F25" s="246"/>
      <c r="G25" s="315">
        <f t="shared" si="1"/>
        <v>0</v>
      </c>
      <c r="H25" s="246"/>
      <c r="I25" s="246"/>
      <c r="J25" s="246"/>
      <c r="K25" s="246"/>
      <c r="L25" s="246"/>
      <c r="M25" s="246"/>
      <c r="N25" s="246"/>
      <c r="Q25" s="181" t="s">
        <v>504</v>
      </c>
      <c r="T25" s="236">
        <v>0.17499999999999999</v>
      </c>
    </row>
    <row r="26" spans="2:29" s="140" customFormat="1" ht="38.25" x14ac:dyDescent="0.2">
      <c r="C26" s="140" t="s">
        <v>341</v>
      </c>
      <c r="D26" s="181" t="s">
        <v>211</v>
      </c>
      <c r="E26" s="215"/>
      <c r="F26" s="246"/>
      <c r="G26" s="315">
        <f t="shared" si="1"/>
        <v>0</v>
      </c>
      <c r="H26" s="246"/>
      <c r="I26" s="246"/>
      <c r="J26" s="246"/>
      <c r="K26" s="246"/>
      <c r="L26" s="246"/>
      <c r="M26" s="246"/>
      <c r="N26" s="246"/>
      <c r="Q26" s="181" t="s">
        <v>506</v>
      </c>
      <c r="T26" s="236">
        <v>0.20799999999999999</v>
      </c>
    </row>
    <row r="27" spans="2:29" s="140" customFormat="1" ht="63.75" x14ac:dyDescent="0.2">
      <c r="C27" s="140" t="s">
        <v>342</v>
      </c>
      <c r="D27" s="140" t="s">
        <v>350</v>
      </c>
      <c r="E27" s="215" t="s">
        <v>531</v>
      </c>
      <c r="F27" s="246"/>
      <c r="G27" s="315" t="e">
        <f t="shared" si="1"/>
        <v>#VALUE!</v>
      </c>
      <c r="H27" s="246" t="s">
        <v>360</v>
      </c>
      <c r="I27" s="246"/>
      <c r="J27" s="246"/>
      <c r="K27" s="246"/>
      <c r="L27" s="246"/>
      <c r="M27" s="246"/>
      <c r="N27" s="246"/>
      <c r="Q27" s="181" t="s">
        <v>508</v>
      </c>
      <c r="T27" s="236">
        <v>0.438</v>
      </c>
    </row>
    <row r="28" spans="2:29" s="140" customFormat="1" ht="63.75" x14ac:dyDescent="0.2">
      <c r="C28" s="140" t="s">
        <v>344</v>
      </c>
      <c r="D28" s="140" t="s">
        <v>570</v>
      </c>
      <c r="E28" s="215"/>
      <c r="F28" s="246">
        <v>1</v>
      </c>
      <c r="G28" s="315">
        <f t="shared" si="1"/>
        <v>0</v>
      </c>
      <c r="H28" s="246" t="s">
        <v>360</v>
      </c>
      <c r="I28" s="246"/>
      <c r="J28" s="246"/>
      <c r="K28" s="246"/>
      <c r="L28" s="246"/>
      <c r="M28" s="246"/>
      <c r="N28" s="246"/>
      <c r="Q28" s="181" t="s">
        <v>510</v>
      </c>
      <c r="R28" s="238" t="s">
        <v>597</v>
      </c>
      <c r="T28" s="236">
        <v>0.747</v>
      </c>
    </row>
    <row r="29" spans="2:29" s="140" customFormat="1" ht="25.5" x14ac:dyDescent="0.2">
      <c r="C29" s="140" t="s">
        <v>351</v>
      </c>
      <c r="D29" s="181" t="s">
        <v>211</v>
      </c>
      <c r="E29" s="215"/>
      <c r="F29" s="246"/>
      <c r="G29" s="315">
        <f t="shared" si="1"/>
        <v>0</v>
      </c>
      <c r="H29" s="246"/>
      <c r="I29" s="246"/>
      <c r="J29" s="246"/>
      <c r="K29" s="246"/>
      <c r="L29" s="246"/>
      <c r="M29" s="246"/>
      <c r="N29" s="246"/>
      <c r="Q29" s="181" t="s">
        <v>345</v>
      </c>
      <c r="T29" s="236">
        <v>0.18</v>
      </c>
    </row>
    <row r="30" spans="2:29" s="140" customFormat="1" ht="38.25" x14ac:dyDescent="0.2">
      <c r="C30" s="140" t="s">
        <v>532</v>
      </c>
      <c r="D30" s="140" t="s">
        <v>533</v>
      </c>
      <c r="E30" s="215"/>
      <c r="F30" s="246"/>
      <c r="G30" s="315">
        <f t="shared" si="1"/>
        <v>0</v>
      </c>
      <c r="H30" s="246"/>
      <c r="I30" s="246"/>
      <c r="J30" s="246"/>
      <c r="K30" s="246"/>
      <c r="L30" s="246"/>
      <c r="M30" s="246"/>
      <c r="N30" s="246"/>
      <c r="Q30" s="181" t="s">
        <v>513</v>
      </c>
      <c r="T30" s="236">
        <v>5.1999999999999998E-2</v>
      </c>
    </row>
    <row r="31" spans="2:29" s="140" customFormat="1" ht="25.5" x14ac:dyDescent="0.2">
      <c r="B31" s="222"/>
      <c r="C31" s="222" t="s">
        <v>349</v>
      </c>
      <c r="D31" s="222" t="s">
        <v>570</v>
      </c>
      <c r="E31" s="317">
        <v>10</v>
      </c>
      <c r="F31" s="248"/>
      <c r="G31" s="322">
        <f t="shared" si="1"/>
        <v>0</v>
      </c>
      <c r="H31" s="248"/>
      <c r="I31" s="248"/>
      <c r="J31" s="248"/>
      <c r="K31" s="248"/>
      <c r="L31" s="248"/>
      <c r="M31" s="248"/>
      <c r="N31" s="248"/>
      <c r="Q31" s="181" t="s">
        <v>596</v>
      </c>
      <c r="T31" s="236">
        <v>0.25</v>
      </c>
    </row>
    <row r="32" spans="2:29" s="140" customFormat="1" ht="51" x14ac:dyDescent="0.2">
      <c r="B32" s="258" t="s">
        <v>556</v>
      </c>
      <c r="C32" s="227" t="s">
        <v>539</v>
      </c>
      <c r="D32" s="227" t="s">
        <v>211</v>
      </c>
      <c r="E32" s="318">
        <v>5000</v>
      </c>
      <c r="F32" s="248">
        <v>1</v>
      </c>
      <c r="G32" s="322">
        <f t="shared" si="1"/>
        <v>5000</v>
      </c>
      <c r="H32" s="319"/>
      <c r="I32" s="319"/>
      <c r="J32" s="319"/>
      <c r="K32" s="319"/>
      <c r="L32" s="319"/>
      <c r="M32" s="319"/>
      <c r="N32" s="319"/>
      <c r="Q32" s="181" t="s">
        <v>482</v>
      </c>
      <c r="T32" s="237" t="s">
        <v>598</v>
      </c>
    </row>
    <row r="33" spans="2:22" s="140" customFormat="1" ht="25.5" x14ac:dyDescent="0.2">
      <c r="B33" s="330" t="s">
        <v>544</v>
      </c>
      <c r="C33" s="220" t="s">
        <v>542</v>
      </c>
      <c r="D33" s="220"/>
      <c r="E33" s="320"/>
      <c r="F33" s="216"/>
      <c r="G33" s="315">
        <f t="shared" si="1"/>
        <v>0</v>
      </c>
      <c r="H33" s="216"/>
      <c r="I33" s="216"/>
      <c r="J33" s="216"/>
      <c r="K33" s="216"/>
      <c r="L33" s="216"/>
      <c r="M33" s="216"/>
      <c r="N33" s="216"/>
      <c r="Q33" s="181" t="s">
        <v>599</v>
      </c>
      <c r="R33" s="181" t="s">
        <v>600</v>
      </c>
    </row>
    <row r="34" spans="2:22" s="140" customFormat="1" ht="25.5" x14ac:dyDescent="0.2">
      <c r="B34" s="331"/>
      <c r="C34" s="225" t="s">
        <v>555</v>
      </c>
      <c r="D34" s="222"/>
      <c r="E34" s="317"/>
      <c r="F34" s="248"/>
      <c r="G34" s="322">
        <f t="shared" si="1"/>
        <v>0</v>
      </c>
      <c r="H34" s="248"/>
      <c r="I34" s="248"/>
      <c r="J34" s="248"/>
      <c r="K34" s="248"/>
      <c r="L34" s="248"/>
      <c r="M34" s="248"/>
      <c r="N34" s="248"/>
      <c r="P34" s="234" t="s">
        <v>601</v>
      </c>
      <c r="Q34" s="234" t="s">
        <v>185</v>
      </c>
      <c r="R34" s="228"/>
      <c r="S34" s="228"/>
      <c r="T34" s="228"/>
      <c r="U34" s="228"/>
      <c r="V34" s="228"/>
    </row>
    <row r="35" spans="2:22" s="140" customFormat="1" x14ac:dyDescent="0.2">
      <c r="B35" s="257" t="s">
        <v>357</v>
      </c>
      <c r="C35" s="140" t="s">
        <v>549</v>
      </c>
      <c r="E35" s="215"/>
      <c r="F35" s="246"/>
      <c r="G35" s="315">
        <f t="shared" si="1"/>
        <v>0</v>
      </c>
      <c r="H35" s="246"/>
      <c r="I35" s="246"/>
      <c r="J35" s="246"/>
      <c r="K35" s="246"/>
      <c r="L35" s="246"/>
      <c r="M35" s="246"/>
      <c r="N35" s="246"/>
      <c r="P35" s="220"/>
      <c r="Q35" s="229" t="s">
        <v>186</v>
      </c>
      <c r="R35" s="220"/>
      <c r="S35" s="220"/>
      <c r="T35" s="220"/>
      <c r="U35" s="220"/>
      <c r="V35" s="220"/>
    </row>
    <row r="36" spans="2:22" s="140" customFormat="1" x14ac:dyDescent="0.2">
      <c r="B36" s="257"/>
      <c r="C36" s="140" t="s">
        <v>548</v>
      </c>
      <c r="E36" s="215"/>
      <c r="F36" s="246"/>
      <c r="G36" s="315">
        <f t="shared" si="1"/>
        <v>0</v>
      </c>
      <c r="H36" s="246"/>
      <c r="I36" s="246"/>
      <c r="J36" s="246"/>
      <c r="K36" s="246"/>
      <c r="L36" s="246"/>
      <c r="M36" s="246"/>
      <c r="N36" s="246"/>
      <c r="P36" s="220"/>
      <c r="Q36" s="229" t="s">
        <v>602</v>
      </c>
      <c r="R36" s="220"/>
      <c r="S36" s="220"/>
      <c r="T36" s="220"/>
      <c r="U36" s="220"/>
      <c r="V36" s="220"/>
    </row>
    <row r="37" spans="2:22" s="140" customFormat="1" x14ac:dyDescent="0.2">
      <c r="B37" s="259"/>
      <c r="C37" s="220" t="s">
        <v>547</v>
      </c>
      <c r="D37" s="220"/>
      <c r="E37" s="320"/>
      <c r="F37" s="216"/>
      <c r="G37" s="315">
        <f t="shared" si="1"/>
        <v>0</v>
      </c>
      <c r="H37" s="216"/>
      <c r="I37" s="216"/>
      <c r="J37" s="216"/>
      <c r="K37" s="216"/>
      <c r="L37" s="216"/>
      <c r="M37" s="216"/>
      <c r="N37" s="216"/>
      <c r="P37" s="220"/>
      <c r="Q37" s="229" t="s">
        <v>591</v>
      </c>
      <c r="R37" s="220"/>
      <c r="S37" s="220"/>
      <c r="T37" s="220"/>
      <c r="U37" s="220"/>
      <c r="V37" s="220"/>
    </row>
    <row r="38" spans="2:22" s="140" customFormat="1" x14ac:dyDescent="0.2">
      <c r="B38" s="259"/>
      <c r="C38" s="220" t="s">
        <v>546</v>
      </c>
      <c r="D38" s="220"/>
      <c r="E38" s="320"/>
      <c r="F38" s="216"/>
      <c r="G38" s="315">
        <f t="shared" si="1"/>
        <v>0</v>
      </c>
      <c r="H38" s="216"/>
      <c r="I38" s="216"/>
      <c r="J38" s="216"/>
      <c r="K38" s="216"/>
      <c r="L38" s="216"/>
      <c r="M38" s="216"/>
      <c r="N38" s="216"/>
      <c r="P38" s="222"/>
      <c r="Q38" s="225" t="s">
        <v>184</v>
      </c>
      <c r="R38" s="222"/>
      <c r="S38" s="222"/>
      <c r="T38" s="222"/>
      <c r="U38" s="222"/>
      <c r="V38" s="222"/>
    </row>
    <row r="39" spans="2:22" s="140" customFormat="1" x14ac:dyDescent="0.2">
      <c r="B39" s="260"/>
      <c r="C39" s="222" t="s">
        <v>545</v>
      </c>
      <c r="D39" s="222"/>
      <c r="E39" s="317"/>
      <c r="F39" s="248"/>
      <c r="G39" s="322">
        <f t="shared" si="1"/>
        <v>0</v>
      </c>
      <c r="H39" s="248"/>
      <c r="I39" s="248"/>
      <c r="J39" s="248"/>
      <c r="K39" s="248"/>
      <c r="L39" s="248"/>
      <c r="M39" s="248"/>
      <c r="N39" s="248"/>
      <c r="P39" s="76" t="s">
        <v>194</v>
      </c>
      <c r="Q39" s="76" t="s">
        <v>195</v>
      </c>
    </row>
    <row r="40" spans="2:22" s="140" customFormat="1" x14ac:dyDescent="0.2">
      <c r="B40" s="257" t="s">
        <v>356</v>
      </c>
      <c r="C40" s="140" t="s">
        <v>551</v>
      </c>
      <c r="E40" s="215"/>
      <c r="F40" s="246"/>
      <c r="G40" s="315">
        <f t="shared" si="1"/>
        <v>0</v>
      </c>
      <c r="H40" s="246"/>
      <c r="I40" s="246"/>
      <c r="J40" s="246"/>
      <c r="K40" s="246"/>
      <c r="L40" s="246"/>
      <c r="M40" s="246"/>
      <c r="N40" s="246"/>
      <c r="Q40" s="76" t="s">
        <v>196</v>
      </c>
    </row>
    <row r="41" spans="2:22" s="140" customFormat="1" x14ac:dyDescent="0.2">
      <c r="B41" s="257"/>
      <c r="C41" s="140" t="s">
        <v>550</v>
      </c>
      <c r="E41" s="215"/>
      <c r="F41" s="246"/>
      <c r="G41" s="315">
        <f t="shared" si="1"/>
        <v>0</v>
      </c>
      <c r="H41" s="246"/>
      <c r="I41" s="246"/>
      <c r="J41" s="246"/>
      <c r="K41" s="246"/>
      <c r="L41" s="246"/>
      <c r="M41" s="246"/>
      <c r="N41" s="246"/>
      <c r="Q41" s="76" t="s">
        <v>197</v>
      </c>
    </row>
    <row r="42" spans="2:22" s="140" customFormat="1" x14ac:dyDescent="0.2">
      <c r="B42" s="260"/>
      <c r="C42" s="222" t="s">
        <v>552</v>
      </c>
      <c r="D42" s="222"/>
      <c r="E42" s="317"/>
      <c r="F42" s="248"/>
      <c r="G42" s="322">
        <f t="shared" si="1"/>
        <v>0</v>
      </c>
      <c r="H42" s="248"/>
      <c r="I42" s="248"/>
      <c r="J42" s="248"/>
      <c r="K42" s="248"/>
      <c r="L42" s="248"/>
      <c r="M42" s="248"/>
      <c r="N42" s="248"/>
      <c r="Q42" s="76" t="s">
        <v>198</v>
      </c>
    </row>
    <row r="43" spans="2:22" s="140" customFormat="1" x14ac:dyDescent="0.2">
      <c r="B43" s="261" t="s">
        <v>335</v>
      </c>
      <c r="C43" s="228" t="s">
        <v>473</v>
      </c>
      <c r="D43" s="228"/>
      <c r="E43" s="321"/>
      <c r="F43" s="247"/>
      <c r="G43" s="315">
        <f t="shared" si="1"/>
        <v>0</v>
      </c>
      <c r="H43" s="247"/>
      <c r="I43" s="247"/>
      <c r="J43" s="247"/>
      <c r="K43" s="247"/>
      <c r="L43" s="247"/>
      <c r="M43" s="247"/>
      <c r="N43" s="247"/>
      <c r="Q43" s="76" t="s">
        <v>199</v>
      </c>
    </row>
    <row r="44" spans="2:22" s="140" customFormat="1" x14ac:dyDescent="0.2">
      <c r="B44" s="260"/>
      <c r="C44" s="222" t="s">
        <v>186</v>
      </c>
      <c r="D44" s="222"/>
      <c r="E44" s="317"/>
      <c r="F44" s="248"/>
      <c r="G44" s="322">
        <f t="shared" si="1"/>
        <v>0</v>
      </c>
      <c r="H44" s="248"/>
      <c r="I44" s="248"/>
      <c r="J44" s="248"/>
      <c r="K44" s="248"/>
      <c r="L44" s="248"/>
      <c r="M44" s="248"/>
      <c r="N44" s="248"/>
    </row>
    <row r="45" spans="2:22" s="140" customFormat="1" x14ac:dyDescent="0.2">
      <c r="B45" s="257" t="s">
        <v>332</v>
      </c>
      <c r="C45" s="140" t="s">
        <v>538</v>
      </c>
      <c r="D45" s="140" t="s">
        <v>537</v>
      </c>
      <c r="E45" s="215">
        <f>611346.584980306/100000</f>
        <v>6.1134658498030596</v>
      </c>
      <c r="F45" s="246">
        <v>100000</v>
      </c>
      <c r="G45" s="315">
        <f>E45*F45</f>
        <v>611346.58498030598</v>
      </c>
      <c r="H45" s="246"/>
      <c r="I45" s="246"/>
      <c r="J45" s="246"/>
      <c r="K45" s="246"/>
      <c r="L45" s="246"/>
      <c r="M45" s="246"/>
      <c r="N45" s="246"/>
    </row>
    <row r="46" spans="2:22" x14ac:dyDescent="0.2">
      <c r="C46" s="140"/>
    </row>
    <row r="47" spans="2:22" x14ac:dyDescent="0.2">
      <c r="C47" s="140"/>
    </row>
  </sheetData>
  <mergeCells count="3">
    <mergeCell ref="B1:N1"/>
    <mergeCell ref="P1:V1"/>
    <mergeCell ref="B33:B34"/>
  </mergeCells>
  <pageMargins left="0.7" right="0.7" top="0.75" bottom="0.75" header="0.3" footer="0.3"/>
  <pageSetup paperSize="9" orientation="portrait" horizontalDpi="200" verticalDpi="200" copies="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958C-B3B7-4AD3-9EF3-AD676EDB9169}">
  <dimension ref="C2:H27"/>
  <sheetViews>
    <sheetView topLeftCell="A2" zoomScale="80" zoomScaleNormal="80" workbookViewId="0">
      <pane ySplit="1" topLeftCell="A9" activePane="bottomLeft" state="frozen"/>
      <selection activeCell="B2" sqref="B2"/>
      <selection pane="bottomLeft" activeCell="E21" sqref="E21"/>
    </sheetView>
  </sheetViews>
  <sheetFormatPr baseColWidth="10" defaultRowHeight="20.25" x14ac:dyDescent="0.3"/>
  <cols>
    <col min="3" max="3" width="28.7109375" customWidth="1"/>
    <col min="4" max="4" width="35.85546875" style="200" customWidth="1"/>
    <col min="7" max="7" width="81.28515625" style="191" customWidth="1"/>
    <col min="8" max="8" width="16.140625" style="197" bestFit="1" customWidth="1"/>
  </cols>
  <sheetData>
    <row r="2" spans="3:8" ht="54" customHeight="1" thickBot="1" x14ac:dyDescent="0.25">
      <c r="C2" s="184" t="s">
        <v>485</v>
      </c>
      <c r="D2" s="201" t="s">
        <v>484</v>
      </c>
      <c r="G2" s="184" t="s">
        <v>485</v>
      </c>
      <c r="H2" s="201" t="s">
        <v>484</v>
      </c>
    </row>
    <row r="3" spans="3:8" ht="60.75" thickBot="1" x14ac:dyDescent="0.25">
      <c r="C3" s="185" t="s">
        <v>478</v>
      </c>
      <c r="D3" s="202" t="s">
        <v>479</v>
      </c>
      <c r="G3" s="192"/>
      <c r="H3" s="198"/>
    </row>
    <row r="4" spans="3:8" ht="21" thickBot="1" x14ac:dyDescent="0.25">
      <c r="C4" s="185" t="s">
        <v>474</v>
      </c>
      <c r="D4" s="202" t="s">
        <v>475</v>
      </c>
      <c r="E4" s="186"/>
      <c r="F4" s="186"/>
      <c r="G4" s="193" t="s">
        <v>561</v>
      </c>
      <c r="H4" s="199" t="s">
        <v>490</v>
      </c>
    </row>
    <row r="5" spans="3:8" ht="45.75" thickBot="1" x14ac:dyDescent="0.25">
      <c r="C5" s="185" t="s">
        <v>476</v>
      </c>
      <c r="D5" s="202" t="s">
        <v>477</v>
      </c>
      <c r="E5" s="187"/>
      <c r="F5" s="187"/>
      <c r="G5" s="192" t="s">
        <v>491</v>
      </c>
      <c r="H5" s="198"/>
    </row>
    <row r="6" spans="3:8" ht="45.75" thickBot="1" x14ac:dyDescent="0.25">
      <c r="C6" s="185" t="s">
        <v>480</v>
      </c>
      <c r="D6" s="202" t="s">
        <v>481</v>
      </c>
      <c r="E6" s="188"/>
      <c r="F6" s="189"/>
      <c r="G6" s="194" t="s">
        <v>492</v>
      </c>
      <c r="H6" s="199" t="s">
        <v>493</v>
      </c>
    </row>
    <row r="7" spans="3:8" ht="21" thickBot="1" x14ac:dyDescent="0.25">
      <c r="G7" s="195" t="s">
        <v>494</v>
      </c>
      <c r="H7" s="199" t="s">
        <v>495</v>
      </c>
    </row>
    <row r="8" spans="3:8" ht="60.75" thickBot="1" x14ac:dyDescent="0.25">
      <c r="C8" s="183" t="s">
        <v>486</v>
      </c>
      <c r="D8" s="203" t="s">
        <v>487</v>
      </c>
      <c r="E8" s="190"/>
      <c r="G8" s="192" t="s">
        <v>496</v>
      </c>
      <c r="H8" s="198"/>
    </row>
    <row r="9" spans="3:8" ht="31.5" thickBot="1" x14ac:dyDescent="0.45">
      <c r="C9" s="190" t="s">
        <v>488</v>
      </c>
      <c r="D9" s="206" t="s">
        <v>525</v>
      </c>
      <c r="E9" s="332" t="s">
        <v>526</v>
      </c>
      <c r="G9" s="196" t="s">
        <v>497</v>
      </c>
      <c r="H9" s="199" t="s">
        <v>498</v>
      </c>
    </row>
    <row r="10" spans="3:8" ht="45.75" thickBot="1" x14ac:dyDescent="0.45">
      <c r="C10" s="183" t="s">
        <v>489</v>
      </c>
      <c r="D10" s="206" t="s">
        <v>524</v>
      </c>
      <c r="E10" s="333"/>
      <c r="G10" s="204" t="s">
        <v>499</v>
      </c>
      <c r="H10" s="199" t="s">
        <v>500</v>
      </c>
    </row>
    <row r="11" spans="3:8" x14ac:dyDescent="0.2">
      <c r="E11" s="207">
        <v>2016</v>
      </c>
      <c r="G11" s="192" t="s">
        <v>501</v>
      </c>
      <c r="H11" s="198"/>
    </row>
    <row r="12" spans="3:8" x14ac:dyDescent="0.2">
      <c r="C12" t="s">
        <v>520</v>
      </c>
      <c r="G12" s="196" t="s">
        <v>502</v>
      </c>
      <c r="H12" s="199" t="s">
        <v>503</v>
      </c>
    </row>
    <row r="13" spans="3:8" x14ac:dyDescent="0.2">
      <c r="G13" s="196" t="s">
        <v>504</v>
      </c>
      <c r="H13" s="199" t="s">
        <v>505</v>
      </c>
    </row>
    <row r="14" spans="3:8" x14ac:dyDescent="0.2">
      <c r="G14" s="196" t="s">
        <v>506</v>
      </c>
      <c r="H14" s="199" t="s">
        <v>507</v>
      </c>
    </row>
    <row r="15" spans="3:8" x14ac:dyDescent="0.2">
      <c r="C15" t="s">
        <v>521</v>
      </c>
      <c r="D15" s="200" t="s">
        <v>522</v>
      </c>
      <c r="G15" s="196" t="s">
        <v>508</v>
      </c>
      <c r="H15" s="199" t="s">
        <v>509</v>
      </c>
    </row>
    <row r="16" spans="3:8" x14ac:dyDescent="0.2">
      <c r="C16" t="s">
        <v>523</v>
      </c>
      <c r="D16">
        <v>105927</v>
      </c>
      <c r="G16" s="196" t="s">
        <v>510</v>
      </c>
      <c r="H16" s="199" t="s">
        <v>511</v>
      </c>
    </row>
    <row r="17" spans="7:8" x14ac:dyDescent="0.2">
      <c r="G17" s="196" t="s">
        <v>345</v>
      </c>
      <c r="H17" s="199" t="s">
        <v>516</v>
      </c>
    </row>
    <row r="18" spans="7:8" x14ac:dyDescent="0.2">
      <c r="G18" s="192" t="s">
        <v>512</v>
      </c>
      <c r="H18" s="198"/>
    </row>
    <row r="19" spans="7:8" x14ac:dyDescent="0.2">
      <c r="G19" s="196" t="s">
        <v>513</v>
      </c>
      <c r="H19" s="199" t="s">
        <v>514</v>
      </c>
    </row>
    <row r="20" spans="7:8" x14ac:dyDescent="0.2">
      <c r="G20" s="192" t="s">
        <v>515</v>
      </c>
      <c r="H20" s="198"/>
    </row>
    <row r="21" spans="7:8" x14ac:dyDescent="0.3">
      <c r="G21" s="191" t="s">
        <v>517</v>
      </c>
      <c r="H21" s="197" t="s">
        <v>518</v>
      </c>
    </row>
    <row r="22" spans="7:8" ht="21" thickBot="1" x14ac:dyDescent="0.35"/>
    <row r="23" spans="7:8" ht="45.75" thickBot="1" x14ac:dyDescent="0.25">
      <c r="G23" s="185" t="s">
        <v>482</v>
      </c>
      <c r="H23" s="202" t="s">
        <v>483</v>
      </c>
    </row>
    <row r="27" spans="7:8" x14ac:dyDescent="0.3">
      <c r="G27" s="191" t="s">
        <v>519</v>
      </c>
      <c r="H27" s="205">
        <v>2020</v>
      </c>
    </row>
  </sheetData>
  <mergeCells count="1">
    <mergeCell ref="E9:E10"/>
  </mergeCells>
  <hyperlinks>
    <hyperlink ref="E9" r:id="rId1" xr:uid="{692FBDD3-EA38-4760-AF63-CE1F44B3F17C}"/>
  </hyperlinks>
  <pageMargins left="0.7" right="0.7" top="0.75" bottom="0.75" header="0.3" footer="0.3"/>
  <pageSetup paperSize="9" orientation="portrait" horizontalDpi="200" verticalDpi="200" copies="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D9613-AE74-425F-A3D2-AC4293DC193E}">
  <dimension ref="A1:N114"/>
  <sheetViews>
    <sheetView topLeftCell="B1" workbookViewId="0">
      <selection activeCell="B1" sqref="A1:XFD1048576"/>
    </sheetView>
  </sheetViews>
  <sheetFormatPr baseColWidth="10" defaultRowHeight="12.75" x14ac:dyDescent="0.2"/>
  <cols>
    <col min="2" max="2" width="53.28515625" bestFit="1" customWidth="1"/>
    <col min="3" max="3" width="18.42578125" style="76" bestFit="1" customWidth="1"/>
    <col min="5" max="5" width="11.7109375" style="77" bestFit="1" customWidth="1"/>
    <col min="6" max="6" width="11.42578125" style="77"/>
    <col min="7" max="7" width="11.42578125" style="76"/>
    <col min="8" max="9" width="11.42578125" style="87"/>
    <col min="10" max="10" width="13" style="76" customWidth="1"/>
    <col min="11" max="11" width="13.5703125" style="81" customWidth="1"/>
  </cols>
  <sheetData>
    <row r="1" spans="1:13" ht="38.25" x14ac:dyDescent="0.2">
      <c r="A1" s="66"/>
      <c r="B1" s="66" t="s">
        <v>91</v>
      </c>
      <c r="C1" s="67" t="s">
        <v>92</v>
      </c>
      <c r="D1" s="68" t="s">
        <v>93</v>
      </c>
      <c r="E1" s="69" t="s">
        <v>94</v>
      </c>
      <c r="F1" s="70" t="s">
        <v>95</v>
      </c>
      <c r="G1" s="71" t="s">
        <v>96</v>
      </c>
      <c r="H1" s="72" t="s">
        <v>97</v>
      </c>
      <c r="I1" s="73" t="s">
        <v>98</v>
      </c>
      <c r="J1" s="74" t="s">
        <v>99</v>
      </c>
      <c r="K1" s="75" t="s">
        <v>100</v>
      </c>
    </row>
    <row r="2" spans="1:13" ht="15" x14ac:dyDescent="0.25">
      <c r="B2" t="s">
        <v>101</v>
      </c>
      <c r="C2" s="76">
        <v>1000</v>
      </c>
      <c r="D2" s="77">
        <f>+F2/0.9</f>
        <v>12.809209111111111</v>
      </c>
      <c r="E2" s="76">
        <f t="shared" ref="E2:E65" si="0">+C2*D2</f>
        <v>12809.209111111111</v>
      </c>
      <c r="F2" s="78">
        <v>11.5282882</v>
      </c>
      <c r="G2" s="76">
        <f t="shared" ref="G2:G65" si="1">+E2-C2*F2</f>
        <v>1280.9209111111104</v>
      </c>
      <c r="H2" s="79">
        <f t="shared" ref="H2:H65" si="2">+G2/E2</f>
        <v>9.999999999999995E-2</v>
      </c>
      <c r="I2" s="80">
        <f t="shared" ref="I2:I65" si="3">+C2*$D$114</f>
        <v>585.33333333333337</v>
      </c>
      <c r="J2" s="76">
        <f t="shared" ref="J2:J65" si="4">+G2-I2</f>
        <v>695.58757777777703</v>
      </c>
      <c r="K2" s="81">
        <f t="shared" ref="K2:K65" si="5">+J2/E2</f>
        <v>5.430371006859451E-2</v>
      </c>
      <c r="M2">
        <f>+D2*0.88</f>
        <v>11.272104017777778</v>
      </c>
    </row>
    <row r="3" spans="1:13" ht="15" x14ac:dyDescent="0.25">
      <c r="B3" t="s">
        <v>102</v>
      </c>
      <c r="C3" s="76">
        <v>1250</v>
      </c>
      <c r="D3" s="77">
        <f>+F3/0.86</f>
        <v>6.4466727906976748</v>
      </c>
      <c r="E3" s="76">
        <f t="shared" si="0"/>
        <v>8058.3409883720933</v>
      </c>
      <c r="F3" s="78">
        <v>5.5441386000000001</v>
      </c>
      <c r="G3" s="76">
        <f t="shared" si="1"/>
        <v>1128.1677383720935</v>
      </c>
      <c r="H3" s="79">
        <f t="shared" si="2"/>
        <v>0.14000000000000004</v>
      </c>
      <c r="I3" s="80">
        <f t="shared" si="3"/>
        <v>731.66666666666674</v>
      </c>
      <c r="J3" s="76">
        <f t="shared" si="4"/>
        <v>396.50107170542674</v>
      </c>
      <c r="K3" s="81">
        <f t="shared" si="5"/>
        <v>4.9203809106311593E-2</v>
      </c>
      <c r="M3">
        <f t="shared" ref="M3:M66" si="6">+D3*0.88</f>
        <v>5.6730720558139538</v>
      </c>
    </row>
    <row r="4" spans="1:13" ht="15" x14ac:dyDescent="0.25">
      <c r="B4" t="s">
        <v>103</v>
      </c>
      <c r="C4" s="76">
        <v>1250</v>
      </c>
      <c r="D4" s="77">
        <f>+F4/0.86</f>
        <v>6.3955087209302341</v>
      </c>
      <c r="E4" s="76">
        <f t="shared" si="0"/>
        <v>7994.3859011627928</v>
      </c>
      <c r="F4" s="78">
        <v>5.500137500000001</v>
      </c>
      <c r="G4" s="76">
        <f t="shared" si="1"/>
        <v>1119.2140261627919</v>
      </c>
      <c r="H4" s="79">
        <f t="shared" si="2"/>
        <v>0.14000000000000012</v>
      </c>
      <c r="I4" s="80">
        <f t="shared" si="3"/>
        <v>731.66666666666674</v>
      </c>
      <c r="J4" s="76">
        <f t="shared" si="4"/>
        <v>387.54735949612518</v>
      </c>
      <c r="K4" s="81">
        <f t="shared" si="5"/>
        <v>4.8477439579162167E-2</v>
      </c>
      <c r="M4">
        <f t="shared" si="6"/>
        <v>5.6280476744186059</v>
      </c>
    </row>
    <row r="5" spans="1:13" ht="15" x14ac:dyDescent="0.25">
      <c r="B5" t="s">
        <v>104</v>
      </c>
      <c r="C5" s="76">
        <v>1250</v>
      </c>
      <c r="D5" s="77">
        <f>+F5/0.86</f>
        <v>6.190852441860466</v>
      </c>
      <c r="E5" s="76">
        <f t="shared" si="0"/>
        <v>7738.5655523255828</v>
      </c>
      <c r="F5" s="78">
        <v>5.324133100000001</v>
      </c>
      <c r="G5" s="76">
        <f t="shared" si="1"/>
        <v>1083.3991773255811</v>
      </c>
      <c r="H5" s="79">
        <f t="shared" si="2"/>
        <v>0.13999999999999993</v>
      </c>
      <c r="I5" s="80">
        <f t="shared" si="3"/>
        <v>731.66666666666674</v>
      </c>
      <c r="J5" s="76">
        <f t="shared" si="4"/>
        <v>351.73251065891441</v>
      </c>
      <c r="K5" s="81">
        <f t="shared" si="5"/>
        <v>4.5451900391696269E-2</v>
      </c>
      <c r="M5">
        <f t="shared" si="6"/>
        <v>5.4479501488372097</v>
      </c>
    </row>
    <row r="6" spans="1:13" ht="15" x14ac:dyDescent="0.25">
      <c r="B6" t="s">
        <v>105</v>
      </c>
      <c r="C6" s="76">
        <v>1250</v>
      </c>
      <c r="D6" s="77">
        <f>+F6/0.86</f>
        <v>6.3443446511627908</v>
      </c>
      <c r="E6" s="76">
        <f t="shared" si="0"/>
        <v>7930.4308139534887</v>
      </c>
      <c r="F6" s="78">
        <v>5.4561364000000001</v>
      </c>
      <c r="G6" s="76">
        <f t="shared" si="1"/>
        <v>1110.2603139534885</v>
      </c>
      <c r="H6" s="79">
        <f t="shared" si="2"/>
        <v>0.14000000000000001</v>
      </c>
      <c r="I6" s="80">
        <f t="shared" si="3"/>
        <v>731.66666666666674</v>
      </c>
      <c r="J6" s="76">
        <f t="shared" si="4"/>
        <v>378.59364728682181</v>
      </c>
      <c r="K6" s="81">
        <f t="shared" si="5"/>
        <v>4.7739354414477866E-2</v>
      </c>
      <c r="M6">
        <f t="shared" si="6"/>
        <v>5.5830232930232562</v>
      </c>
    </row>
    <row r="7" spans="1:13" ht="15" x14ac:dyDescent="0.25">
      <c r="B7" t="s">
        <v>106</v>
      </c>
      <c r="C7" s="76">
        <v>1750</v>
      </c>
      <c r="D7" s="77">
        <f>+F7/0.86</f>
        <v>6.0066617906976729</v>
      </c>
      <c r="E7" s="76">
        <f t="shared" si="0"/>
        <v>10511.658133720928</v>
      </c>
      <c r="F7" s="78">
        <v>5.1657291399999989</v>
      </c>
      <c r="G7" s="76">
        <f t="shared" si="1"/>
        <v>1471.63213872093</v>
      </c>
      <c r="H7" s="79">
        <f t="shared" si="2"/>
        <v>0.14000000000000001</v>
      </c>
      <c r="I7" s="80">
        <f t="shared" si="3"/>
        <v>1024.3333333333335</v>
      </c>
      <c r="J7" s="76">
        <f t="shared" si="4"/>
        <v>447.29880538759653</v>
      </c>
      <c r="K7" s="81">
        <f t="shared" si="5"/>
        <v>4.2552640097063471E-2</v>
      </c>
      <c r="M7">
        <f t="shared" si="6"/>
        <v>5.2858623758139522</v>
      </c>
    </row>
    <row r="8" spans="1:13" ht="15" x14ac:dyDescent="0.25">
      <c r="B8" t="s">
        <v>107</v>
      </c>
      <c r="C8" s="76">
        <v>1250</v>
      </c>
      <c r="D8" s="77">
        <f>+F8/0.88</f>
        <v>8.5002124999999999</v>
      </c>
      <c r="E8" s="76">
        <f t="shared" si="0"/>
        <v>10625.265625</v>
      </c>
      <c r="F8" s="78">
        <v>7.4801869999999999</v>
      </c>
      <c r="G8" s="76">
        <f t="shared" si="1"/>
        <v>1275.0318750000006</v>
      </c>
      <c r="H8" s="79">
        <f t="shared" si="2"/>
        <v>0.12000000000000005</v>
      </c>
      <c r="I8" s="80">
        <f t="shared" si="3"/>
        <v>731.66666666666674</v>
      </c>
      <c r="J8" s="76">
        <f t="shared" si="4"/>
        <v>543.36520833333384</v>
      </c>
      <c r="K8" s="81">
        <f t="shared" si="5"/>
        <v>5.1138976427550144E-2</v>
      </c>
      <c r="M8">
        <f t="shared" si="6"/>
        <v>7.4801869999999999</v>
      </c>
    </row>
    <row r="9" spans="1:13" ht="15" x14ac:dyDescent="0.25">
      <c r="B9" t="s">
        <v>108</v>
      </c>
      <c r="C9" s="76">
        <v>1250</v>
      </c>
      <c r="D9" s="77">
        <f>+F9/0.88</f>
        <v>8.5002124999999999</v>
      </c>
      <c r="E9" s="76">
        <f t="shared" si="0"/>
        <v>10625.265625</v>
      </c>
      <c r="F9" s="78">
        <v>7.4801869999999999</v>
      </c>
      <c r="G9" s="76">
        <f t="shared" si="1"/>
        <v>1275.0318750000006</v>
      </c>
      <c r="H9" s="79">
        <f t="shared" si="2"/>
        <v>0.12000000000000005</v>
      </c>
      <c r="I9" s="80">
        <f t="shared" si="3"/>
        <v>731.66666666666674</v>
      </c>
      <c r="J9" s="76">
        <f t="shared" si="4"/>
        <v>543.36520833333384</v>
      </c>
      <c r="K9" s="81">
        <f t="shared" si="5"/>
        <v>5.1138976427550144E-2</v>
      </c>
      <c r="M9">
        <f t="shared" si="6"/>
        <v>7.4801869999999999</v>
      </c>
    </row>
    <row r="10" spans="1:13" ht="15" x14ac:dyDescent="0.25">
      <c r="B10" t="s">
        <v>109</v>
      </c>
      <c r="C10" s="76">
        <v>1000</v>
      </c>
      <c r="D10" s="77">
        <f>+F10/0.89</f>
        <v>12.557617303370789</v>
      </c>
      <c r="E10" s="76">
        <f t="shared" si="0"/>
        <v>12557.617303370789</v>
      </c>
      <c r="F10" s="78">
        <v>11.176279400000002</v>
      </c>
      <c r="G10" s="76">
        <f t="shared" si="1"/>
        <v>1381.3379033707879</v>
      </c>
      <c r="H10" s="79">
        <f t="shared" si="2"/>
        <v>0.11000000000000008</v>
      </c>
      <c r="I10" s="80">
        <f t="shared" si="3"/>
        <v>585.33333333333337</v>
      </c>
      <c r="J10" s="76">
        <f t="shared" si="4"/>
        <v>796.00457003745453</v>
      </c>
      <c r="K10" s="81">
        <f t="shared" si="5"/>
        <v>6.3388185099715236E-2</v>
      </c>
      <c r="M10">
        <f t="shared" si="6"/>
        <v>11.050703226966293</v>
      </c>
    </row>
    <row r="11" spans="1:13" ht="15" x14ac:dyDescent="0.25">
      <c r="B11" t="s">
        <v>110</v>
      </c>
      <c r="C11" s="76">
        <v>1000</v>
      </c>
      <c r="D11" s="77">
        <f>+F11/0.89</f>
        <v>12.745487168539325</v>
      </c>
      <c r="E11" s="76">
        <f t="shared" si="0"/>
        <v>12745.487168539325</v>
      </c>
      <c r="F11" s="78">
        <v>11.343483579999999</v>
      </c>
      <c r="G11" s="76">
        <f t="shared" si="1"/>
        <v>1402.0035885393263</v>
      </c>
      <c r="H11" s="79">
        <f t="shared" si="2"/>
        <v>0.11000000000000004</v>
      </c>
      <c r="I11" s="80">
        <f t="shared" si="3"/>
        <v>585.33333333333337</v>
      </c>
      <c r="J11" s="76">
        <f t="shared" si="4"/>
        <v>816.67025520599293</v>
      </c>
      <c r="K11" s="81">
        <f t="shared" si="5"/>
        <v>6.4075248313916436E-2</v>
      </c>
      <c r="M11">
        <f t="shared" si="6"/>
        <v>11.216028708314607</v>
      </c>
    </row>
    <row r="12" spans="1:13" ht="15" x14ac:dyDescent="0.25">
      <c r="B12" t="s">
        <v>111</v>
      </c>
      <c r="C12" s="76">
        <v>1250</v>
      </c>
      <c r="D12" s="77">
        <f>+F12/0.88</f>
        <v>9.0653490570519093</v>
      </c>
      <c r="E12" s="76">
        <f t="shared" si="0"/>
        <v>11331.686321314886</v>
      </c>
      <c r="F12" s="78">
        <v>7.9775071702056799</v>
      </c>
      <c r="G12" s="76">
        <f t="shared" si="1"/>
        <v>1359.8023585577866</v>
      </c>
      <c r="H12" s="79">
        <f t="shared" si="2"/>
        <v>0.12000000000000002</v>
      </c>
      <c r="I12" s="80">
        <f t="shared" si="3"/>
        <v>731.66666666666674</v>
      </c>
      <c r="J12" s="76">
        <f t="shared" si="4"/>
        <v>628.1356918911199</v>
      </c>
      <c r="K12" s="81">
        <f t="shared" si="5"/>
        <v>5.5431793122405579E-2</v>
      </c>
      <c r="M12">
        <f t="shared" si="6"/>
        <v>7.9775071702056799</v>
      </c>
    </row>
    <row r="13" spans="1:13" ht="15" x14ac:dyDescent="0.25">
      <c r="B13" t="s">
        <v>112</v>
      </c>
      <c r="C13" s="76">
        <v>1250</v>
      </c>
      <c r="D13" s="77">
        <f>+F13/0.88</f>
        <v>7.489774328337881</v>
      </c>
      <c r="E13" s="76">
        <f t="shared" si="0"/>
        <v>9362.2179104223505</v>
      </c>
      <c r="F13" s="78">
        <v>6.591001408937335</v>
      </c>
      <c r="G13" s="76">
        <f t="shared" si="1"/>
        <v>1123.4661492506821</v>
      </c>
      <c r="H13" s="79">
        <f t="shared" si="2"/>
        <v>0.12</v>
      </c>
      <c r="I13" s="80">
        <f t="shared" si="3"/>
        <v>731.66666666666674</v>
      </c>
      <c r="J13" s="76">
        <f t="shared" si="4"/>
        <v>391.79948258401532</v>
      </c>
      <c r="K13" s="81">
        <f t="shared" si="5"/>
        <v>4.1849002697090645E-2</v>
      </c>
      <c r="M13">
        <f t="shared" si="6"/>
        <v>6.591001408937335</v>
      </c>
    </row>
    <row r="14" spans="1:13" ht="15" x14ac:dyDescent="0.25">
      <c r="B14" t="s">
        <v>113</v>
      </c>
      <c r="C14" s="76">
        <v>1750</v>
      </c>
      <c r="D14" s="77">
        <f>+F14/0.81</f>
        <v>4.1753278799489157</v>
      </c>
      <c r="E14" s="76">
        <f t="shared" si="0"/>
        <v>7306.8237899106025</v>
      </c>
      <c r="F14" s="78">
        <v>3.3820155827586218</v>
      </c>
      <c r="G14" s="76">
        <f t="shared" si="1"/>
        <v>1388.296520083014</v>
      </c>
      <c r="H14" s="79">
        <f t="shared" si="2"/>
        <v>0.18999999999999995</v>
      </c>
      <c r="I14" s="80">
        <f t="shared" si="3"/>
        <v>1024.3333333333335</v>
      </c>
      <c r="J14" s="76">
        <f t="shared" si="4"/>
        <v>363.96318674968052</v>
      </c>
      <c r="K14" s="81">
        <f t="shared" si="5"/>
        <v>4.9811408789171514E-2</v>
      </c>
      <c r="M14">
        <f t="shared" si="6"/>
        <v>3.6742885343550458</v>
      </c>
    </row>
    <row r="15" spans="1:13" ht="15" x14ac:dyDescent="0.25">
      <c r="B15" t="s">
        <v>114</v>
      </c>
      <c r="C15" s="76">
        <v>1250</v>
      </c>
      <c r="D15" s="77">
        <f>+F15/0.88</f>
        <v>8.8502212499999988</v>
      </c>
      <c r="E15" s="76">
        <f t="shared" si="0"/>
        <v>11062.776562499999</v>
      </c>
      <c r="F15" s="78">
        <v>7.7881946999999991</v>
      </c>
      <c r="G15" s="76">
        <f t="shared" si="1"/>
        <v>1327.5331875000011</v>
      </c>
      <c r="H15" s="79">
        <f t="shared" si="2"/>
        <v>0.12000000000000011</v>
      </c>
      <c r="I15" s="80">
        <f t="shared" si="3"/>
        <v>731.66666666666674</v>
      </c>
      <c r="J15" s="76">
        <f t="shared" si="4"/>
        <v>595.86652083333433</v>
      </c>
      <c r="K15" s="81">
        <f t="shared" si="5"/>
        <v>5.3862293743974762E-2</v>
      </c>
      <c r="M15">
        <f t="shared" si="6"/>
        <v>7.7881946999999991</v>
      </c>
    </row>
    <row r="16" spans="1:13" ht="15" x14ac:dyDescent="0.25">
      <c r="B16" t="s">
        <v>115</v>
      </c>
      <c r="C16" s="76">
        <v>1000</v>
      </c>
      <c r="D16" s="77">
        <f>+F16/0.89</f>
        <v>11.371070786516853</v>
      </c>
      <c r="E16" s="76">
        <f t="shared" si="0"/>
        <v>11371.070786516853</v>
      </c>
      <c r="F16" s="78">
        <v>10.120253</v>
      </c>
      <c r="G16" s="76">
        <f t="shared" si="1"/>
        <v>1250.8177865168527</v>
      </c>
      <c r="H16" s="79">
        <f t="shared" si="2"/>
        <v>0.1099999999999999</v>
      </c>
      <c r="I16" s="80">
        <f t="shared" si="3"/>
        <v>585.33333333333337</v>
      </c>
      <c r="J16" s="76">
        <f t="shared" si="4"/>
        <v>665.48445318351935</v>
      </c>
      <c r="K16" s="81">
        <f t="shared" si="5"/>
        <v>5.8524343544902706E-2</v>
      </c>
      <c r="M16">
        <f t="shared" si="6"/>
        <v>10.006542292134831</v>
      </c>
    </row>
    <row r="17" spans="2:13" ht="15" x14ac:dyDescent="0.25">
      <c r="B17" t="s">
        <v>116</v>
      </c>
      <c r="C17" s="76">
        <v>1750</v>
      </c>
      <c r="D17" s="77">
        <f>+F17/0.83</f>
        <v>4.6651768674698797</v>
      </c>
      <c r="E17" s="76">
        <f t="shared" si="0"/>
        <v>8164.0595180722894</v>
      </c>
      <c r="F17" s="78">
        <v>3.8720968</v>
      </c>
      <c r="G17" s="76">
        <f t="shared" si="1"/>
        <v>1387.8901180722896</v>
      </c>
      <c r="H17" s="79">
        <f t="shared" si="2"/>
        <v>0.17000000000000004</v>
      </c>
      <c r="I17" s="80">
        <f t="shared" si="3"/>
        <v>1024.3333333333335</v>
      </c>
      <c r="J17" s="76">
        <f t="shared" si="4"/>
        <v>363.55678473895614</v>
      </c>
      <c r="K17" s="81">
        <f t="shared" si="5"/>
        <v>4.453137363025983E-2</v>
      </c>
      <c r="M17">
        <f t="shared" si="6"/>
        <v>4.1053556433734943</v>
      </c>
    </row>
    <row r="18" spans="2:13" ht="15" x14ac:dyDescent="0.25">
      <c r="B18" t="s">
        <v>117</v>
      </c>
      <c r="C18" s="76">
        <v>1750</v>
      </c>
      <c r="D18" s="77">
        <f>+F18/0.85</f>
        <v>5.5493151999999997</v>
      </c>
      <c r="E18" s="76">
        <f t="shared" si="0"/>
        <v>9711.3015999999989</v>
      </c>
      <c r="F18" s="78">
        <v>4.7169179199999993</v>
      </c>
      <c r="G18" s="76">
        <f t="shared" si="1"/>
        <v>1456.6952400000009</v>
      </c>
      <c r="H18" s="79">
        <f t="shared" si="2"/>
        <v>0.15000000000000011</v>
      </c>
      <c r="I18" s="80">
        <f t="shared" si="3"/>
        <v>1024.3333333333335</v>
      </c>
      <c r="J18" s="76">
        <f t="shared" si="4"/>
        <v>432.36190666666744</v>
      </c>
      <c r="K18" s="81">
        <f t="shared" si="5"/>
        <v>4.452151982043967E-2</v>
      </c>
      <c r="M18">
        <f t="shared" si="6"/>
        <v>4.8833973759999996</v>
      </c>
    </row>
    <row r="19" spans="2:13" ht="15" x14ac:dyDescent="0.25">
      <c r="B19" t="s">
        <v>118</v>
      </c>
      <c r="C19" s="76">
        <v>1750</v>
      </c>
      <c r="D19" s="77">
        <f>+F19/0.79</f>
        <v>3.6203436708860761</v>
      </c>
      <c r="E19" s="76">
        <f t="shared" si="0"/>
        <v>6335.6014240506329</v>
      </c>
      <c r="F19" s="78">
        <v>2.8600715000000001</v>
      </c>
      <c r="G19" s="76">
        <f t="shared" si="1"/>
        <v>1330.4762990506324</v>
      </c>
      <c r="H19" s="79">
        <f t="shared" si="2"/>
        <v>0.20999999999999991</v>
      </c>
      <c r="I19" s="80">
        <f t="shared" si="3"/>
        <v>1024.3333333333335</v>
      </c>
      <c r="J19" s="76">
        <f t="shared" si="4"/>
        <v>306.14296571729892</v>
      </c>
      <c r="K19" s="81">
        <f t="shared" si="5"/>
        <v>4.8321058290558952E-2</v>
      </c>
      <c r="M19">
        <f t="shared" si="6"/>
        <v>3.185902430379747</v>
      </c>
    </row>
    <row r="20" spans="2:13" ht="15" x14ac:dyDescent="0.25">
      <c r="B20" t="s">
        <v>119</v>
      </c>
      <c r="C20" s="76">
        <v>1750</v>
      </c>
      <c r="D20" s="77">
        <f>+F20/0.8</f>
        <v>3.7400934999999995</v>
      </c>
      <c r="E20" s="76">
        <f t="shared" si="0"/>
        <v>6545.1636249999992</v>
      </c>
      <c r="F20" s="78">
        <v>2.9920747999999997</v>
      </c>
      <c r="G20" s="76">
        <f t="shared" si="1"/>
        <v>1309.032725</v>
      </c>
      <c r="H20" s="79">
        <f t="shared" si="2"/>
        <v>0.20000000000000004</v>
      </c>
      <c r="I20" s="80">
        <f t="shared" si="3"/>
        <v>1024.3333333333335</v>
      </c>
      <c r="J20" s="76">
        <f t="shared" si="4"/>
        <v>284.69939166666654</v>
      </c>
      <c r="K20" s="81">
        <f t="shared" si="5"/>
        <v>4.3497673698977474E-2</v>
      </c>
      <c r="M20">
        <f t="shared" si="6"/>
        <v>3.2912822799999994</v>
      </c>
    </row>
    <row r="21" spans="2:13" ht="15" x14ac:dyDescent="0.25">
      <c r="B21" t="s">
        <v>120</v>
      </c>
      <c r="C21" s="76">
        <v>1250</v>
      </c>
      <c r="D21" s="77">
        <f>+F21/0.87</f>
        <v>7.2251395730706074</v>
      </c>
      <c r="E21" s="76">
        <f t="shared" si="0"/>
        <v>9031.4244663382597</v>
      </c>
      <c r="F21" s="78">
        <v>6.2858714285714283</v>
      </c>
      <c r="G21" s="76">
        <f t="shared" si="1"/>
        <v>1174.0851806239743</v>
      </c>
      <c r="H21" s="79">
        <f t="shared" si="2"/>
        <v>0.13000000000000006</v>
      </c>
      <c r="I21" s="80">
        <f t="shared" si="3"/>
        <v>731.66666666666674</v>
      </c>
      <c r="J21" s="76">
        <f t="shared" si="4"/>
        <v>442.4185139573076</v>
      </c>
      <c r="K21" s="81">
        <f t="shared" si="5"/>
        <v>4.8986570790275755E-2</v>
      </c>
      <c r="M21">
        <f t="shared" si="6"/>
        <v>6.3581228243021348</v>
      </c>
    </row>
    <row r="22" spans="2:13" ht="15" x14ac:dyDescent="0.25">
      <c r="B22" t="s">
        <v>121</v>
      </c>
      <c r="C22" s="76">
        <v>1750</v>
      </c>
      <c r="D22" s="77">
        <f>+F22/0.83</f>
        <v>4.6121634939759044</v>
      </c>
      <c r="E22" s="76">
        <f t="shared" si="0"/>
        <v>8071.2861144578328</v>
      </c>
      <c r="F22" s="78">
        <v>3.8280957000000004</v>
      </c>
      <c r="G22" s="76">
        <f t="shared" si="1"/>
        <v>1372.1186394578317</v>
      </c>
      <c r="H22" s="79">
        <f t="shared" si="2"/>
        <v>0.17</v>
      </c>
      <c r="I22" s="80">
        <f t="shared" si="3"/>
        <v>1024.3333333333335</v>
      </c>
      <c r="J22" s="76">
        <f t="shared" si="4"/>
        <v>347.78530612449822</v>
      </c>
      <c r="K22" s="81">
        <f t="shared" si="5"/>
        <v>4.3089205511067395E-2</v>
      </c>
      <c r="M22">
        <f t="shared" si="6"/>
        <v>4.0587038746987956</v>
      </c>
    </row>
    <row r="23" spans="2:13" ht="15" x14ac:dyDescent="0.25">
      <c r="B23" t="s">
        <v>122</v>
      </c>
      <c r="C23" s="76">
        <v>1250</v>
      </c>
      <c r="D23" s="77">
        <f>+F23/0.87</f>
        <v>6.9541968390804607</v>
      </c>
      <c r="E23" s="76">
        <f t="shared" si="0"/>
        <v>8692.7460488505767</v>
      </c>
      <c r="F23" s="78">
        <v>6.0501512500000008</v>
      </c>
      <c r="G23" s="76">
        <f t="shared" si="1"/>
        <v>1130.0569863505762</v>
      </c>
      <c r="H23" s="79">
        <f t="shared" si="2"/>
        <v>0.13000000000000014</v>
      </c>
      <c r="I23" s="80">
        <f t="shared" si="3"/>
        <v>731.66666666666674</v>
      </c>
      <c r="J23" s="76">
        <f t="shared" si="4"/>
        <v>398.39031968390941</v>
      </c>
      <c r="K23" s="81">
        <f t="shared" si="5"/>
        <v>4.5830203418468406E-2</v>
      </c>
      <c r="M23">
        <f t="shared" si="6"/>
        <v>6.1196932183908057</v>
      </c>
    </row>
    <row r="24" spans="2:13" ht="15" x14ac:dyDescent="0.25">
      <c r="B24" t="s">
        <v>123</v>
      </c>
      <c r="C24" s="76">
        <v>1250</v>
      </c>
      <c r="D24" s="77">
        <f>+F24/0.87</f>
        <v>7.3335166666666654</v>
      </c>
      <c r="E24" s="76">
        <f t="shared" si="0"/>
        <v>9166.8958333333321</v>
      </c>
      <c r="F24" s="78">
        <v>6.3801594999999987</v>
      </c>
      <c r="G24" s="76">
        <f t="shared" si="1"/>
        <v>1191.6964583333338</v>
      </c>
      <c r="H24" s="79">
        <f t="shared" si="2"/>
        <v>0.13000000000000006</v>
      </c>
      <c r="I24" s="80">
        <f t="shared" si="3"/>
        <v>731.66666666666674</v>
      </c>
      <c r="J24" s="76">
        <f t="shared" si="4"/>
        <v>460.02979166666705</v>
      </c>
      <c r="K24" s="81">
        <f t="shared" si="5"/>
        <v>5.0183813586478568E-2</v>
      </c>
      <c r="M24">
        <f t="shared" si="6"/>
        <v>6.4534946666666659</v>
      </c>
    </row>
    <row r="25" spans="2:13" ht="15" x14ac:dyDescent="0.25">
      <c r="B25" t="s">
        <v>124</v>
      </c>
      <c r="C25" s="76">
        <v>1250</v>
      </c>
      <c r="D25" s="77">
        <f>+F25/0.88</f>
        <v>8.7502187500000002</v>
      </c>
      <c r="E25" s="76">
        <f t="shared" si="0"/>
        <v>10937.7734375</v>
      </c>
      <c r="F25" s="78">
        <v>7.7001925</v>
      </c>
      <c r="G25" s="76">
        <f t="shared" si="1"/>
        <v>1312.5328124999996</v>
      </c>
      <c r="H25" s="79">
        <f t="shared" si="2"/>
        <v>0.11999999999999997</v>
      </c>
      <c r="I25" s="80">
        <f t="shared" si="3"/>
        <v>731.66666666666674</v>
      </c>
      <c r="J25" s="76">
        <f t="shared" si="4"/>
        <v>580.86614583333289</v>
      </c>
      <c r="K25" s="81">
        <f t="shared" si="5"/>
        <v>5.3106434243905765E-2</v>
      </c>
      <c r="M25">
        <f t="shared" si="6"/>
        <v>7.7001925</v>
      </c>
    </row>
    <row r="26" spans="2:13" ht="15" x14ac:dyDescent="0.25">
      <c r="B26" t="s">
        <v>125</v>
      </c>
      <c r="C26" s="76">
        <v>1750</v>
      </c>
      <c r="D26" s="77">
        <f>+F26/0.86</f>
        <v>6.0894545581395345</v>
      </c>
      <c r="E26" s="76">
        <f t="shared" si="0"/>
        <v>10656.545476744186</v>
      </c>
      <c r="F26" s="78">
        <v>5.2369309199999998</v>
      </c>
      <c r="G26" s="76">
        <f t="shared" si="1"/>
        <v>1491.9163667441862</v>
      </c>
      <c r="H26" s="79">
        <f t="shared" si="2"/>
        <v>0.14000000000000001</v>
      </c>
      <c r="I26" s="80">
        <f t="shared" si="3"/>
        <v>1024.3333333333335</v>
      </c>
      <c r="J26" s="76">
        <f t="shared" si="4"/>
        <v>467.58303341085275</v>
      </c>
      <c r="K26" s="81">
        <f t="shared" si="5"/>
        <v>4.3877543096049347E-2</v>
      </c>
      <c r="M26">
        <f t="shared" si="6"/>
        <v>5.3587200111627906</v>
      </c>
    </row>
    <row r="27" spans="2:13" ht="15" x14ac:dyDescent="0.25">
      <c r="B27" t="s">
        <v>126</v>
      </c>
      <c r="C27" s="76">
        <v>1750</v>
      </c>
      <c r="D27" s="77">
        <f>+F27/0.83</f>
        <v>4.6348835111876081</v>
      </c>
      <c r="E27" s="76">
        <f t="shared" si="0"/>
        <v>8111.0461445783139</v>
      </c>
      <c r="F27" s="78">
        <v>3.8469533142857144</v>
      </c>
      <c r="G27" s="76">
        <f t="shared" si="1"/>
        <v>1378.8778445783137</v>
      </c>
      <c r="H27" s="79">
        <f t="shared" si="2"/>
        <v>0.17000000000000004</v>
      </c>
      <c r="I27" s="80">
        <f t="shared" si="3"/>
        <v>1024.3333333333335</v>
      </c>
      <c r="J27" s="76">
        <f t="shared" si="4"/>
        <v>354.54451124498019</v>
      </c>
      <c r="K27" s="81">
        <f t="shared" si="5"/>
        <v>4.3711317248758257E-2</v>
      </c>
      <c r="M27">
        <f t="shared" si="6"/>
        <v>4.0786974898450952</v>
      </c>
    </row>
    <row r="28" spans="2:13" ht="15" x14ac:dyDescent="0.25">
      <c r="B28" t="s">
        <v>127</v>
      </c>
      <c r="C28" s="76">
        <v>1250</v>
      </c>
      <c r="D28" s="77">
        <f>+F28/0.87</f>
        <v>7.2677678965517263</v>
      </c>
      <c r="E28" s="76">
        <f t="shared" si="0"/>
        <v>9084.7098706896577</v>
      </c>
      <c r="F28" s="78">
        <v>6.3229580700000021</v>
      </c>
      <c r="G28" s="76">
        <f t="shared" si="1"/>
        <v>1181.0122831896551</v>
      </c>
      <c r="H28" s="79">
        <f t="shared" si="2"/>
        <v>0.12999999999999995</v>
      </c>
      <c r="I28" s="80">
        <f t="shared" si="3"/>
        <v>731.66666666666674</v>
      </c>
      <c r="J28" s="76">
        <f t="shared" si="4"/>
        <v>449.34561652298839</v>
      </c>
      <c r="K28" s="81">
        <f t="shared" si="5"/>
        <v>4.9461746486008221E-2</v>
      </c>
      <c r="M28">
        <f t="shared" si="6"/>
        <v>6.3956357489655193</v>
      </c>
    </row>
    <row r="29" spans="2:13" ht="15" x14ac:dyDescent="0.25">
      <c r="B29" t="s">
        <v>128</v>
      </c>
      <c r="C29" s="76">
        <v>1750</v>
      </c>
      <c r="D29" s="77">
        <f>+F29/0.79</f>
        <v>3.5646460759493674</v>
      </c>
      <c r="E29" s="76">
        <f t="shared" si="0"/>
        <v>6238.1306329113931</v>
      </c>
      <c r="F29" s="78">
        <v>2.8160704000000005</v>
      </c>
      <c r="G29" s="76">
        <f t="shared" si="1"/>
        <v>1310.0074329113922</v>
      </c>
      <c r="H29" s="79">
        <f t="shared" si="2"/>
        <v>0.20999999999999994</v>
      </c>
      <c r="I29" s="80">
        <f t="shared" si="3"/>
        <v>1024.3333333333335</v>
      </c>
      <c r="J29" s="76">
        <f t="shared" si="4"/>
        <v>285.67409957805876</v>
      </c>
      <c r="K29" s="81">
        <f t="shared" si="5"/>
        <v>4.579482482634898E-2</v>
      </c>
      <c r="M29">
        <f t="shared" si="6"/>
        <v>3.1368885468354435</v>
      </c>
    </row>
    <row r="30" spans="2:13" ht="15" x14ac:dyDescent="0.25">
      <c r="B30" t="s">
        <v>129</v>
      </c>
      <c r="C30" s="76">
        <v>1750</v>
      </c>
      <c r="D30" s="77">
        <f>+F30/0.85</f>
        <v>6.0091388771633598</v>
      </c>
      <c r="E30" s="76">
        <f t="shared" si="0"/>
        <v>10515.993035035879</v>
      </c>
      <c r="F30" s="78">
        <v>5.1077680455888554</v>
      </c>
      <c r="G30" s="76">
        <f t="shared" si="1"/>
        <v>1577.3989552553812</v>
      </c>
      <c r="H30" s="79">
        <f t="shared" si="2"/>
        <v>0.14999999999999994</v>
      </c>
      <c r="I30" s="80">
        <f t="shared" si="3"/>
        <v>1024.3333333333335</v>
      </c>
      <c r="J30" s="76">
        <f t="shared" si="4"/>
        <v>553.06562192204774</v>
      </c>
      <c r="K30" s="81">
        <f t="shared" si="5"/>
        <v>5.2592809835401412E-2</v>
      </c>
      <c r="M30">
        <f t="shared" si="6"/>
        <v>5.2880422119037567</v>
      </c>
    </row>
    <row r="31" spans="2:13" ht="12.6" customHeight="1" x14ac:dyDescent="0.25">
      <c r="B31" t="s">
        <v>130</v>
      </c>
      <c r="C31" s="76">
        <v>1750</v>
      </c>
      <c r="D31" s="77">
        <f>+F31/0.85</f>
        <v>5.3745345825059108</v>
      </c>
      <c r="E31" s="76">
        <f t="shared" si="0"/>
        <v>9405.4355193853444</v>
      </c>
      <c r="F31" s="78">
        <v>4.5683543951300241</v>
      </c>
      <c r="G31" s="76">
        <f t="shared" si="1"/>
        <v>1410.8153279078024</v>
      </c>
      <c r="H31" s="79">
        <f t="shared" si="2"/>
        <v>0.15000000000000008</v>
      </c>
      <c r="I31" s="80">
        <f t="shared" si="3"/>
        <v>1024.3333333333335</v>
      </c>
      <c r="J31" s="76">
        <f t="shared" si="4"/>
        <v>386.4819945744689</v>
      </c>
      <c r="K31" s="81">
        <f t="shared" si="5"/>
        <v>4.109134486945331E-2</v>
      </c>
      <c r="M31">
        <f t="shared" si="6"/>
        <v>4.7295904326052014</v>
      </c>
    </row>
    <row r="32" spans="2:13" ht="15" x14ac:dyDescent="0.25">
      <c r="B32" t="s">
        <v>131</v>
      </c>
      <c r="C32" s="76">
        <v>1750</v>
      </c>
      <c r="D32" s="77">
        <f>+F32/0.84</f>
        <v>5.1074982846790888</v>
      </c>
      <c r="E32" s="76">
        <f t="shared" si="0"/>
        <v>8938.121998188406</v>
      </c>
      <c r="F32" s="78">
        <v>4.2902985591304343</v>
      </c>
      <c r="G32" s="76">
        <f t="shared" si="1"/>
        <v>1430.0995197101456</v>
      </c>
      <c r="H32" s="79">
        <f t="shared" si="2"/>
        <v>0.16000000000000009</v>
      </c>
      <c r="I32" s="80">
        <f t="shared" si="3"/>
        <v>1024.3333333333335</v>
      </c>
      <c r="J32" s="76">
        <f t="shared" si="4"/>
        <v>405.76618637681213</v>
      </c>
      <c r="K32" s="81">
        <f t="shared" si="5"/>
        <v>4.5397253076099604E-2</v>
      </c>
      <c r="M32">
        <f t="shared" si="6"/>
        <v>4.494598490517598</v>
      </c>
    </row>
    <row r="33" spans="2:13" ht="17.100000000000001" customHeight="1" x14ac:dyDescent="0.25">
      <c r="B33" t="s">
        <v>132</v>
      </c>
      <c r="C33" s="76">
        <v>1250</v>
      </c>
      <c r="D33" s="77">
        <f>+F33/0.86</f>
        <v>6.142246575581396</v>
      </c>
      <c r="E33" s="76">
        <f t="shared" si="0"/>
        <v>7677.8082194767449</v>
      </c>
      <c r="F33" s="78">
        <v>5.2823320550000004</v>
      </c>
      <c r="G33" s="76">
        <f t="shared" si="1"/>
        <v>1074.8931507267444</v>
      </c>
      <c r="H33" s="79">
        <f t="shared" si="2"/>
        <v>0.14000000000000001</v>
      </c>
      <c r="I33" s="80">
        <f t="shared" si="3"/>
        <v>731.66666666666674</v>
      </c>
      <c r="J33" s="76">
        <f t="shared" si="4"/>
        <v>343.22648406007761</v>
      </c>
      <c r="K33" s="81">
        <f t="shared" si="5"/>
        <v>4.4703706350647694E-2</v>
      </c>
      <c r="M33">
        <f t="shared" si="6"/>
        <v>5.4051769865116288</v>
      </c>
    </row>
    <row r="34" spans="2:13" ht="15" x14ac:dyDescent="0.25">
      <c r="B34" t="s">
        <v>133</v>
      </c>
      <c r="C34" s="76">
        <v>1250</v>
      </c>
      <c r="D34" s="77">
        <f>+F34/0.86</f>
        <v>6.3443446511627908</v>
      </c>
      <c r="E34" s="76">
        <f t="shared" si="0"/>
        <v>7930.4308139534887</v>
      </c>
      <c r="F34" s="78">
        <v>5.4561364000000001</v>
      </c>
      <c r="G34" s="76">
        <f t="shared" si="1"/>
        <v>1110.2603139534885</v>
      </c>
      <c r="H34" s="79">
        <f t="shared" si="2"/>
        <v>0.14000000000000001</v>
      </c>
      <c r="I34" s="80">
        <f t="shared" si="3"/>
        <v>731.66666666666674</v>
      </c>
      <c r="J34" s="76">
        <f t="shared" si="4"/>
        <v>378.59364728682181</v>
      </c>
      <c r="K34" s="81">
        <f t="shared" si="5"/>
        <v>4.7739354414477866E-2</v>
      </c>
      <c r="M34">
        <f t="shared" si="6"/>
        <v>5.5830232930232562</v>
      </c>
    </row>
    <row r="35" spans="2:13" ht="15" x14ac:dyDescent="0.25">
      <c r="B35" t="s">
        <v>134</v>
      </c>
      <c r="C35" s="76">
        <v>1750</v>
      </c>
      <c r="D35" s="77">
        <f>+F35/0.8</f>
        <v>3.8701114603503477</v>
      </c>
      <c r="E35" s="76">
        <f t="shared" si="0"/>
        <v>6772.6950556131087</v>
      </c>
      <c r="F35" s="78">
        <v>3.0960891682802782</v>
      </c>
      <c r="G35" s="76">
        <f t="shared" si="1"/>
        <v>1354.5390111226216</v>
      </c>
      <c r="H35" s="79">
        <f t="shared" si="2"/>
        <v>0.19999999999999998</v>
      </c>
      <c r="I35" s="80">
        <f t="shared" si="3"/>
        <v>1024.3333333333335</v>
      </c>
      <c r="J35" s="76">
        <f t="shared" si="4"/>
        <v>330.20567778928807</v>
      </c>
      <c r="K35" s="81">
        <f t="shared" si="5"/>
        <v>4.8755432671609589E-2</v>
      </c>
      <c r="M35">
        <f t="shared" si="6"/>
        <v>3.4056980851083059</v>
      </c>
    </row>
    <row r="36" spans="2:13" ht="15" x14ac:dyDescent="0.25">
      <c r="B36" t="s">
        <v>135</v>
      </c>
      <c r="C36" s="76">
        <v>1750</v>
      </c>
      <c r="D36" s="77">
        <f>+F36/0.8</f>
        <v>4.2565732484056129</v>
      </c>
      <c r="E36" s="76">
        <f t="shared" si="0"/>
        <v>7449.0031847098226</v>
      </c>
      <c r="F36" s="78">
        <v>3.4052585987244903</v>
      </c>
      <c r="G36" s="76">
        <f t="shared" si="1"/>
        <v>1489.8006369419645</v>
      </c>
      <c r="H36" s="79">
        <f t="shared" si="2"/>
        <v>0.2</v>
      </c>
      <c r="I36" s="80">
        <f t="shared" si="3"/>
        <v>1024.3333333333335</v>
      </c>
      <c r="J36" s="76">
        <f t="shared" si="4"/>
        <v>465.46730360863103</v>
      </c>
      <c r="K36" s="81">
        <f t="shared" si="5"/>
        <v>6.2487193530011011E-2</v>
      </c>
      <c r="M36">
        <f t="shared" si="6"/>
        <v>3.7457844585969395</v>
      </c>
    </row>
    <row r="37" spans="2:13" ht="15" x14ac:dyDescent="0.25">
      <c r="B37" t="s">
        <v>136</v>
      </c>
      <c r="C37" s="76">
        <v>1750</v>
      </c>
      <c r="D37" s="77">
        <f>+F37/0.8</f>
        <v>4.5200456128706197</v>
      </c>
      <c r="E37" s="76">
        <f t="shared" si="0"/>
        <v>7910.0798225235849</v>
      </c>
      <c r="F37" s="78">
        <v>3.6160364902964961</v>
      </c>
      <c r="G37" s="76">
        <f t="shared" si="1"/>
        <v>1582.015964504717</v>
      </c>
      <c r="H37" s="79">
        <f t="shared" si="2"/>
        <v>0.2</v>
      </c>
      <c r="I37" s="80">
        <f t="shared" si="3"/>
        <v>1024.3333333333335</v>
      </c>
      <c r="J37" s="76">
        <f t="shared" si="4"/>
        <v>557.68263117138349</v>
      </c>
      <c r="K37" s="81">
        <f t="shared" si="5"/>
        <v>7.0502781727108249E-2</v>
      </c>
      <c r="M37">
        <f t="shared" si="6"/>
        <v>3.9776401393261454</v>
      </c>
    </row>
    <row r="38" spans="2:13" ht="15" x14ac:dyDescent="0.25">
      <c r="B38" t="s">
        <v>137</v>
      </c>
      <c r="C38" s="76">
        <v>1250</v>
      </c>
      <c r="D38" s="77">
        <f>+F38/0.87</f>
        <v>7.4140345192038097</v>
      </c>
      <c r="E38" s="76">
        <f t="shared" si="0"/>
        <v>9267.5431490047613</v>
      </c>
      <c r="F38" s="78">
        <v>6.4502100317073143</v>
      </c>
      <c r="G38" s="76">
        <f t="shared" si="1"/>
        <v>1204.7806093706185</v>
      </c>
      <c r="H38" s="79">
        <f t="shared" si="2"/>
        <v>0.12999999999999995</v>
      </c>
      <c r="I38" s="80">
        <f t="shared" si="3"/>
        <v>731.66666666666674</v>
      </c>
      <c r="J38" s="76">
        <f t="shared" si="4"/>
        <v>473.11394270395181</v>
      </c>
      <c r="K38" s="81">
        <f t="shared" si="5"/>
        <v>5.1050632848119989E-2</v>
      </c>
      <c r="M38">
        <f t="shared" si="6"/>
        <v>6.5243503768993527</v>
      </c>
    </row>
    <row r="39" spans="2:13" ht="15" x14ac:dyDescent="0.25">
      <c r="B39" t="s">
        <v>138</v>
      </c>
      <c r="C39" s="76">
        <v>1250</v>
      </c>
      <c r="D39" s="77">
        <f>+F39/0.86</f>
        <v>6.5069224342565164</v>
      </c>
      <c r="E39" s="76">
        <f t="shared" si="0"/>
        <v>8133.6530428206452</v>
      </c>
      <c r="F39" s="78">
        <v>5.595953293460604</v>
      </c>
      <c r="G39" s="76">
        <f t="shared" si="1"/>
        <v>1138.7114259948903</v>
      </c>
      <c r="H39" s="79">
        <f t="shared" si="2"/>
        <v>0.13999999999999999</v>
      </c>
      <c r="I39" s="80">
        <f t="shared" si="3"/>
        <v>731.66666666666674</v>
      </c>
      <c r="J39" s="76">
        <f t="shared" si="4"/>
        <v>407.04475932822356</v>
      </c>
      <c r="K39" s="81">
        <f t="shared" si="5"/>
        <v>5.0044519625472704E-2</v>
      </c>
      <c r="M39">
        <f t="shared" si="6"/>
        <v>5.7260917421457345</v>
      </c>
    </row>
    <row r="40" spans="2:13" ht="15" x14ac:dyDescent="0.25">
      <c r="B40" t="s">
        <v>139</v>
      </c>
      <c r="C40" s="76">
        <v>1750</v>
      </c>
      <c r="D40" s="77">
        <f>+F40/0.86</f>
        <v>5.9402539289922514</v>
      </c>
      <c r="E40" s="76">
        <f t="shared" si="0"/>
        <v>10395.444375736441</v>
      </c>
      <c r="F40" s="78">
        <v>5.1086183789333361</v>
      </c>
      <c r="G40" s="76">
        <f t="shared" si="1"/>
        <v>1455.3622126031023</v>
      </c>
      <c r="H40" s="79">
        <f t="shared" si="2"/>
        <v>0.14000000000000007</v>
      </c>
      <c r="I40" s="80">
        <f t="shared" si="3"/>
        <v>1024.3333333333335</v>
      </c>
      <c r="J40" s="76">
        <f t="shared" si="4"/>
        <v>431.02887926976882</v>
      </c>
      <c r="K40" s="81">
        <f t="shared" si="5"/>
        <v>4.1463247138892378E-2</v>
      </c>
      <c r="M40">
        <f t="shared" si="6"/>
        <v>5.227423457513181</v>
      </c>
    </row>
    <row r="41" spans="2:13" ht="15" x14ac:dyDescent="0.25">
      <c r="B41" t="s">
        <v>140</v>
      </c>
      <c r="C41" s="76">
        <v>1750</v>
      </c>
      <c r="D41" s="77">
        <f>+F41/0.85</f>
        <v>5.7540127542857133</v>
      </c>
      <c r="E41" s="76">
        <f t="shared" si="0"/>
        <v>10069.522319999998</v>
      </c>
      <c r="F41" s="78">
        <v>4.8909108411428566</v>
      </c>
      <c r="G41" s="76">
        <f t="shared" si="1"/>
        <v>1510.4283479999995</v>
      </c>
      <c r="H41" s="79">
        <f t="shared" si="2"/>
        <v>0.14999999999999997</v>
      </c>
      <c r="I41" s="80">
        <f t="shared" si="3"/>
        <v>1024.3333333333335</v>
      </c>
      <c r="J41" s="76">
        <f t="shared" si="4"/>
        <v>486.09501466666597</v>
      </c>
      <c r="K41" s="81">
        <f t="shared" si="5"/>
        <v>4.8273890182574823E-2</v>
      </c>
      <c r="M41">
        <f t="shared" si="6"/>
        <v>5.0635312237714274</v>
      </c>
    </row>
    <row r="42" spans="2:13" ht="15" x14ac:dyDescent="0.25">
      <c r="B42" t="s">
        <v>141</v>
      </c>
      <c r="C42" s="76">
        <v>1750</v>
      </c>
      <c r="D42" s="77">
        <f>+F42/0.85</f>
        <v>5.4768428000000018</v>
      </c>
      <c r="E42" s="76">
        <f t="shared" si="0"/>
        <v>9584.4749000000029</v>
      </c>
      <c r="F42" s="78">
        <v>4.6553163800000013</v>
      </c>
      <c r="G42" s="76">
        <f t="shared" si="1"/>
        <v>1437.6712350000007</v>
      </c>
      <c r="H42" s="79">
        <f t="shared" si="2"/>
        <v>0.15000000000000002</v>
      </c>
      <c r="I42" s="80">
        <f t="shared" si="3"/>
        <v>1024.3333333333335</v>
      </c>
      <c r="J42" s="76">
        <f t="shared" si="4"/>
        <v>413.33790166666722</v>
      </c>
      <c r="K42" s="81">
        <f t="shared" si="5"/>
        <v>4.3125774336022007E-2</v>
      </c>
      <c r="M42">
        <f t="shared" si="6"/>
        <v>4.8196216640000014</v>
      </c>
    </row>
    <row r="43" spans="2:13" ht="15" x14ac:dyDescent="0.25">
      <c r="B43" t="s">
        <v>142</v>
      </c>
      <c r="C43" s="76">
        <v>1250</v>
      </c>
      <c r="D43" s="77">
        <f>+F43/0.87</f>
        <v>6.9794848275862069</v>
      </c>
      <c r="E43" s="76">
        <f t="shared" si="0"/>
        <v>8724.3560344827583</v>
      </c>
      <c r="F43" s="78">
        <v>6.0721518000000003</v>
      </c>
      <c r="G43" s="76">
        <f t="shared" si="1"/>
        <v>1134.1662844827579</v>
      </c>
      <c r="H43" s="79">
        <f t="shared" si="2"/>
        <v>0.12999999999999992</v>
      </c>
      <c r="I43" s="80">
        <f t="shared" si="3"/>
        <v>731.66666666666674</v>
      </c>
      <c r="J43" s="76">
        <f t="shared" si="4"/>
        <v>402.49961781609113</v>
      </c>
      <c r="K43" s="81">
        <f t="shared" si="5"/>
        <v>4.6135166449560672E-2</v>
      </c>
      <c r="M43">
        <f t="shared" si="6"/>
        <v>6.1419466482758622</v>
      </c>
    </row>
    <row r="44" spans="2:13" ht="15" x14ac:dyDescent="0.25">
      <c r="B44" t="s">
        <v>143</v>
      </c>
      <c r="C44" s="76">
        <v>1250</v>
      </c>
      <c r="D44" s="77">
        <f>+F44/0.87</f>
        <v>7.030060804597702</v>
      </c>
      <c r="E44" s="76">
        <f t="shared" si="0"/>
        <v>8787.5760057471271</v>
      </c>
      <c r="F44" s="78">
        <v>6.1161529000000003</v>
      </c>
      <c r="G44" s="76">
        <f t="shared" si="1"/>
        <v>1142.3848807471268</v>
      </c>
      <c r="H44" s="79">
        <f t="shared" si="2"/>
        <v>0.13000000000000003</v>
      </c>
      <c r="I44" s="80">
        <f t="shared" si="3"/>
        <v>731.66666666666674</v>
      </c>
      <c r="J44" s="76">
        <f t="shared" si="4"/>
        <v>410.71821408046003</v>
      </c>
      <c r="K44" s="81">
        <f t="shared" si="5"/>
        <v>4.6738510575822942E-2</v>
      </c>
      <c r="M44">
        <f t="shared" si="6"/>
        <v>6.1864535080459779</v>
      </c>
    </row>
    <row r="45" spans="2:13" ht="15" x14ac:dyDescent="0.25">
      <c r="B45" t="s">
        <v>144</v>
      </c>
      <c r="C45" s="76">
        <v>1250</v>
      </c>
      <c r="D45" s="77">
        <f>+F45/0.86</f>
        <v>6.2931805813953492</v>
      </c>
      <c r="E45" s="76">
        <f t="shared" si="0"/>
        <v>7866.4757267441864</v>
      </c>
      <c r="F45" s="78">
        <v>5.4121353000000001</v>
      </c>
      <c r="G45" s="76">
        <f t="shared" si="1"/>
        <v>1101.3066017441861</v>
      </c>
      <c r="H45" s="79">
        <f t="shared" si="2"/>
        <v>0.13999999999999999</v>
      </c>
      <c r="I45" s="80">
        <f t="shared" si="3"/>
        <v>731.66666666666674</v>
      </c>
      <c r="J45" s="76">
        <f t="shared" si="4"/>
        <v>369.63993507751934</v>
      </c>
      <c r="K45" s="81">
        <f t="shared" si="5"/>
        <v>4.6989267865002064E-2</v>
      </c>
      <c r="M45">
        <f t="shared" si="6"/>
        <v>5.5379989116279074</v>
      </c>
    </row>
    <row r="46" spans="2:13" ht="15" x14ac:dyDescent="0.25">
      <c r="B46" t="s">
        <v>145</v>
      </c>
      <c r="C46" s="76">
        <v>1250</v>
      </c>
      <c r="D46" s="77">
        <f>+F46/0.89</f>
        <v>11.371070786516853</v>
      </c>
      <c r="E46" s="76">
        <f t="shared" si="0"/>
        <v>14213.838483146066</v>
      </c>
      <c r="F46" s="78">
        <v>10.120253</v>
      </c>
      <c r="G46" s="76">
        <f t="shared" si="1"/>
        <v>1563.5222331460664</v>
      </c>
      <c r="H46" s="79">
        <f t="shared" si="2"/>
        <v>0.10999999999999993</v>
      </c>
      <c r="I46" s="80">
        <f t="shared" si="3"/>
        <v>731.66666666666674</v>
      </c>
      <c r="J46" s="76">
        <f t="shared" si="4"/>
        <v>831.85556647939961</v>
      </c>
      <c r="K46" s="81">
        <f t="shared" si="5"/>
        <v>5.852434354490274E-2</v>
      </c>
      <c r="M46">
        <f t="shared" si="6"/>
        <v>10.006542292134831</v>
      </c>
    </row>
    <row r="47" spans="2:13" ht="15" x14ac:dyDescent="0.25">
      <c r="B47" t="s">
        <v>146</v>
      </c>
      <c r="C47" s="76">
        <v>1250</v>
      </c>
      <c r="D47" s="77">
        <f>+F47/0.88</f>
        <v>7.5593781689189177</v>
      </c>
      <c r="E47" s="76">
        <f t="shared" si="0"/>
        <v>9449.2227111486463</v>
      </c>
      <c r="F47" s="78">
        <v>6.6522527886486476</v>
      </c>
      <c r="G47" s="76">
        <f t="shared" si="1"/>
        <v>1133.9067253378362</v>
      </c>
      <c r="H47" s="79">
        <f t="shared" si="2"/>
        <v>0.11999999999999986</v>
      </c>
      <c r="I47" s="80">
        <f t="shared" si="3"/>
        <v>731.66666666666674</v>
      </c>
      <c r="J47" s="76">
        <f t="shared" si="4"/>
        <v>402.24005867116944</v>
      </c>
      <c r="K47" s="81">
        <f t="shared" si="5"/>
        <v>4.2568586958648708E-2</v>
      </c>
      <c r="M47">
        <f t="shared" si="6"/>
        <v>6.6522527886486476</v>
      </c>
    </row>
    <row r="48" spans="2:13" ht="15" x14ac:dyDescent="0.25">
      <c r="B48" t="s">
        <v>147</v>
      </c>
      <c r="C48" s="76">
        <v>1750</v>
      </c>
      <c r="D48" s="77">
        <f>+F48/0.85</f>
        <v>5.8614140838709679</v>
      </c>
      <c r="E48" s="76">
        <f t="shared" si="0"/>
        <v>10257.474646774193</v>
      </c>
      <c r="F48" s="78">
        <v>4.9822019712903227</v>
      </c>
      <c r="G48" s="76">
        <f t="shared" si="1"/>
        <v>1538.6211970161294</v>
      </c>
      <c r="H48" s="79">
        <f t="shared" si="2"/>
        <v>0.15000000000000002</v>
      </c>
      <c r="I48" s="80">
        <f t="shared" si="3"/>
        <v>1024.3333333333335</v>
      </c>
      <c r="J48" s="76">
        <f t="shared" si="4"/>
        <v>514.28786368279589</v>
      </c>
      <c r="K48" s="81">
        <f t="shared" si="5"/>
        <v>5.0137863498841882E-2</v>
      </c>
      <c r="M48">
        <f t="shared" si="6"/>
        <v>5.1580443938064517</v>
      </c>
    </row>
    <row r="49" spans="2:13" ht="15" x14ac:dyDescent="0.25">
      <c r="B49" t="s">
        <v>148</v>
      </c>
      <c r="C49" s="76">
        <v>1750</v>
      </c>
      <c r="D49" s="77">
        <f>+F49/0.86</f>
        <v>5.9094500581395355</v>
      </c>
      <c r="E49" s="76">
        <f t="shared" si="0"/>
        <v>10341.537601744187</v>
      </c>
      <c r="F49" s="78">
        <v>5.0821270500000004</v>
      </c>
      <c r="G49" s="76">
        <f t="shared" si="1"/>
        <v>1447.8152642441855</v>
      </c>
      <c r="H49" s="79">
        <f t="shared" si="2"/>
        <v>0.13999999999999993</v>
      </c>
      <c r="I49" s="80">
        <f t="shared" si="3"/>
        <v>1024.3333333333335</v>
      </c>
      <c r="J49" s="76">
        <f t="shared" si="4"/>
        <v>423.48193091085204</v>
      </c>
      <c r="K49" s="81">
        <f t="shared" si="5"/>
        <v>4.0949609934157978E-2</v>
      </c>
      <c r="M49">
        <f t="shared" si="6"/>
        <v>5.2003160511627913</v>
      </c>
    </row>
    <row r="50" spans="2:13" ht="15" x14ac:dyDescent="0.25">
      <c r="B50" t="s">
        <v>149</v>
      </c>
      <c r="C50" s="76">
        <v>1250</v>
      </c>
      <c r="D50" s="77">
        <f>+F50/0.89</f>
        <v>11.117731424975402</v>
      </c>
      <c r="E50" s="76">
        <f t="shared" si="0"/>
        <v>13897.164281219251</v>
      </c>
      <c r="F50" s="78">
        <v>9.8947809682281083</v>
      </c>
      <c r="G50" s="76">
        <f t="shared" si="1"/>
        <v>1528.6880709341167</v>
      </c>
      <c r="H50" s="79">
        <f t="shared" si="2"/>
        <v>0.10999999999999993</v>
      </c>
      <c r="I50" s="80">
        <f t="shared" si="3"/>
        <v>731.66666666666674</v>
      </c>
      <c r="J50" s="76">
        <f t="shared" si="4"/>
        <v>797.02140426744995</v>
      </c>
      <c r="K50" s="81">
        <f t="shared" si="5"/>
        <v>5.7351369541234508E-2</v>
      </c>
      <c r="M50">
        <f t="shared" si="6"/>
        <v>9.7836036539783535</v>
      </c>
    </row>
    <row r="51" spans="2:13" ht="15" x14ac:dyDescent="0.25">
      <c r="B51" t="s">
        <v>150</v>
      </c>
      <c r="C51" s="76">
        <v>1000</v>
      </c>
      <c r="D51" s="77">
        <f>+F51/0.9</f>
        <v>14.081727140294698</v>
      </c>
      <c r="E51" s="76">
        <f t="shared" si="0"/>
        <v>14081.727140294697</v>
      </c>
      <c r="F51" s="78">
        <v>12.673554426265229</v>
      </c>
      <c r="G51" s="76">
        <f t="shared" si="1"/>
        <v>1408.1727140294679</v>
      </c>
      <c r="H51" s="79">
        <f t="shared" si="2"/>
        <v>9.9999999999999867E-2</v>
      </c>
      <c r="I51" s="80">
        <f t="shared" si="3"/>
        <v>585.33333333333337</v>
      </c>
      <c r="J51" s="76">
        <f t="shared" si="4"/>
        <v>822.83938069613453</v>
      </c>
      <c r="K51" s="81">
        <f t="shared" si="5"/>
        <v>5.8433129153709372E-2</v>
      </c>
      <c r="M51">
        <f t="shared" si="6"/>
        <v>12.391919883459334</v>
      </c>
    </row>
    <row r="52" spans="2:13" ht="15" x14ac:dyDescent="0.25">
      <c r="B52" t="s">
        <v>151</v>
      </c>
      <c r="C52" s="76">
        <v>1250</v>
      </c>
      <c r="D52" s="77">
        <f>+F52/0.89</f>
        <v>10.777904888433431</v>
      </c>
      <c r="E52" s="76">
        <f t="shared" si="0"/>
        <v>13472.38111054179</v>
      </c>
      <c r="F52" s="78">
        <v>9.5923353507057545</v>
      </c>
      <c r="G52" s="76">
        <f t="shared" si="1"/>
        <v>1481.9619221595967</v>
      </c>
      <c r="H52" s="79">
        <f t="shared" si="2"/>
        <v>0.10999999999999999</v>
      </c>
      <c r="I52" s="80">
        <f t="shared" si="3"/>
        <v>731.66666666666674</v>
      </c>
      <c r="J52" s="76">
        <f t="shared" si="4"/>
        <v>750.29525549292998</v>
      </c>
      <c r="K52" s="81">
        <f t="shared" si="5"/>
        <v>5.5691362153186368E-2</v>
      </c>
      <c r="M52">
        <f t="shared" si="6"/>
        <v>9.484556301821419</v>
      </c>
    </row>
    <row r="53" spans="2:13" ht="15" x14ac:dyDescent="0.25">
      <c r="B53" t="s">
        <v>152</v>
      </c>
      <c r="C53" s="76">
        <v>1750</v>
      </c>
      <c r="D53" s="77">
        <f>+F53/0.82</f>
        <v>4.2413563538652346</v>
      </c>
      <c r="E53" s="76">
        <f t="shared" si="0"/>
        <v>7422.3736192641609</v>
      </c>
      <c r="F53" s="78">
        <v>3.4779122101694919</v>
      </c>
      <c r="G53" s="76">
        <f t="shared" si="1"/>
        <v>1336.0272514675498</v>
      </c>
      <c r="H53" s="79">
        <f t="shared" si="2"/>
        <v>0.1800000000000001</v>
      </c>
      <c r="I53" s="80">
        <f t="shared" si="3"/>
        <v>1024.3333333333335</v>
      </c>
      <c r="J53" s="76">
        <f t="shared" si="4"/>
        <v>311.69391813421635</v>
      </c>
      <c r="K53" s="81">
        <f t="shared" si="5"/>
        <v>4.1993832986962604E-2</v>
      </c>
      <c r="M53">
        <f t="shared" si="6"/>
        <v>3.7323935914014066</v>
      </c>
    </row>
    <row r="54" spans="2:13" ht="15" x14ac:dyDescent="0.25">
      <c r="B54" t="s">
        <v>153</v>
      </c>
      <c r="C54" s="76">
        <v>1750</v>
      </c>
      <c r="D54" s="77">
        <f>+F54/0.805</f>
        <v>3.893057389872375</v>
      </c>
      <c r="E54" s="76">
        <f t="shared" si="0"/>
        <v>6812.8504322766566</v>
      </c>
      <c r="F54" s="78">
        <v>3.1339111988472621</v>
      </c>
      <c r="G54" s="76">
        <f t="shared" si="1"/>
        <v>1328.5058342939483</v>
      </c>
      <c r="H54" s="79">
        <f t="shared" si="2"/>
        <v>0.19500000000000003</v>
      </c>
      <c r="I54" s="80">
        <f t="shared" si="3"/>
        <v>1024.3333333333335</v>
      </c>
      <c r="J54" s="76">
        <f t="shared" si="4"/>
        <v>304.1725009606148</v>
      </c>
      <c r="K54" s="81">
        <f t="shared" si="5"/>
        <v>4.4646877835386324E-2</v>
      </c>
      <c r="M54">
        <f t="shared" si="6"/>
        <v>3.4258905030876901</v>
      </c>
    </row>
    <row r="55" spans="2:13" ht="15" x14ac:dyDescent="0.25">
      <c r="B55" t="s">
        <v>154</v>
      </c>
      <c r="C55" s="76">
        <v>1000</v>
      </c>
      <c r="D55" s="77">
        <f>+F55/0.91</f>
        <v>15.245693499140637</v>
      </c>
      <c r="E55" s="76">
        <f t="shared" si="0"/>
        <v>15245.693499140638</v>
      </c>
      <c r="F55" s="78">
        <v>13.87358108421798</v>
      </c>
      <c r="G55" s="76">
        <f t="shared" si="1"/>
        <v>1372.112414922658</v>
      </c>
      <c r="H55" s="79">
        <f t="shared" si="2"/>
        <v>9.0000000000000038E-2</v>
      </c>
      <c r="I55" s="80">
        <f t="shared" si="3"/>
        <v>585.33333333333337</v>
      </c>
      <c r="J55" s="76">
        <f t="shared" si="4"/>
        <v>786.77908158932462</v>
      </c>
      <c r="K55" s="81">
        <f t="shared" si="5"/>
        <v>5.1606644304745694E-2</v>
      </c>
      <c r="M55">
        <f t="shared" si="6"/>
        <v>13.416210279243762</v>
      </c>
    </row>
    <row r="56" spans="2:13" ht="15" x14ac:dyDescent="0.25">
      <c r="B56" t="s">
        <v>155</v>
      </c>
      <c r="C56" s="76">
        <v>1250</v>
      </c>
      <c r="D56" s="77">
        <f>+F56/0.88</f>
        <v>8.5002124999999999</v>
      </c>
      <c r="E56" s="76">
        <f t="shared" si="0"/>
        <v>10625.265625</v>
      </c>
      <c r="F56" s="78">
        <v>7.4801869999999999</v>
      </c>
      <c r="G56" s="76">
        <f t="shared" si="1"/>
        <v>1275.0318750000006</v>
      </c>
      <c r="H56" s="79">
        <f t="shared" si="2"/>
        <v>0.12000000000000005</v>
      </c>
      <c r="I56" s="80">
        <f t="shared" si="3"/>
        <v>731.66666666666674</v>
      </c>
      <c r="J56" s="76">
        <f t="shared" si="4"/>
        <v>543.36520833333384</v>
      </c>
      <c r="K56" s="81">
        <f t="shared" si="5"/>
        <v>5.1138976427550144E-2</v>
      </c>
      <c r="M56">
        <f t="shared" si="6"/>
        <v>7.4801869999999999</v>
      </c>
    </row>
    <row r="57" spans="2:13" ht="15.95" customHeight="1" x14ac:dyDescent="0.25">
      <c r="B57" t="s">
        <v>156</v>
      </c>
      <c r="C57" s="76">
        <v>1250</v>
      </c>
      <c r="D57" s="77">
        <f>+F57/0.87</f>
        <v>6.8782670622723776</v>
      </c>
      <c r="E57" s="76">
        <f t="shared" si="0"/>
        <v>8597.8338278404717</v>
      </c>
      <c r="F57" s="78">
        <v>5.9840923441769682</v>
      </c>
      <c r="G57" s="76">
        <f t="shared" si="1"/>
        <v>1117.7183976192619</v>
      </c>
      <c r="H57" s="79">
        <f t="shared" si="2"/>
        <v>0.13000000000000006</v>
      </c>
      <c r="I57" s="80">
        <f t="shared" si="3"/>
        <v>731.66666666666674</v>
      </c>
      <c r="J57" s="76">
        <f t="shared" si="4"/>
        <v>386.05173095259511</v>
      </c>
      <c r="K57" s="81">
        <f t="shared" si="5"/>
        <v>4.4901045854425427E-2</v>
      </c>
      <c r="M57">
        <f t="shared" si="6"/>
        <v>6.0528750147996924</v>
      </c>
    </row>
    <row r="58" spans="2:13" ht="15" x14ac:dyDescent="0.25">
      <c r="B58" t="s">
        <v>157</v>
      </c>
      <c r="C58" s="76">
        <v>1250</v>
      </c>
      <c r="D58" s="77">
        <f>+F58/0.87</f>
        <v>6.9288041384069876</v>
      </c>
      <c r="E58" s="76">
        <f t="shared" si="0"/>
        <v>8661.0051730087343</v>
      </c>
      <c r="F58" s="78">
        <v>6.0280596004140792</v>
      </c>
      <c r="G58" s="76">
        <f t="shared" si="1"/>
        <v>1125.9306724911357</v>
      </c>
      <c r="H58" s="79">
        <f t="shared" si="2"/>
        <v>0.13000000000000003</v>
      </c>
      <c r="I58" s="80">
        <f t="shared" si="3"/>
        <v>731.66666666666674</v>
      </c>
      <c r="J58" s="76">
        <f t="shared" si="4"/>
        <v>394.264005824469</v>
      </c>
      <c r="K58" s="81">
        <f t="shared" si="5"/>
        <v>4.5521737713903963E-2</v>
      </c>
      <c r="M58">
        <f t="shared" si="6"/>
        <v>6.0973476417981489</v>
      </c>
    </row>
    <row r="59" spans="2:13" ht="15" x14ac:dyDescent="0.25">
      <c r="B59" t="s">
        <v>158</v>
      </c>
      <c r="C59" s="76">
        <v>1250</v>
      </c>
      <c r="D59" s="77">
        <f>+F59/0.88</f>
        <v>8.4254849226549382</v>
      </c>
      <c r="E59" s="76">
        <f t="shared" si="0"/>
        <v>10531.856153318673</v>
      </c>
      <c r="F59" s="78">
        <v>7.4144267319363459</v>
      </c>
      <c r="G59" s="76">
        <f t="shared" si="1"/>
        <v>1263.8227383982412</v>
      </c>
      <c r="H59" s="79">
        <f t="shared" si="2"/>
        <v>0.12000000000000004</v>
      </c>
      <c r="I59" s="80">
        <f t="shared" si="3"/>
        <v>731.66666666666674</v>
      </c>
      <c r="J59" s="76">
        <f t="shared" si="4"/>
        <v>532.15607173157446</v>
      </c>
      <c r="K59" s="81">
        <f t="shared" si="5"/>
        <v>5.0528232059444504E-2</v>
      </c>
      <c r="M59">
        <f t="shared" si="6"/>
        <v>7.4144267319363459</v>
      </c>
    </row>
    <row r="60" spans="2:13" ht="15" x14ac:dyDescent="0.25">
      <c r="B60" t="s">
        <v>159</v>
      </c>
      <c r="C60" s="76">
        <v>1750</v>
      </c>
      <c r="D60" s="77">
        <f>+F60/0.82</f>
        <v>4.2391303658536588</v>
      </c>
      <c r="E60" s="76">
        <f t="shared" si="0"/>
        <v>7418.478140243903</v>
      </c>
      <c r="F60" s="78">
        <v>3.4760869000000003</v>
      </c>
      <c r="G60" s="76">
        <f t="shared" si="1"/>
        <v>1335.3260652439021</v>
      </c>
      <c r="H60" s="79">
        <f t="shared" si="2"/>
        <v>0.17999999999999994</v>
      </c>
      <c r="I60" s="80">
        <f t="shared" si="3"/>
        <v>1024.3333333333335</v>
      </c>
      <c r="J60" s="76">
        <f t="shared" si="4"/>
        <v>310.99273191056864</v>
      </c>
      <c r="K60" s="81">
        <f t="shared" si="5"/>
        <v>4.1921365276186402E-2</v>
      </c>
      <c r="M60">
        <f t="shared" si="6"/>
        <v>3.7304347219512199</v>
      </c>
    </row>
    <row r="61" spans="2:13" ht="15" x14ac:dyDescent="0.25">
      <c r="B61" t="s">
        <v>160</v>
      </c>
      <c r="C61" s="76">
        <v>1750</v>
      </c>
      <c r="D61" s="77">
        <f>+F61/0.78</f>
        <v>3.2867778616352199</v>
      </c>
      <c r="E61" s="76">
        <f t="shared" si="0"/>
        <v>5751.8612578616348</v>
      </c>
      <c r="F61" s="78">
        <v>2.5636867320754715</v>
      </c>
      <c r="G61" s="76">
        <f t="shared" si="1"/>
        <v>1265.4094767295601</v>
      </c>
      <c r="H61" s="79">
        <f t="shared" si="2"/>
        <v>0.22000000000000008</v>
      </c>
      <c r="I61" s="80">
        <f t="shared" si="3"/>
        <v>1024.3333333333335</v>
      </c>
      <c r="J61" s="76">
        <f t="shared" si="4"/>
        <v>241.0761433962266</v>
      </c>
      <c r="K61" s="81">
        <f t="shared" si="5"/>
        <v>4.1912718785892845E-2</v>
      </c>
      <c r="M61">
        <f t="shared" si="6"/>
        <v>2.8923645182389937</v>
      </c>
    </row>
    <row r="62" spans="2:13" ht="15" x14ac:dyDescent="0.25">
      <c r="B62" t="s">
        <v>161</v>
      </c>
      <c r="C62" s="76">
        <v>1250</v>
      </c>
      <c r="D62" s="77">
        <f>+F62/0.86</f>
        <v>6.3955087209302341</v>
      </c>
      <c r="E62" s="76">
        <f t="shared" si="0"/>
        <v>7994.3859011627928</v>
      </c>
      <c r="F62" s="78">
        <v>5.500137500000001</v>
      </c>
      <c r="G62" s="76">
        <f t="shared" si="1"/>
        <v>1119.2140261627919</v>
      </c>
      <c r="H62" s="79">
        <f t="shared" si="2"/>
        <v>0.14000000000000012</v>
      </c>
      <c r="I62" s="80">
        <f t="shared" si="3"/>
        <v>731.66666666666674</v>
      </c>
      <c r="J62" s="76">
        <f t="shared" si="4"/>
        <v>387.54735949612518</v>
      </c>
      <c r="K62" s="81">
        <f t="shared" si="5"/>
        <v>4.8477439579162167E-2</v>
      </c>
      <c r="M62">
        <f t="shared" si="6"/>
        <v>5.6280476744186059</v>
      </c>
    </row>
    <row r="63" spans="2:13" ht="15" x14ac:dyDescent="0.25">
      <c r="B63" t="s">
        <v>162</v>
      </c>
      <c r="C63" s="76">
        <v>1250</v>
      </c>
      <c r="D63" s="77">
        <f>+F63/0.86</f>
        <v>6.1732611998954781</v>
      </c>
      <c r="E63" s="76">
        <f t="shared" si="0"/>
        <v>7716.5764998693476</v>
      </c>
      <c r="F63" s="78">
        <v>5.3090046319101107</v>
      </c>
      <c r="G63" s="76">
        <f t="shared" si="1"/>
        <v>1080.3207099817091</v>
      </c>
      <c r="H63" s="79">
        <f t="shared" si="2"/>
        <v>0.14000000000000007</v>
      </c>
      <c r="I63" s="80">
        <f t="shared" si="3"/>
        <v>731.66666666666674</v>
      </c>
      <c r="J63" s="76">
        <f t="shared" si="4"/>
        <v>348.65404331504237</v>
      </c>
      <c r="K63" s="81">
        <f t="shared" si="5"/>
        <v>4.5182477400560417E-2</v>
      </c>
      <c r="M63">
        <f t="shared" si="6"/>
        <v>5.4324698559080211</v>
      </c>
    </row>
    <row r="64" spans="2:13" ht="15" x14ac:dyDescent="0.25">
      <c r="B64" t="s">
        <v>163</v>
      </c>
      <c r="C64" s="76">
        <v>1250</v>
      </c>
      <c r="D64" s="77">
        <f>+F64/0.87</f>
        <v>6.9792169260810377</v>
      </c>
      <c r="E64" s="76">
        <f t="shared" si="0"/>
        <v>8724.0211576012971</v>
      </c>
      <c r="F64" s="78">
        <v>6.0719187256905025</v>
      </c>
      <c r="G64" s="76">
        <f t="shared" si="1"/>
        <v>1134.122750488169</v>
      </c>
      <c r="H64" s="79">
        <f t="shared" si="2"/>
        <v>0.13000000000000003</v>
      </c>
      <c r="I64" s="80">
        <f t="shared" si="3"/>
        <v>731.66666666666674</v>
      </c>
      <c r="J64" s="76">
        <f t="shared" si="4"/>
        <v>402.45608382150226</v>
      </c>
      <c r="K64" s="81">
        <f t="shared" si="5"/>
        <v>4.6131947246693644E-2</v>
      </c>
      <c r="M64">
        <f t="shared" si="6"/>
        <v>6.1417108949513128</v>
      </c>
    </row>
    <row r="65" spans="2:13" ht="15" x14ac:dyDescent="0.25">
      <c r="B65" t="s">
        <v>164</v>
      </c>
      <c r="C65" s="76">
        <v>1250</v>
      </c>
      <c r="D65" s="77">
        <f>+F65/0.86</f>
        <v>6.3788803982558155</v>
      </c>
      <c r="E65" s="76">
        <f t="shared" si="0"/>
        <v>7973.6004978197698</v>
      </c>
      <c r="F65" s="78">
        <v>5.4858371425000012</v>
      </c>
      <c r="G65" s="76">
        <f t="shared" si="1"/>
        <v>1116.3040696947683</v>
      </c>
      <c r="H65" s="79">
        <f t="shared" si="2"/>
        <v>0.14000000000000007</v>
      </c>
      <c r="I65" s="80">
        <f t="shared" si="3"/>
        <v>731.66666666666674</v>
      </c>
      <c r="J65" s="76">
        <f t="shared" si="4"/>
        <v>384.63740302810152</v>
      </c>
      <c r="K65" s="81">
        <f t="shared" si="5"/>
        <v>4.8238860616765702E-2</v>
      </c>
      <c r="M65">
        <f t="shared" si="6"/>
        <v>5.6134147504651173</v>
      </c>
    </row>
    <row r="66" spans="2:13" ht="15" x14ac:dyDescent="0.25">
      <c r="B66" t="s">
        <v>165</v>
      </c>
      <c r="C66" s="76">
        <v>1250</v>
      </c>
      <c r="D66" s="77">
        <f>+F66/0.86</f>
        <v>6.0025686651162795</v>
      </c>
      <c r="E66" s="76">
        <f t="shared" ref="E66:E73" si="7">+C66*D66</f>
        <v>7503.2108313953495</v>
      </c>
      <c r="F66" s="78">
        <v>5.1622090520000006</v>
      </c>
      <c r="G66" s="76">
        <f t="shared" ref="G66:G73" si="8">+E66-C66*F66</f>
        <v>1050.4495163953488</v>
      </c>
      <c r="H66" s="79">
        <f t="shared" ref="H66:H74" si="9">+G66/E66</f>
        <v>0.13999999999999999</v>
      </c>
      <c r="I66" s="80">
        <f t="shared" ref="I66:I73" si="10">+C66*$D$114</f>
        <v>731.66666666666674</v>
      </c>
      <c r="J66" s="76">
        <f t="shared" ref="J66:J73" si="11">+G66-I66</f>
        <v>318.78284972868209</v>
      </c>
      <c r="K66" s="81">
        <f t="shared" ref="K66:K74" si="12">+J66/E66</f>
        <v>4.2486191164296395E-2</v>
      </c>
      <c r="M66">
        <f t="shared" si="6"/>
        <v>5.2822604253023258</v>
      </c>
    </row>
    <row r="67" spans="2:13" ht="15" x14ac:dyDescent="0.25">
      <c r="B67" t="s">
        <v>166</v>
      </c>
      <c r="C67" s="76">
        <v>1250</v>
      </c>
      <c r="D67" s="77">
        <f t="shared" ref="D67:D73" si="13">+F67/0.9</f>
        <v>10.736268400000002</v>
      </c>
      <c r="E67" s="76">
        <f t="shared" si="7"/>
        <v>13420.335500000003</v>
      </c>
      <c r="F67" s="78">
        <v>9.6626415600000026</v>
      </c>
      <c r="G67" s="76">
        <f t="shared" si="8"/>
        <v>1342.0335500000001</v>
      </c>
      <c r="H67" s="79">
        <f t="shared" si="9"/>
        <v>9.9999999999999992E-2</v>
      </c>
      <c r="I67" s="80">
        <f t="shared" si="10"/>
        <v>731.66666666666674</v>
      </c>
      <c r="J67" s="76">
        <f t="shared" si="11"/>
        <v>610.36688333333336</v>
      </c>
      <c r="K67" s="81">
        <f t="shared" si="12"/>
        <v>4.5480746985299525E-2</v>
      </c>
      <c r="M67">
        <f t="shared" ref="M67:M73" si="14">+D67*0.88</f>
        <v>9.447916192000001</v>
      </c>
    </row>
    <row r="68" spans="2:13" ht="15" x14ac:dyDescent="0.25">
      <c r="B68" t="s">
        <v>167</v>
      </c>
      <c r="C68" s="76">
        <v>1250</v>
      </c>
      <c r="D68" s="77">
        <f t="shared" si="13"/>
        <v>10.462483777777779</v>
      </c>
      <c r="E68" s="76">
        <f t="shared" si="7"/>
        <v>13078.104722222224</v>
      </c>
      <c r="F68" s="78">
        <v>9.4162354000000015</v>
      </c>
      <c r="G68" s="76">
        <f t="shared" si="8"/>
        <v>1307.8104722222215</v>
      </c>
      <c r="H68" s="79">
        <f t="shared" si="9"/>
        <v>9.9999999999999936E-2</v>
      </c>
      <c r="I68" s="80">
        <f t="shared" si="10"/>
        <v>731.66666666666674</v>
      </c>
      <c r="J68" s="76">
        <f t="shared" si="11"/>
        <v>576.14380555555476</v>
      </c>
      <c r="K68" s="81">
        <f t="shared" si="12"/>
        <v>4.4054074943793285E-2</v>
      </c>
      <c r="M68">
        <f t="shared" si="14"/>
        <v>9.2069857244444453</v>
      </c>
    </row>
    <row r="69" spans="2:13" ht="15" x14ac:dyDescent="0.25">
      <c r="B69" t="s">
        <v>168</v>
      </c>
      <c r="C69" s="76">
        <v>1000</v>
      </c>
      <c r="D69" s="77">
        <f t="shared" si="13"/>
        <v>12.993905086419753</v>
      </c>
      <c r="E69" s="76">
        <f t="shared" si="7"/>
        <v>12993.905086419752</v>
      </c>
      <c r="F69" s="78">
        <v>11.694514577777777</v>
      </c>
      <c r="G69" s="76">
        <f t="shared" si="8"/>
        <v>1299.3905086419745</v>
      </c>
      <c r="H69" s="79">
        <f t="shared" si="9"/>
        <v>9.999999999999995E-2</v>
      </c>
      <c r="I69" s="80">
        <f t="shared" si="10"/>
        <v>585.33333333333337</v>
      </c>
      <c r="J69" s="76">
        <f t="shared" si="11"/>
        <v>714.05717530864115</v>
      </c>
      <c r="K69" s="81">
        <f t="shared" si="12"/>
        <v>5.4953239273305123E-2</v>
      </c>
      <c r="M69">
        <f t="shared" si="14"/>
        <v>11.434636476049382</v>
      </c>
    </row>
    <row r="70" spans="2:13" ht="15" x14ac:dyDescent="0.25">
      <c r="B70" t="s">
        <v>169</v>
      </c>
      <c r="C70" s="76">
        <v>1000</v>
      </c>
      <c r="D70" s="77">
        <f t="shared" si="13"/>
        <v>13.689231111111111</v>
      </c>
      <c r="E70" s="76">
        <f t="shared" si="7"/>
        <v>13689.23111111111</v>
      </c>
      <c r="F70" s="78">
        <v>12.320308000000001</v>
      </c>
      <c r="G70" s="76">
        <f t="shared" si="8"/>
        <v>1368.9231111111094</v>
      </c>
      <c r="H70" s="79">
        <f t="shared" si="9"/>
        <v>9.9999999999999881E-2</v>
      </c>
      <c r="I70" s="80">
        <f t="shared" si="10"/>
        <v>585.33333333333337</v>
      </c>
      <c r="J70" s="76">
        <f t="shared" si="11"/>
        <v>783.58977777777602</v>
      </c>
      <c r="K70" s="81">
        <f t="shared" si="12"/>
        <v>5.724132870704194E-2</v>
      </c>
      <c r="M70">
        <f t="shared" si="14"/>
        <v>12.046523377777778</v>
      </c>
    </row>
    <row r="71" spans="2:13" ht="15" x14ac:dyDescent="0.25">
      <c r="B71" t="s">
        <v>170</v>
      </c>
      <c r="C71" s="76">
        <v>1000</v>
      </c>
      <c r="D71" s="77">
        <f t="shared" si="13"/>
        <v>13.920394908238054</v>
      </c>
      <c r="E71" s="76">
        <f t="shared" si="7"/>
        <v>13920.394908238053</v>
      </c>
      <c r="F71" s="78">
        <v>12.528355417414248</v>
      </c>
      <c r="G71" s="76">
        <f t="shared" si="8"/>
        <v>1392.039490823805</v>
      </c>
      <c r="H71" s="79">
        <f t="shared" si="9"/>
        <v>9.9999999999999978E-2</v>
      </c>
      <c r="I71" s="80">
        <f t="shared" si="10"/>
        <v>585.33333333333337</v>
      </c>
      <c r="J71" s="76">
        <f t="shared" si="11"/>
        <v>806.70615749047158</v>
      </c>
      <c r="K71" s="81">
        <f t="shared" si="12"/>
        <v>5.7951384483572732E-2</v>
      </c>
      <c r="M71">
        <f t="shared" si="14"/>
        <v>12.249947519249487</v>
      </c>
    </row>
    <row r="72" spans="2:13" ht="15" x14ac:dyDescent="0.25">
      <c r="B72" t="s">
        <v>171</v>
      </c>
      <c r="C72" s="76">
        <v>1250</v>
      </c>
      <c r="D72" s="77">
        <f t="shared" si="13"/>
        <v>12.623426688888888</v>
      </c>
      <c r="E72" s="76">
        <f t="shared" si="7"/>
        <v>15779.283361111109</v>
      </c>
      <c r="F72" s="78">
        <v>11.36108402</v>
      </c>
      <c r="G72" s="76">
        <f t="shared" si="8"/>
        <v>1577.9283361111102</v>
      </c>
      <c r="H72" s="79">
        <f t="shared" si="9"/>
        <v>9.999999999999995E-2</v>
      </c>
      <c r="I72" s="80">
        <f t="shared" si="10"/>
        <v>731.66666666666674</v>
      </c>
      <c r="J72" s="76">
        <f t="shared" si="11"/>
        <v>846.26166944444344</v>
      </c>
      <c r="K72" s="81">
        <f t="shared" si="12"/>
        <v>5.3631185274871276E-2</v>
      </c>
      <c r="M72">
        <f t="shared" si="14"/>
        <v>11.108615486222222</v>
      </c>
    </row>
    <row r="73" spans="2:13" ht="15" x14ac:dyDescent="0.25">
      <c r="B73" t="s">
        <v>172</v>
      </c>
      <c r="C73" s="76">
        <v>1000</v>
      </c>
      <c r="D73" s="77">
        <f t="shared" si="13"/>
        <v>13.373256133744857</v>
      </c>
      <c r="E73" s="76">
        <f t="shared" si="7"/>
        <v>13373.256133744857</v>
      </c>
      <c r="F73" s="78">
        <v>12.035930520370371</v>
      </c>
      <c r="G73" s="76">
        <f t="shared" si="8"/>
        <v>1337.3256133744853</v>
      </c>
      <c r="H73" s="79">
        <f t="shared" si="9"/>
        <v>9.9999999999999978E-2</v>
      </c>
      <c r="I73" s="80">
        <f t="shared" si="10"/>
        <v>585.33333333333337</v>
      </c>
      <c r="J73" s="76">
        <f t="shared" si="11"/>
        <v>751.99228004115196</v>
      </c>
      <c r="K73" s="81">
        <f t="shared" si="12"/>
        <v>5.6231053418893479E-2</v>
      </c>
      <c r="M73">
        <f t="shared" si="14"/>
        <v>11.768465397695474</v>
      </c>
    </row>
    <row r="74" spans="2:13" ht="15" x14ac:dyDescent="0.25">
      <c r="C74" s="82">
        <f>SUM(C2:C73)</f>
        <v>100000</v>
      </c>
      <c r="D74" s="83"/>
      <c r="E74" s="82">
        <f>SUM(E2:E73)</f>
        <v>705152.96840268886</v>
      </c>
      <c r="F74" s="97" cm="1">
        <f t="array" ref="F74">SUM(F2:F73*C2:C73)</f>
        <v>611346.58498030575</v>
      </c>
      <c r="G74" s="82">
        <f>SUM(G2:G73)</f>
        <v>93806.38342238334</v>
      </c>
      <c r="H74" s="84">
        <f t="shared" si="9"/>
        <v>0.13302983554741801</v>
      </c>
      <c r="I74" s="85">
        <f>SUM(I2:I73)</f>
        <v>58533.333333333321</v>
      </c>
      <c r="J74" s="86">
        <f>SUM(J2:J73)</f>
        <v>35273.050089049997</v>
      </c>
      <c r="K74" s="81">
        <f t="shared" si="12"/>
        <v>5.002184159977436E-2</v>
      </c>
    </row>
    <row r="75" spans="2:13" x14ac:dyDescent="0.2">
      <c r="E75" s="77">
        <f>E74*12</f>
        <v>8461835.6208322663</v>
      </c>
    </row>
    <row r="77" spans="2:13" x14ac:dyDescent="0.2">
      <c r="C77" s="76" t="s">
        <v>173</v>
      </c>
      <c r="D77" s="2" t="s">
        <v>174</v>
      </c>
      <c r="E77" s="77" t="s">
        <v>175</v>
      </c>
      <c r="F77" s="77" t="s">
        <v>34</v>
      </c>
      <c r="I77" s="300"/>
    </row>
    <row r="78" spans="2:13" x14ac:dyDescent="0.2">
      <c r="C78" s="76" t="s">
        <v>176</v>
      </c>
      <c r="D78" s="2"/>
      <c r="G78" s="348" t="s">
        <v>698</v>
      </c>
      <c r="H78" s="300">
        <f>E74/C74</f>
        <v>7.0515296840268888</v>
      </c>
    </row>
    <row r="79" spans="2:13" x14ac:dyDescent="0.2">
      <c r="C79" s="76" t="s">
        <v>177</v>
      </c>
      <c r="D79" s="2">
        <v>10</v>
      </c>
      <c r="E79" s="77">
        <f>800*10</f>
        <v>8000</v>
      </c>
      <c r="F79" s="77">
        <f>+E79*0.3</f>
        <v>2400</v>
      </c>
      <c r="G79" s="348" t="s">
        <v>699</v>
      </c>
      <c r="H79" s="346">
        <f>(E74-F74)/C74</f>
        <v>0.93806383422383111</v>
      </c>
      <c r="I79" s="347" t="s">
        <v>537</v>
      </c>
    </row>
    <row r="80" spans="2:13" x14ac:dyDescent="0.2">
      <c r="C80" s="76" t="s">
        <v>178</v>
      </c>
      <c r="D80" s="2">
        <v>2</v>
      </c>
      <c r="E80" s="77">
        <v>2000</v>
      </c>
      <c r="F80" s="77">
        <f>+E80*0.3</f>
        <v>600</v>
      </c>
      <c r="I80" s="99"/>
      <c r="J80" s="98"/>
      <c r="K80" s="102"/>
      <c r="L80" s="96"/>
    </row>
    <row r="81" spans="3:14" x14ac:dyDescent="0.2">
      <c r="C81" s="76" t="s">
        <v>179</v>
      </c>
      <c r="D81" s="2">
        <v>1</v>
      </c>
      <c r="E81" s="77">
        <v>3000</v>
      </c>
      <c r="F81" s="77">
        <f>+E81*0.3</f>
        <v>900</v>
      </c>
      <c r="I81" s="99"/>
      <c r="J81" s="99"/>
      <c r="K81" s="103"/>
      <c r="L81" s="104"/>
    </row>
    <row r="82" spans="3:14" x14ac:dyDescent="0.2">
      <c r="C82" s="76" t="s">
        <v>180</v>
      </c>
      <c r="D82" s="2">
        <v>1</v>
      </c>
      <c r="E82" s="77">
        <v>1000</v>
      </c>
      <c r="F82" s="77">
        <f>+E82*0.3</f>
        <v>300</v>
      </c>
      <c r="I82" s="105"/>
      <c r="J82" s="100"/>
      <c r="K82" s="106"/>
      <c r="L82" s="101"/>
    </row>
    <row r="83" spans="3:14" x14ac:dyDescent="0.2">
      <c r="C83" s="76" t="s">
        <v>181</v>
      </c>
      <c r="D83" s="2">
        <v>2</v>
      </c>
      <c r="E83" s="77">
        <v>2000</v>
      </c>
      <c r="F83" s="77">
        <f>+E83*0.3</f>
        <v>600</v>
      </c>
      <c r="I83" s="105"/>
      <c r="J83" s="100"/>
      <c r="K83" s="106"/>
      <c r="L83" s="101"/>
    </row>
    <row r="84" spans="3:14" ht="15" x14ac:dyDescent="0.25">
      <c r="E84" s="88">
        <f>SUM(E79:E83)</f>
        <v>16000</v>
      </c>
      <c r="F84" s="88">
        <f>SUM(F79:F83)</f>
        <v>4800</v>
      </c>
      <c r="I84" s="105"/>
      <c r="J84" s="100"/>
      <c r="K84" s="106"/>
      <c r="L84" s="101"/>
    </row>
    <row r="85" spans="3:14" x14ac:dyDescent="0.2">
      <c r="I85" s="105"/>
      <c r="J85" s="100"/>
      <c r="K85" s="106"/>
      <c r="L85" s="101"/>
    </row>
    <row r="86" spans="3:14" ht="15" x14ac:dyDescent="0.25">
      <c r="C86" s="89" t="s">
        <v>182</v>
      </c>
      <c r="D86" s="88">
        <f>+E84+F84</f>
        <v>20800</v>
      </c>
      <c r="H86" s="58" t="s">
        <v>222</v>
      </c>
      <c r="I86" s="334" t="s">
        <v>223</v>
      </c>
      <c r="J86" s="334"/>
      <c r="K86" s="334"/>
      <c r="L86" s="334"/>
    </row>
    <row r="87" spans="3:14" x14ac:dyDescent="0.2">
      <c r="H87"/>
      <c r="I87" s="334"/>
      <c r="J87" s="334"/>
      <c r="K87" s="334"/>
      <c r="L87" s="334"/>
      <c r="N87" s="90"/>
    </row>
    <row r="88" spans="3:14" ht="15" x14ac:dyDescent="0.25">
      <c r="C88" s="76" t="s">
        <v>183</v>
      </c>
      <c r="D88" s="88">
        <f>SUM(D89:D92)</f>
        <v>5950</v>
      </c>
      <c r="H88"/>
      <c r="I88" s="335" t="s">
        <v>224</v>
      </c>
      <c r="J88" s="335"/>
      <c r="K88" s="335"/>
      <c r="L88" s="335"/>
      <c r="N88" s="111"/>
    </row>
    <row r="89" spans="3:14" x14ac:dyDescent="0.2">
      <c r="C89" s="76" t="s">
        <v>184</v>
      </c>
      <c r="D89" s="91">
        <f>500*5</f>
        <v>2500</v>
      </c>
      <c r="H89"/>
      <c r="I89" s="335"/>
      <c r="J89" s="335"/>
      <c r="K89" s="335"/>
      <c r="L89" s="335"/>
      <c r="N89" s="109"/>
    </row>
    <row r="90" spans="3:14" x14ac:dyDescent="0.2">
      <c r="C90" s="76" t="s">
        <v>178</v>
      </c>
      <c r="D90" s="92">
        <v>2000</v>
      </c>
      <c r="I90" s="105"/>
      <c r="J90" s="100"/>
      <c r="K90" s="106"/>
      <c r="L90" s="101"/>
    </row>
    <row r="91" spans="3:14" x14ac:dyDescent="0.2">
      <c r="C91" s="76" t="s">
        <v>185</v>
      </c>
      <c r="D91" s="92">
        <v>1000</v>
      </c>
      <c r="H91" s="336" t="s">
        <v>347</v>
      </c>
      <c r="I91" s="336"/>
      <c r="J91" s="100"/>
      <c r="K91" s="106"/>
      <c r="L91" s="101"/>
    </row>
    <row r="92" spans="3:14" x14ac:dyDescent="0.2">
      <c r="C92" s="76" t="s">
        <v>186</v>
      </c>
      <c r="D92" s="93">
        <v>450</v>
      </c>
      <c r="H92" s="99" t="s">
        <v>346</v>
      </c>
      <c r="I92" s="100">
        <v>0.25</v>
      </c>
      <c r="L92" s="101"/>
    </row>
    <row r="93" spans="3:14" x14ac:dyDescent="0.2">
      <c r="H93" s="99" t="s">
        <v>345</v>
      </c>
      <c r="I93" s="100">
        <v>0.18</v>
      </c>
      <c r="J93" s="100"/>
    </row>
    <row r="94" spans="3:14" ht="15" x14ac:dyDescent="0.25">
      <c r="C94" s="76" t="s">
        <v>187</v>
      </c>
      <c r="D94" s="88">
        <f>SUM(D95:D98)</f>
        <v>14500</v>
      </c>
      <c r="H94" s="99" t="s">
        <v>348</v>
      </c>
      <c r="I94" s="99"/>
    </row>
    <row r="95" spans="3:14" x14ac:dyDescent="0.2">
      <c r="C95" s="76" t="s">
        <v>188</v>
      </c>
      <c r="D95" s="77">
        <f>500*5+1200</f>
        <v>3700</v>
      </c>
    </row>
    <row r="96" spans="3:14" x14ac:dyDescent="0.2">
      <c r="C96" s="76" t="s">
        <v>189</v>
      </c>
      <c r="D96" s="77">
        <f>100*22+50*22</f>
        <v>3300</v>
      </c>
    </row>
    <row r="97" spans="3:4" x14ac:dyDescent="0.2">
      <c r="C97" s="76" t="s">
        <v>190</v>
      </c>
      <c r="D97" s="77">
        <f>50*22+100*10+120*20</f>
        <v>4500</v>
      </c>
    </row>
    <row r="98" spans="3:4" x14ac:dyDescent="0.2">
      <c r="C98" s="76" t="s">
        <v>191</v>
      </c>
      <c r="D98" s="77">
        <v>3000</v>
      </c>
    </row>
    <row r="99" spans="3:4" x14ac:dyDescent="0.2">
      <c r="D99" s="77"/>
    </row>
    <row r="100" spans="3:4" ht="15" x14ac:dyDescent="0.25">
      <c r="C100" s="76" t="s">
        <v>192</v>
      </c>
      <c r="D100" s="88">
        <f>SUM(D101:D103)</f>
        <v>1300</v>
      </c>
    </row>
    <row r="101" spans="3:4" x14ac:dyDescent="0.2">
      <c r="C101" s="76" t="s">
        <v>193</v>
      </c>
      <c r="D101" s="77">
        <v>1000</v>
      </c>
    </row>
    <row r="102" spans="3:4" x14ac:dyDescent="0.2">
      <c r="C102" s="76" t="s">
        <v>185</v>
      </c>
      <c r="D102" s="77">
        <v>200</v>
      </c>
    </row>
    <row r="103" spans="3:4" x14ac:dyDescent="0.2">
      <c r="C103" s="76" t="s">
        <v>186</v>
      </c>
      <c r="D103" s="77">
        <v>100</v>
      </c>
    </row>
    <row r="104" spans="3:4" x14ac:dyDescent="0.2">
      <c r="D104" s="77"/>
    </row>
    <row r="105" spans="3:4" ht="15" x14ac:dyDescent="0.25">
      <c r="C105" s="76" t="s">
        <v>194</v>
      </c>
      <c r="D105" s="88">
        <f>SUM(D106:D110)</f>
        <v>15983.333333333334</v>
      </c>
    </row>
    <row r="106" spans="3:4" x14ac:dyDescent="0.2">
      <c r="C106" s="76" t="s">
        <v>195</v>
      </c>
      <c r="D106" s="77">
        <f>400*6/12</f>
        <v>200</v>
      </c>
    </row>
    <row r="107" spans="3:4" x14ac:dyDescent="0.2">
      <c r="C107" s="76" t="s">
        <v>196</v>
      </c>
      <c r="D107" s="77">
        <f>200+200+50+200</f>
        <v>650</v>
      </c>
    </row>
    <row r="108" spans="3:4" x14ac:dyDescent="0.2">
      <c r="C108" s="76" t="s">
        <v>197</v>
      </c>
      <c r="D108" s="77">
        <f>1000000*0.04/12</f>
        <v>3333.3333333333335</v>
      </c>
    </row>
    <row r="109" spans="3:4" x14ac:dyDescent="0.2">
      <c r="C109" s="76" t="s">
        <v>198</v>
      </c>
      <c r="D109" s="77">
        <v>900</v>
      </c>
    </row>
    <row r="110" spans="3:4" x14ac:dyDescent="0.2">
      <c r="C110" s="76" t="s">
        <v>199</v>
      </c>
      <c r="D110" s="77">
        <f>1500+900+500+8000</f>
        <v>10900</v>
      </c>
    </row>
    <row r="112" spans="3:4" ht="15" x14ac:dyDescent="0.25">
      <c r="C112" s="83" t="s">
        <v>200</v>
      </c>
      <c r="D112" s="94">
        <f>+D86+D88+D94+D100+D105</f>
        <v>58533.333333333336</v>
      </c>
    </row>
    <row r="114" spans="3:4" x14ac:dyDescent="0.2">
      <c r="C114" s="89" t="s">
        <v>201</v>
      </c>
      <c r="D114" s="3">
        <f>+D112/C74</f>
        <v>0.58533333333333337</v>
      </c>
    </row>
  </sheetData>
  <mergeCells count="3">
    <mergeCell ref="I86:L87"/>
    <mergeCell ref="I88:L89"/>
    <mergeCell ref="H91:I91"/>
  </mergeCells>
  <conditionalFormatting sqref="H1:I1">
    <cfRule type="cellIs" dxfId="1" priority="2" operator="lessThan">
      <formula>0</formula>
    </cfRule>
  </conditionalFormatting>
  <conditionalFormatting sqref="K1">
    <cfRule type="cellIs" dxfId="0" priority="1" operator="lessThan">
      <formula>0</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19B3C-823D-4686-B8C7-78628665C840}">
  <dimension ref="C3:N68"/>
  <sheetViews>
    <sheetView workbookViewId="0">
      <selection activeCell="H27" sqref="H27"/>
    </sheetView>
  </sheetViews>
  <sheetFormatPr baseColWidth="10" defaultRowHeight="12" x14ac:dyDescent="0.2"/>
  <cols>
    <col min="1" max="16384" width="11.42578125" style="171"/>
  </cols>
  <sheetData>
    <row r="3" spans="3:14" x14ac:dyDescent="0.2">
      <c r="C3" s="172" t="s">
        <v>387</v>
      </c>
      <c r="D3" s="172">
        <v>0</v>
      </c>
      <c r="E3" s="172">
        <v>1</v>
      </c>
      <c r="F3" s="172">
        <v>2</v>
      </c>
      <c r="G3" s="172">
        <v>3</v>
      </c>
      <c r="H3" s="173"/>
      <c r="I3" s="173"/>
      <c r="J3" s="172" t="s">
        <v>388</v>
      </c>
      <c r="K3" s="172">
        <v>0</v>
      </c>
      <c r="L3" s="172">
        <v>1</v>
      </c>
      <c r="M3" s="172">
        <v>2</v>
      </c>
      <c r="N3" s="172">
        <v>3</v>
      </c>
    </row>
    <row r="4" spans="3:14" x14ac:dyDescent="0.2">
      <c r="C4" s="173" t="s">
        <v>389</v>
      </c>
      <c r="D4" s="174">
        <v>1500</v>
      </c>
      <c r="E4" s="174">
        <v>1680.0000000000002</v>
      </c>
      <c r="F4" s="174">
        <v>1881.6000000000004</v>
      </c>
      <c r="G4" s="174">
        <v>2107.3920000000007</v>
      </c>
      <c r="H4" s="173"/>
      <c r="I4" s="173"/>
      <c r="J4" s="173" t="s">
        <v>390</v>
      </c>
      <c r="K4" s="173">
        <v>0.12</v>
      </c>
      <c r="L4" s="173">
        <v>0.12</v>
      </c>
      <c r="M4" s="173">
        <v>0.12</v>
      </c>
      <c r="N4" s="173">
        <v>0.12</v>
      </c>
    </row>
    <row r="5" spans="3:14" x14ac:dyDescent="0.2">
      <c r="C5" s="175" t="s">
        <v>0</v>
      </c>
      <c r="D5" s="174">
        <v>1500</v>
      </c>
      <c r="E5" s="174">
        <v>1680.0000000000002</v>
      </c>
      <c r="F5" s="174">
        <v>1881.6000000000004</v>
      </c>
      <c r="G5" s="174">
        <v>2107.3920000000007</v>
      </c>
      <c r="H5" s="173"/>
      <c r="I5" s="173"/>
      <c r="J5" s="173" t="s">
        <v>391</v>
      </c>
      <c r="K5" s="173">
        <v>0.1</v>
      </c>
      <c r="L5" s="173">
        <v>0.1</v>
      </c>
      <c r="M5" s="173">
        <v>0.1</v>
      </c>
      <c r="N5" s="173">
        <v>0.1</v>
      </c>
    </row>
    <row r="6" spans="3:14" x14ac:dyDescent="0.2">
      <c r="C6" s="175" t="s">
        <v>392</v>
      </c>
      <c r="D6" s="174">
        <v>0</v>
      </c>
      <c r="E6" s="174">
        <v>0</v>
      </c>
      <c r="F6" s="174">
        <v>0</v>
      </c>
      <c r="G6" s="174">
        <v>0</v>
      </c>
      <c r="H6" s="173"/>
      <c r="I6" s="173"/>
      <c r="J6" s="173"/>
      <c r="K6" s="173"/>
      <c r="L6" s="173"/>
      <c r="M6" s="173"/>
      <c r="N6" s="173"/>
    </row>
    <row r="7" spans="3:14" x14ac:dyDescent="0.2">
      <c r="C7" s="173" t="s">
        <v>393</v>
      </c>
      <c r="D7" s="174">
        <v>-800</v>
      </c>
      <c r="E7" s="174">
        <v>-880.00000000000011</v>
      </c>
      <c r="F7" s="174">
        <v>-968.00000000000023</v>
      </c>
      <c r="G7" s="174">
        <v>-1064.8000000000004</v>
      </c>
      <c r="H7" s="173"/>
      <c r="I7" s="173"/>
      <c r="J7" s="173" t="s">
        <v>394</v>
      </c>
      <c r="K7" s="173">
        <v>0.05</v>
      </c>
      <c r="L7" s="173">
        <v>0.05</v>
      </c>
      <c r="M7" s="173">
        <v>0.05</v>
      </c>
      <c r="N7" s="173">
        <v>0.05</v>
      </c>
    </row>
    <row r="8" spans="3:14" x14ac:dyDescent="0.2">
      <c r="C8" s="176" t="s">
        <v>395</v>
      </c>
      <c r="D8" s="177">
        <v>700</v>
      </c>
      <c r="E8" s="177">
        <v>800.00000000000011</v>
      </c>
      <c r="F8" s="177">
        <v>913.60000000000014</v>
      </c>
      <c r="G8" s="177">
        <v>1042.5920000000003</v>
      </c>
      <c r="H8" s="173"/>
      <c r="I8" s="173"/>
      <c r="J8" s="173" t="s">
        <v>396</v>
      </c>
      <c r="K8" s="173">
        <v>0.15</v>
      </c>
      <c r="L8" s="173">
        <v>0.15</v>
      </c>
      <c r="M8" s="173">
        <v>0.15</v>
      </c>
      <c r="N8" s="173">
        <v>0.15</v>
      </c>
    </row>
    <row r="9" spans="3:14" x14ac:dyDescent="0.2">
      <c r="C9" s="173" t="s">
        <v>397</v>
      </c>
      <c r="D9" s="174">
        <v>-180</v>
      </c>
      <c r="E9" s="174">
        <v>-189</v>
      </c>
      <c r="F9" s="174">
        <v>-198.45000000000002</v>
      </c>
      <c r="G9" s="174">
        <v>-208.37250000000003</v>
      </c>
      <c r="H9" s="173"/>
      <c r="I9" s="173"/>
      <c r="J9" s="173" t="s">
        <v>398</v>
      </c>
      <c r="K9" s="173">
        <v>0.02</v>
      </c>
      <c r="L9" s="173">
        <v>0.02</v>
      </c>
      <c r="M9" s="173">
        <v>0.02</v>
      </c>
      <c r="N9" s="173">
        <v>0.02</v>
      </c>
    </row>
    <row r="10" spans="3:14" x14ac:dyDescent="0.2">
      <c r="C10" s="173" t="s">
        <v>399</v>
      </c>
      <c r="D10" s="174">
        <v>-50</v>
      </c>
      <c r="E10" s="174">
        <v>-33.600000000000009</v>
      </c>
      <c r="F10" s="174">
        <v>-37.632000000000005</v>
      </c>
      <c r="G10" s="174">
        <v>-42.147840000000016</v>
      </c>
      <c r="H10" s="173"/>
      <c r="I10" s="173"/>
      <c r="J10" s="173"/>
      <c r="K10" s="173"/>
      <c r="L10" s="173"/>
      <c r="M10" s="173"/>
      <c r="N10" s="173"/>
    </row>
    <row r="11" spans="3:14" x14ac:dyDescent="0.2">
      <c r="C11" s="173" t="s">
        <v>400</v>
      </c>
      <c r="D11" s="174">
        <v>30</v>
      </c>
      <c r="E11" s="174">
        <v>28.349999999999998</v>
      </c>
      <c r="F11" s="174">
        <v>29.767500000000002</v>
      </c>
      <c r="G11" s="174">
        <v>31.255875000000003</v>
      </c>
      <c r="H11" s="173"/>
      <c r="I11" s="173"/>
      <c r="J11" s="173" t="s">
        <v>401</v>
      </c>
      <c r="K11" s="173">
        <v>0.06</v>
      </c>
      <c r="L11" s="173">
        <v>0.06</v>
      </c>
      <c r="M11" s="173">
        <v>0.06</v>
      </c>
      <c r="N11" s="173">
        <v>0.06</v>
      </c>
    </row>
    <row r="12" spans="3:14" x14ac:dyDescent="0.2">
      <c r="C12" s="176" t="s">
        <v>402</v>
      </c>
      <c r="D12" s="177">
        <v>500</v>
      </c>
      <c r="E12" s="177">
        <v>605.75000000000011</v>
      </c>
      <c r="F12" s="177">
        <v>707.28550000000007</v>
      </c>
      <c r="G12" s="177">
        <v>823.32753500000035</v>
      </c>
      <c r="H12" s="173"/>
      <c r="I12" s="173"/>
      <c r="J12" s="173" t="s">
        <v>403</v>
      </c>
      <c r="K12" s="173"/>
      <c r="L12" s="173">
        <v>100</v>
      </c>
      <c r="M12" s="173">
        <v>90</v>
      </c>
      <c r="N12" s="173">
        <v>80</v>
      </c>
    </row>
    <row r="13" spans="3:14" x14ac:dyDescent="0.2">
      <c r="C13" s="173" t="s">
        <v>404</v>
      </c>
      <c r="D13" s="174">
        <v>-260</v>
      </c>
      <c r="E13" s="174">
        <v>-192</v>
      </c>
      <c r="F13" s="174">
        <v>-199.70099999999999</v>
      </c>
      <c r="G13" s="174">
        <v>-206.28704999999999</v>
      </c>
      <c r="H13" s="173"/>
      <c r="I13" s="173"/>
      <c r="J13" s="173"/>
      <c r="K13" s="173"/>
      <c r="L13" s="173"/>
      <c r="M13" s="173"/>
      <c r="N13" s="173"/>
    </row>
    <row r="14" spans="3:14" x14ac:dyDescent="0.2">
      <c r="C14" s="176" t="s">
        <v>405</v>
      </c>
      <c r="D14" s="177">
        <v>240</v>
      </c>
      <c r="E14" s="177">
        <v>413.75000000000011</v>
      </c>
      <c r="F14" s="177">
        <v>507.58450000000005</v>
      </c>
      <c r="G14" s="177">
        <v>617.04048500000033</v>
      </c>
      <c r="H14" s="173"/>
      <c r="I14" s="173"/>
      <c r="J14" s="173" t="s">
        <v>406</v>
      </c>
      <c r="K14" s="173"/>
      <c r="L14" s="173">
        <v>100</v>
      </c>
      <c r="M14" s="173">
        <v>80</v>
      </c>
      <c r="N14" s="173">
        <v>60</v>
      </c>
    </row>
    <row r="15" spans="3:14" x14ac:dyDescent="0.2">
      <c r="C15" s="173" t="s">
        <v>407</v>
      </c>
      <c r="D15" s="174">
        <v>-100</v>
      </c>
      <c r="E15" s="174">
        <v>-100</v>
      </c>
      <c r="F15" s="174">
        <v>-90</v>
      </c>
      <c r="G15" s="174">
        <v>-80</v>
      </c>
      <c r="H15" s="173"/>
      <c r="I15" s="173"/>
      <c r="J15" s="173"/>
      <c r="K15" s="173"/>
      <c r="L15" s="173"/>
      <c r="M15" s="173"/>
      <c r="N15" s="173"/>
    </row>
    <row r="16" spans="3:14" x14ac:dyDescent="0.2">
      <c r="C16" s="173" t="s">
        <v>408</v>
      </c>
      <c r="D16" s="174">
        <v>0</v>
      </c>
      <c r="E16" s="174">
        <v>0</v>
      </c>
      <c r="F16" s="174">
        <v>0</v>
      </c>
      <c r="G16" s="174">
        <v>0</v>
      </c>
      <c r="H16" s="173"/>
      <c r="I16" s="173"/>
      <c r="J16" s="173" t="s">
        <v>409</v>
      </c>
      <c r="K16" s="173"/>
      <c r="L16" s="173">
        <v>0.3</v>
      </c>
      <c r="M16" s="173">
        <v>0.3</v>
      </c>
      <c r="N16" s="173">
        <v>0.3</v>
      </c>
    </row>
    <row r="17" spans="3:11" x14ac:dyDescent="0.2">
      <c r="C17" s="173" t="s">
        <v>410</v>
      </c>
      <c r="D17" s="174">
        <v>-39</v>
      </c>
      <c r="E17" s="174">
        <v>-94.125000000000028</v>
      </c>
      <c r="F17" s="174">
        <v>-125.27535</v>
      </c>
      <c r="G17" s="174">
        <v>-161.11214550000008</v>
      </c>
      <c r="H17" s="173"/>
      <c r="I17" s="173"/>
      <c r="J17" s="172" t="s">
        <v>388</v>
      </c>
      <c r="K17" s="173"/>
    </row>
    <row r="18" spans="3:11" x14ac:dyDescent="0.2">
      <c r="C18" s="176" t="s">
        <v>411</v>
      </c>
      <c r="D18" s="177">
        <v>101</v>
      </c>
      <c r="E18" s="177">
        <v>219.62500000000009</v>
      </c>
      <c r="F18" s="177">
        <v>292.30915000000005</v>
      </c>
      <c r="G18" s="177">
        <v>375.92833950000022</v>
      </c>
      <c r="H18" s="173"/>
      <c r="I18" s="173"/>
      <c r="J18" s="173" t="s">
        <v>412</v>
      </c>
      <c r="K18" s="173">
        <v>30</v>
      </c>
    </row>
    <row r="19" spans="3:11" x14ac:dyDescent="0.2">
      <c r="C19" s="176"/>
      <c r="D19" s="173"/>
      <c r="E19" s="173"/>
      <c r="F19" s="173"/>
      <c r="G19" s="173"/>
      <c r="H19" s="173"/>
      <c r="I19" s="173"/>
      <c r="J19" s="173" t="s">
        <v>413</v>
      </c>
      <c r="K19" s="173">
        <v>60</v>
      </c>
    </row>
    <row r="20" spans="3:11" x14ac:dyDescent="0.2">
      <c r="C20" s="173"/>
      <c r="D20" s="173"/>
      <c r="E20" s="173"/>
      <c r="F20" s="173"/>
      <c r="G20" s="173"/>
      <c r="H20" s="173"/>
      <c r="I20" s="173"/>
      <c r="J20" s="173" t="s">
        <v>414</v>
      </c>
      <c r="K20" s="173">
        <v>9</v>
      </c>
    </row>
    <row r="21" spans="3:11" x14ac:dyDescent="0.2">
      <c r="C21" s="172" t="s">
        <v>415</v>
      </c>
      <c r="D21" s="172">
        <v>0</v>
      </c>
      <c r="E21" s="172">
        <v>1</v>
      </c>
      <c r="F21" s="172">
        <v>2</v>
      </c>
      <c r="G21" s="172">
        <v>3</v>
      </c>
      <c r="H21" s="173"/>
      <c r="I21" s="173"/>
      <c r="J21" s="173" t="s">
        <v>416</v>
      </c>
      <c r="K21" s="173" t="s">
        <v>417</v>
      </c>
    </row>
    <row r="22" spans="3:11" x14ac:dyDescent="0.2">
      <c r="C22" s="176" t="s">
        <v>418</v>
      </c>
      <c r="D22" s="178">
        <v>1361</v>
      </c>
      <c r="E22" s="178">
        <v>1580.625</v>
      </c>
      <c r="F22" s="178">
        <v>1872.93415</v>
      </c>
      <c r="G22" s="178">
        <v>2248.8624895000003</v>
      </c>
      <c r="H22" s="173"/>
      <c r="I22" s="173"/>
      <c r="J22" s="173" t="s">
        <v>419</v>
      </c>
      <c r="K22" s="173" t="s">
        <v>417</v>
      </c>
    </row>
    <row r="23" spans="3:11" x14ac:dyDescent="0.2">
      <c r="C23" s="173" t="s">
        <v>420</v>
      </c>
      <c r="D23" s="178">
        <v>1130</v>
      </c>
      <c r="E23" s="178">
        <v>1130</v>
      </c>
      <c r="F23" s="178">
        <v>1130</v>
      </c>
      <c r="G23" s="178">
        <v>1130</v>
      </c>
      <c r="H23" s="173"/>
      <c r="I23" s="173" t="s">
        <v>421</v>
      </c>
      <c r="J23" s="173"/>
      <c r="K23" s="173"/>
    </row>
    <row r="24" spans="3:11" x14ac:dyDescent="0.2">
      <c r="C24" s="173" t="s">
        <v>422</v>
      </c>
      <c r="D24" s="178">
        <v>130</v>
      </c>
      <c r="E24" s="178">
        <v>231</v>
      </c>
      <c r="F24" s="178">
        <v>450.62500000000011</v>
      </c>
      <c r="G24" s="178">
        <v>742.93415000000016</v>
      </c>
      <c r="H24" s="173"/>
      <c r="I24" s="173" t="s">
        <v>423</v>
      </c>
      <c r="J24" s="173"/>
      <c r="K24" s="173"/>
    </row>
    <row r="25" spans="3:11" x14ac:dyDescent="0.2">
      <c r="C25" s="173" t="s">
        <v>424</v>
      </c>
      <c r="D25" s="178">
        <v>101</v>
      </c>
      <c r="E25" s="178">
        <v>219.62500000000009</v>
      </c>
      <c r="F25" s="178">
        <v>292.30915000000005</v>
      </c>
      <c r="G25" s="178">
        <v>375.92833950000022</v>
      </c>
      <c r="H25" s="173"/>
      <c r="I25" s="173"/>
      <c r="J25" s="173"/>
      <c r="K25" s="173"/>
    </row>
    <row r="26" spans="3:11" x14ac:dyDescent="0.2">
      <c r="C26" s="176" t="s">
        <v>425</v>
      </c>
      <c r="D26" s="178">
        <v>900</v>
      </c>
      <c r="E26" s="178">
        <v>800</v>
      </c>
      <c r="F26" s="178">
        <v>700</v>
      </c>
      <c r="G26" s="178">
        <v>600</v>
      </c>
      <c r="H26" s="173"/>
      <c r="I26" s="173"/>
      <c r="J26" s="173"/>
      <c r="K26" s="173"/>
    </row>
    <row r="27" spans="3:11" x14ac:dyDescent="0.2">
      <c r="C27" s="173" t="s">
        <v>426</v>
      </c>
      <c r="D27" s="178">
        <v>900</v>
      </c>
      <c r="E27" s="178">
        <v>800</v>
      </c>
      <c r="F27" s="178">
        <v>700</v>
      </c>
      <c r="G27" s="178">
        <v>600</v>
      </c>
      <c r="H27" s="173"/>
      <c r="I27" s="173" t="s">
        <v>427</v>
      </c>
      <c r="J27" s="173"/>
      <c r="K27" s="173"/>
    </row>
    <row r="28" spans="3:11" x14ac:dyDescent="0.2">
      <c r="C28" s="176" t="s">
        <v>428</v>
      </c>
      <c r="D28" s="178">
        <v>195</v>
      </c>
      <c r="E28" s="178">
        <v>172.32876712328766</v>
      </c>
      <c r="F28" s="178">
        <v>179.56164383561645</v>
      </c>
      <c r="G28" s="178">
        <v>187.51780821917811</v>
      </c>
      <c r="H28" s="173"/>
      <c r="I28" s="173"/>
      <c r="J28" s="173"/>
      <c r="K28" s="173"/>
    </row>
    <row r="29" spans="3:11" x14ac:dyDescent="0.2">
      <c r="C29" s="173" t="s">
        <v>429</v>
      </c>
      <c r="D29" s="178">
        <v>95</v>
      </c>
      <c r="E29" s="178">
        <v>72.328767123287676</v>
      </c>
      <c r="F29" s="178">
        <v>79.561643835616465</v>
      </c>
      <c r="G29" s="178">
        <v>87.517808219178107</v>
      </c>
      <c r="H29" s="173"/>
      <c r="I29" s="173" t="s">
        <v>430</v>
      </c>
      <c r="J29" s="173"/>
      <c r="K29" s="173"/>
    </row>
    <row r="30" spans="3:11" x14ac:dyDescent="0.2">
      <c r="C30" s="173" t="s">
        <v>431</v>
      </c>
      <c r="D30" s="178">
        <v>100</v>
      </c>
      <c r="E30" s="178">
        <v>100</v>
      </c>
      <c r="F30" s="178">
        <v>100</v>
      </c>
      <c r="G30" s="178">
        <v>100</v>
      </c>
      <c r="H30" s="173"/>
      <c r="I30" s="173"/>
      <c r="J30" s="173"/>
      <c r="K30" s="173"/>
    </row>
    <row r="31" spans="3:11" x14ac:dyDescent="0.2">
      <c r="C31" s="176" t="s">
        <v>432</v>
      </c>
      <c r="D31" s="178">
        <v>2456</v>
      </c>
      <c r="E31" s="178">
        <v>2552.9537671232874</v>
      </c>
      <c r="F31" s="178">
        <v>2752.4957938356165</v>
      </c>
      <c r="G31" s="178">
        <v>3036.3802977191781</v>
      </c>
      <c r="H31" s="173"/>
      <c r="I31" s="173"/>
      <c r="J31" s="173"/>
      <c r="K31" s="173"/>
    </row>
    <row r="32" spans="3:11" x14ac:dyDescent="0.2">
      <c r="C32" s="173"/>
      <c r="D32" s="178"/>
      <c r="E32" s="178"/>
      <c r="F32" s="178"/>
      <c r="G32" s="178"/>
      <c r="H32" s="173"/>
      <c r="I32" s="173"/>
      <c r="J32" s="173"/>
      <c r="K32" s="173"/>
    </row>
    <row r="33" spans="3:9" x14ac:dyDescent="0.2">
      <c r="C33" s="172" t="s">
        <v>433</v>
      </c>
      <c r="D33" s="172">
        <v>0</v>
      </c>
      <c r="E33" s="172">
        <v>1</v>
      </c>
      <c r="F33" s="172">
        <v>2</v>
      </c>
      <c r="G33" s="172">
        <v>3</v>
      </c>
      <c r="H33" s="173"/>
      <c r="I33" s="173"/>
    </row>
    <row r="34" spans="3:9" x14ac:dyDescent="0.2">
      <c r="C34" s="176" t="s">
        <v>434</v>
      </c>
      <c r="D34" s="178">
        <v>2040</v>
      </c>
      <c r="E34" s="178">
        <v>1976.35</v>
      </c>
      <c r="F34" s="178">
        <v>1886.4164999999998</v>
      </c>
      <c r="G34" s="178">
        <v>1771.3853249999997</v>
      </c>
      <c r="H34" s="173"/>
      <c r="I34" s="173"/>
    </row>
    <row r="35" spans="3:9" x14ac:dyDescent="0.2">
      <c r="C35" s="173" t="s">
        <v>435</v>
      </c>
      <c r="D35" s="178">
        <v>3200</v>
      </c>
      <c r="E35" s="178">
        <v>3328.35</v>
      </c>
      <c r="F35" s="178">
        <v>3438.1174999999998</v>
      </c>
      <c r="G35" s="178">
        <v>3529.3733749999997</v>
      </c>
      <c r="H35" s="173"/>
      <c r="I35" s="173" t="s">
        <v>436</v>
      </c>
    </row>
    <row r="36" spans="3:9" x14ac:dyDescent="0.2">
      <c r="C36" s="173" t="s">
        <v>437</v>
      </c>
      <c r="D36" s="178">
        <v>-1160</v>
      </c>
      <c r="E36" s="178">
        <v>-1352</v>
      </c>
      <c r="F36" s="178">
        <v>-1551.701</v>
      </c>
      <c r="G36" s="178">
        <v>-1757.9880499999999</v>
      </c>
      <c r="H36" s="173"/>
      <c r="I36" s="173"/>
    </row>
    <row r="37" spans="3:9" x14ac:dyDescent="0.2">
      <c r="C37" s="173" t="s">
        <v>438</v>
      </c>
      <c r="D37" s="178">
        <v>2040</v>
      </c>
      <c r="E37" s="178">
        <v>1976.35</v>
      </c>
      <c r="F37" s="178">
        <v>1886.4164999999998</v>
      </c>
      <c r="G37" s="178">
        <v>1771.3853249999997</v>
      </c>
      <c r="H37" s="173"/>
      <c r="I37" s="173"/>
    </row>
    <row r="38" spans="3:9" x14ac:dyDescent="0.2">
      <c r="C38" s="176" t="s">
        <v>439</v>
      </c>
      <c r="D38" s="178">
        <v>416</v>
      </c>
      <c r="E38" s="178">
        <v>576.60376712328753</v>
      </c>
      <c r="F38" s="178">
        <v>866.07929383561668</v>
      </c>
      <c r="G38" s="178">
        <v>1264.9949727191783</v>
      </c>
      <c r="H38" s="173"/>
      <c r="I38" s="173" t="s">
        <v>440</v>
      </c>
    </row>
    <row r="39" spans="3:9" x14ac:dyDescent="0.2">
      <c r="C39" s="173" t="s">
        <v>416</v>
      </c>
      <c r="D39" s="178">
        <v>148</v>
      </c>
      <c r="E39" s="178">
        <v>148</v>
      </c>
      <c r="F39" s="178">
        <v>148</v>
      </c>
      <c r="G39" s="178">
        <v>148</v>
      </c>
      <c r="H39" s="173"/>
      <c r="I39" s="173" t="s">
        <v>417</v>
      </c>
    </row>
    <row r="40" spans="3:9" x14ac:dyDescent="0.2">
      <c r="C40" s="173" t="s">
        <v>441</v>
      </c>
      <c r="D40" s="178">
        <v>290</v>
      </c>
      <c r="E40" s="178">
        <v>276.16438356164389</v>
      </c>
      <c r="F40" s="178">
        <v>309.30410958904116</v>
      </c>
      <c r="G40" s="178">
        <v>346.42060273972618</v>
      </c>
      <c r="H40" s="173"/>
      <c r="I40" s="173" t="s">
        <v>442</v>
      </c>
    </row>
    <row r="41" spans="3:9" x14ac:dyDescent="0.2">
      <c r="C41" s="173" t="s">
        <v>443</v>
      </c>
      <c r="D41" s="178">
        <v>-60</v>
      </c>
      <c r="E41" s="178">
        <v>-33.600000000000009</v>
      </c>
      <c r="F41" s="178">
        <v>-37.632000000000005</v>
      </c>
      <c r="G41" s="178">
        <v>-42.147840000000016</v>
      </c>
      <c r="H41" s="173"/>
      <c r="I41" s="173" t="s">
        <v>444</v>
      </c>
    </row>
    <row r="42" spans="3:9" x14ac:dyDescent="0.2">
      <c r="C42" s="173" t="s">
        <v>445</v>
      </c>
      <c r="D42" s="178">
        <v>38</v>
      </c>
      <c r="E42" s="179">
        <v>186.03938356164366</v>
      </c>
      <c r="F42" s="179">
        <v>446.40718424657553</v>
      </c>
      <c r="G42" s="179">
        <v>812.72220997945215</v>
      </c>
      <c r="H42" s="173"/>
      <c r="I42" s="173" t="s">
        <v>446</v>
      </c>
    </row>
    <row r="43" spans="3:9" x14ac:dyDescent="0.2">
      <c r="C43" s="176" t="s">
        <v>447</v>
      </c>
      <c r="D43" s="178">
        <v>2456</v>
      </c>
      <c r="E43" s="178">
        <v>2552.9537671232874</v>
      </c>
      <c r="F43" s="178">
        <v>2752.4957938356165</v>
      </c>
      <c r="G43" s="178">
        <v>3036.3802977191781</v>
      </c>
      <c r="H43" s="173"/>
      <c r="I43" s="173" t="s">
        <v>448</v>
      </c>
    </row>
    <row r="44" spans="3:9" x14ac:dyDescent="0.2">
      <c r="C44" s="173"/>
      <c r="D44" s="178"/>
      <c r="E44" s="178"/>
      <c r="F44" s="178"/>
      <c r="G44" s="178"/>
      <c r="H44" s="173"/>
      <c r="I44" s="173"/>
    </row>
    <row r="45" spans="3:9" x14ac:dyDescent="0.2">
      <c r="C45" s="172" t="s">
        <v>449</v>
      </c>
      <c r="D45" s="172">
        <v>0</v>
      </c>
      <c r="E45" s="172">
        <v>1</v>
      </c>
      <c r="F45" s="172">
        <v>2</v>
      </c>
      <c r="G45" s="172">
        <v>3</v>
      </c>
      <c r="H45" s="173"/>
      <c r="I45" s="173"/>
    </row>
    <row r="46" spans="3:9" x14ac:dyDescent="0.2">
      <c r="C46" s="176" t="s">
        <v>402</v>
      </c>
      <c r="D46" s="178">
        <v>500</v>
      </c>
      <c r="E46" s="178">
        <v>605.75000000000011</v>
      </c>
      <c r="F46" s="178">
        <v>707.28550000000007</v>
      </c>
      <c r="G46" s="178">
        <v>823.32753500000035</v>
      </c>
      <c r="H46" s="173"/>
      <c r="I46" s="173"/>
    </row>
    <row r="47" spans="3:9" x14ac:dyDescent="0.2">
      <c r="C47" s="173" t="s">
        <v>450</v>
      </c>
      <c r="D47" s="178"/>
      <c r="E47" s="178">
        <v>-26.399999999999991</v>
      </c>
      <c r="F47" s="178">
        <v>4.0319999999999965</v>
      </c>
      <c r="G47" s="178">
        <v>4.5158400000000114</v>
      </c>
      <c r="H47" s="173"/>
      <c r="I47" s="173"/>
    </row>
    <row r="48" spans="3:9" x14ac:dyDescent="0.2">
      <c r="C48" s="173" t="s">
        <v>410</v>
      </c>
      <c r="D48" s="178">
        <v>-39</v>
      </c>
      <c r="E48" s="178">
        <v>-94.125000000000028</v>
      </c>
      <c r="F48" s="178">
        <v>-125.27535</v>
      </c>
      <c r="G48" s="178">
        <v>-161.11214550000008</v>
      </c>
      <c r="H48" s="173"/>
      <c r="I48" s="173"/>
    </row>
    <row r="49" spans="3:9" x14ac:dyDescent="0.2">
      <c r="C49" s="176" t="s">
        <v>451</v>
      </c>
      <c r="D49" s="178"/>
      <c r="E49" s="178">
        <v>-8.8356164383562117</v>
      </c>
      <c r="F49" s="178">
        <v>-25.906849315068484</v>
      </c>
      <c r="G49" s="178">
        <v>-29.160328767123374</v>
      </c>
      <c r="H49" s="173"/>
      <c r="I49" s="173"/>
    </row>
    <row r="50" spans="3:9" x14ac:dyDescent="0.2">
      <c r="C50" s="173" t="s">
        <v>452</v>
      </c>
      <c r="D50" s="178"/>
      <c r="E50" s="178">
        <v>13.835616438356112</v>
      </c>
      <c r="F50" s="178">
        <v>-33.139726027397273</v>
      </c>
      <c r="G50" s="178">
        <v>-37.116493150685017</v>
      </c>
      <c r="H50" s="173"/>
      <c r="I50" s="173"/>
    </row>
    <row r="51" spans="3:9" x14ac:dyDescent="0.2">
      <c r="C51" s="173" t="s">
        <v>453</v>
      </c>
      <c r="D51" s="178"/>
      <c r="E51" s="178">
        <v>0</v>
      </c>
      <c r="F51" s="178">
        <v>0</v>
      </c>
      <c r="G51" s="178">
        <v>0</v>
      </c>
      <c r="H51" s="173"/>
      <c r="I51" s="173"/>
    </row>
    <row r="52" spans="3:9" x14ac:dyDescent="0.2">
      <c r="C52" s="173" t="s">
        <v>454</v>
      </c>
      <c r="D52" s="178"/>
      <c r="E52" s="178">
        <v>-22.671232876712324</v>
      </c>
      <c r="F52" s="178">
        <v>7.2328767123287889</v>
      </c>
      <c r="G52" s="178">
        <v>7.9561643835616422</v>
      </c>
      <c r="H52" s="173"/>
      <c r="I52" s="173"/>
    </row>
    <row r="53" spans="3:9" x14ac:dyDescent="0.2">
      <c r="C53" s="173" t="s">
        <v>455</v>
      </c>
      <c r="D53" s="178"/>
      <c r="E53" s="178">
        <v>0</v>
      </c>
      <c r="F53" s="178">
        <v>0</v>
      </c>
      <c r="G53" s="178">
        <v>0</v>
      </c>
      <c r="H53" s="173"/>
      <c r="I53" s="173" t="s">
        <v>456</v>
      </c>
    </row>
    <row r="54" spans="3:9" x14ac:dyDescent="0.2">
      <c r="C54" s="173" t="s">
        <v>457</v>
      </c>
      <c r="D54" s="178"/>
      <c r="E54" s="178">
        <v>0</v>
      </c>
      <c r="F54" s="178">
        <v>0</v>
      </c>
      <c r="G54" s="178">
        <v>0</v>
      </c>
      <c r="H54" s="173"/>
      <c r="I54" s="173" t="s">
        <v>456</v>
      </c>
    </row>
    <row r="55" spans="3:9" x14ac:dyDescent="0.2">
      <c r="C55" s="176" t="s">
        <v>458</v>
      </c>
      <c r="D55" s="178"/>
      <c r="E55" s="178">
        <v>476.38938356164391</v>
      </c>
      <c r="F55" s="178">
        <v>560.13530068493162</v>
      </c>
      <c r="G55" s="178">
        <v>637.57090073287691</v>
      </c>
      <c r="H55" s="173"/>
      <c r="I55" s="173"/>
    </row>
    <row r="56" spans="3:9" x14ac:dyDescent="0.2">
      <c r="C56" s="173" t="s">
        <v>459</v>
      </c>
      <c r="D56" s="178"/>
      <c r="E56" s="178">
        <v>-128.35</v>
      </c>
      <c r="F56" s="178">
        <v>-109.7675</v>
      </c>
      <c r="G56" s="178">
        <v>-91.255875000000003</v>
      </c>
      <c r="H56" s="173"/>
      <c r="I56" s="173" t="s">
        <v>460</v>
      </c>
    </row>
    <row r="57" spans="3:9" x14ac:dyDescent="0.2">
      <c r="C57" s="173" t="s">
        <v>461</v>
      </c>
      <c r="D57" s="178"/>
      <c r="E57" s="178">
        <v>0</v>
      </c>
      <c r="F57" s="178">
        <v>0</v>
      </c>
      <c r="G57" s="178">
        <v>0</v>
      </c>
      <c r="H57" s="173"/>
      <c r="I57" s="173"/>
    </row>
    <row r="58" spans="3:9" x14ac:dyDescent="0.2">
      <c r="C58" s="173" t="s">
        <v>462</v>
      </c>
      <c r="D58" s="178"/>
      <c r="E58" s="178">
        <v>0</v>
      </c>
      <c r="F58" s="178">
        <v>0</v>
      </c>
      <c r="G58" s="178">
        <v>0</v>
      </c>
      <c r="H58" s="173"/>
      <c r="I58" s="173"/>
    </row>
    <row r="59" spans="3:9" x14ac:dyDescent="0.2">
      <c r="C59" s="176" t="s">
        <v>463</v>
      </c>
      <c r="D59" s="178"/>
      <c r="E59" s="178">
        <v>-128.35</v>
      </c>
      <c r="F59" s="178">
        <v>-109.7675</v>
      </c>
      <c r="G59" s="178">
        <v>-91.255875000000003</v>
      </c>
      <c r="H59" s="173"/>
      <c r="I59" s="173"/>
    </row>
    <row r="60" spans="3:9" x14ac:dyDescent="0.2">
      <c r="C60" s="176" t="s">
        <v>464</v>
      </c>
      <c r="D60" s="178"/>
      <c r="E60" s="178">
        <v>348.03938356164394</v>
      </c>
      <c r="F60" s="178">
        <v>450.36780068493164</v>
      </c>
      <c r="G60" s="178">
        <v>546.31502573287685</v>
      </c>
      <c r="H60" s="173"/>
      <c r="I60" s="173"/>
    </row>
    <row r="61" spans="3:9" x14ac:dyDescent="0.2">
      <c r="C61" s="173" t="s">
        <v>465</v>
      </c>
      <c r="D61" s="178"/>
      <c r="E61" s="178">
        <v>-100</v>
      </c>
      <c r="F61" s="178">
        <v>-90</v>
      </c>
      <c r="G61" s="178">
        <v>-80</v>
      </c>
      <c r="H61" s="173"/>
      <c r="I61" s="173"/>
    </row>
    <row r="62" spans="3:9" x14ac:dyDescent="0.2">
      <c r="C62" s="173" t="s">
        <v>466</v>
      </c>
      <c r="D62" s="178"/>
      <c r="E62" s="178">
        <v>0</v>
      </c>
      <c r="F62" s="178">
        <v>0</v>
      </c>
      <c r="G62" s="178">
        <v>0</v>
      </c>
      <c r="H62" s="173"/>
      <c r="I62" s="173"/>
    </row>
    <row r="63" spans="3:9" x14ac:dyDescent="0.2">
      <c r="C63" s="173" t="s">
        <v>467</v>
      </c>
      <c r="D63" s="178"/>
      <c r="E63" s="178">
        <v>-100</v>
      </c>
      <c r="F63" s="178">
        <v>-100</v>
      </c>
      <c r="G63" s="178">
        <v>-100</v>
      </c>
      <c r="H63" s="173"/>
      <c r="I63" s="173"/>
    </row>
    <row r="64" spans="3:9" x14ac:dyDescent="0.2">
      <c r="C64" s="176" t="s">
        <v>468</v>
      </c>
      <c r="D64" s="178"/>
      <c r="E64" s="178">
        <v>-200</v>
      </c>
      <c r="F64" s="178">
        <v>-190</v>
      </c>
      <c r="G64" s="178">
        <v>-180</v>
      </c>
      <c r="H64" s="173"/>
      <c r="I64" s="173"/>
    </row>
    <row r="65" spans="3:7" x14ac:dyDescent="0.2">
      <c r="C65" s="176" t="s">
        <v>469</v>
      </c>
      <c r="D65" s="178"/>
      <c r="E65" s="178">
        <v>148.03938356164394</v>
      </c>
      <c r="F65" s="178">
        <v>260.36780068493164</v>
      </c>
      <c r="G65" s="178">
        <v>366.31502573287685</v>
      </c>
    </row>
    <row r="66" spans="3:7" x14ac:dyDescent="0.2">
      <c r="C66" s="173" t="s">
        <v>470</v>
      </c>
      <c r="D66" s="178"/>
      <c r="E66" s="178">
        <v>148.03938356164394</v>
      </c>
      <c r="F66" s="178">
        <v>260.36780068493164</v>
      </c>
      <c r="G66" s="178">
        <v>366.31502573287685</v>
      </c>
    </row>
    <row r="67" spans="3:7" x14ac:dyDescent="0.2">
      <c r="C67" s="176" t="s">
        <v>471</v>
      </c>
      <c r="D67" s="178"/>
      <c r="E67" s="178">
        <v>0</v>
      </c>
      <c r="F67" s="178">
        <v>148.03938356164394</v>
      </c>
      <c r="G67" s="178">
        <v>408.40718424657558</v>
      </c>
    </row>
    <row r="68" spans="3:7" x14ac:dyDescent="0.2">
      <c r="C68" s="176" t="s">
        <v>472</v>
      </c>
      <c r="D68" s="178"/>
      <c r="E68" s="178">
        <v>148.03938356164394</v>
      </c>
      <c r="F68" s="178">
        <v>408.40718424657558</v>
      </c>
      <c r="G68" s="178">
        <v>774.72220997945237</v>
      </c>
    </row>
  </sheetData>
  <pageMargins left="0.7" right="0.7" top="0.75" bottom="0.75" header="0.3" footer="0.3"/>
  <pageSetup paperSize="9" orientation="portrait" horizontalDpi="200" verticalDpi="200" copies="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17EF-B615-4978-9BC9-70741151AFD9}">
  <sheetPr>
    <tabColor rgb="FFC00000"/>
  </sheetPr>
  <dimension ref="B2:U26"/>
  <sheetViews>
    <sheetView zoomScale="70" zoomScaleNormal="70" workbookViewId="0">
      <selection activeCell="B21" sqref="B21"/>
    </sheetView>
  </sheetViews>
  <sheetFormatPr baseColWidth="10" defaultRowHeight="12.75" x14ac:dyDescent="0.2"/>
  <cols>
    <col min="2" max="2" width="13.140625" customWidth="1"/>
    <col min="5" max="5" width="12.140625" bestFit="1" customWidth="1"/>
  </cols>
  <sheetData>
    <row r="2" spans="2:21" x14ac:dyDescent="0.2">
      <c r="B2" t="s">
        <v>226</v>
      </c>
      <c r="C2">
        <v>2000000</v>
      </c>
    </row>
    <row r="4" spans="2:21" x14ac:dyDescent="0.2">
      <c r="F4" s="285"/>
    </row>
    <row r="5" spans="2:21" x14ac:dyDescent="0.2">
      <c r="B5" s="337" t="s">
        <v>307</v>
      </c>
      <c r="C5" s="338"/>
      <c r="D5" s="338"/>
      <c r="E5" s="338"/>
      <c r="F5" s="338"/>
      <c r="G5" s="338"/>
      <c r="H5" s="338"/>
      <c r="I5" s="338"/>
      <c r="J5" s="338"/>
      <c r="L5" s="108" t="s">
        <v>220</v>
      </c>
      <c r="M5" s="58" t="s">
        <v>219</v>
      </c>
    </row>
    <row r="7" spans="2:21" ht="25.5" x14ac:dyDescent="0.2">
      <c r="B7" s="95" t="s">
        <v>646</v>
      </c>
      <c r="C7" s="95" t="s">
        <v>202</v>
      </c>
      <c r="D7" s="95" t="s">
        <v>203</v>
      </c>
      <c r="E7" s="95" t="s">
        <v>204</v>
      </c>
      <c r="F7" s="95" t="s">
        <v>205</v>
      </c>
      <c r="G7" s="95" t="s">
        <v>206</v>
      </c>
      <c r="H7" s="96"/>
      <c r="I7" s="95" t="s">
        <v>209</v>
      </c>
      <c r="J7" s="96"/>
      <c r="O7" s="21" t="s">
        <v>218</v>
      </c>
    </row>
    <row r="8" spans="2:21" ht="25.5" x14ac:dyDescent="0.2">
      <c r="B8" s="95" t="s">
        <v>207</v>
      </c>
      <c r="C8" s="95">
        <f>SUM('Previsión Centro'!C4:C15)*4</f>
        <v>2394000</v>
      </c>
      <c r="D8" s="95">
        <f>SUM('Previsión Centro'!D4:D15)*4</f>
        <v>3680000</v>
      </c>
      <c r="E8" s="95">
        <f>SUM('Previsión Centro'!E4:E15)*4</f>
        <v>3808000</v>
      </c>
      <c r="F8" s="95">
        <f>SUM('Previsión Centro'!F4:F15)*4</f>
        <v>4244000</v>
      </c>
      <c r="G8" s="95">
        <f>SUM('Previsión Centro'!G4:G15)*4</f>
        <v>4452000</v>
      </c>
      <c r="H8" s="96"/>
      <c r="I8" s="96">
        <f>SUM(C8:H8)</f>
        <v>18578000</v>
      </c>
      <c r="J8" s="96" t="s">
        <v>210</v>
      </c>
      <c r="O8" s="135" t="s">
        <v>214</v>
      </c>
      <c r="P8" s="134"/>
      <c r="Q8" s="134"/>
      <c r="R8" s="134"/>
      <c r="S8" s="134"/>
      <c r="T8" s="132" t="s">
        <v>301</v>
      </c>
      <c r="U8" s="135" t="s">
        <v>302</v>
      </c>
    </row>
    <row r="9" spans="2:21" ht="26.25" thickBot="1" x14ac:dyDescent="0.25">
      <c r="B9" s="95" t="s">
        <v>228</v>
      </c>
      <c r="C9" s="114">
        <f>SUM('Previsión Centro'!H21:H32)*4</f>
        <v>4689657.100914035</v>
      </c>
      <c r="D9" s="114">
        <f>SUM('Previsión Centro'!H33:H44)*4</f>
        <v>10936993.683582317</v>
      </c>
      <c r="E9" s="114">
        <f>SUM('Previsión Centro'!H45:H56)*4</f>
        <v>17184330.266250603</v>
      </c>
      <c r="F9" s="114">
        <f>SUM('Previsión Centro'!H57:H68)*4</f>
        <v>23431666.848918889</v>
      </c>
      <c r="G9" s="114">
        <f>SUM('Previsión Centro'!H69:H80)*4</f>
        <v>29679003.431587175</v>
      </c>
      <c r="H9" s="96"/>
      <c r="I9" s="119">
        <f>SUM(C9:H9)</f>
        <v>85921651.331253022</v>
      </c>
      <c r="J9" s="96" t="s">
        <v>210</v>
      </c>
      <c r="O9" s="135" t="s">
        <v>217</v>
      </c>
      <c r="P9" s="134"/>
      <c r="Q9" s="134"/>
      <c r="R9" s="132" t="s">
        <v>301</v>
      </c>
      <c r="S9" s="135" t="s">
        <v>303</v>
      </c>
      <c r="T9" s="134"/>
      <c r="U9" s="134"/>
    </row>
    <row r="10" spans="2:21" ht="26.25" thickBot="1" x14ac:dyDescent="0.25">
      <c r="B10" s="107" t="s">
        <v>213</v>
      </c>
      <c r="C10" s="118">
        <f>C8/240000</f>
        <v>9.9749999999999996</v>
      </c>
      <c r="D10" s="118">
        <f t="shared" ref="D10:G10" si="0">D8/240000</f>
        <v>15.333333333333334</v>
      </c>
      <c r="E10" s="118">
        <f t="shared" si="0"/>
        <v>15.866666666666667</v>
      </c>
      <c r="F10" s="118">
        <f t="shared" si="0"/>
        <v>17.683333333333334</v>
      </c>
      <c r="G10" s="118">
        <f t="shared" si="0"/>
        <v>18.55</v>
      </c>
      <c r="H10" s="96"/>
      <c r="I10" s="104">
        <f>AVERAGE(C10:G10)</f>
        <v>15.481666666666666</v>
      </c>
      <c r="J10" s="96"/>
      <c r="K10" s="59" t="s">
        <v>221</v>
      </c>
      <c r="L10" s="65"/>
      <c r="M10" s="110">
        <f>'Base producto'!I74/('Base producto'!E74-'Base producto'!F74)</f>
        <v>0.62398027935662537</v>
      </c>
      <c r="O10" s="135" t="s">
        <v>227</v>
      </c>
      <c r="P10" s="134"/>
      <c r="Q10" s="134"/>
      <c r="R10" s="132" t="s">
        <v>301</v>
      </c>
      <c r="S10" s="135" t="s">
        <v>304</v>
      </c>
      <c r="T10" s="134"/>
      <c r="U10" s="134"/>
    </row>
    <row r="11" spans="2:21" ht="25.5" x14ac:dyDescent="0.2">
      <c r="B11" s="107" t="s">
        <v>229</v>
      </c>
      <c r="C11" s="118">
        <f>C9/240000</f>
        <v>19.540237920475146</v>
      </c>
      <c r="D11" s="118">
        <f t="shared" ref="D11:G11" si="1">D9/240000</f>
        <v>45.570807014926324</v>
      </c>
      <c r="E11" s="118">
        <f t="shared" si="1"/>
        <v>71.601376109377512</v>
      </c>
      <c r="F11" s="118">
        <f t="shared" si="1"/>
        <v>97.631945203828707</v>
      </c>
      <c r="G11" s="118">
        <f t="shared" si="1"/>
        <v>123.66251429827989</v>
      </c>
      <c r="H11" s="96"/>
      <c r="I11" s="104">
        <f>AVERAGE(C11:G11)</f>
        <v>71.601376109377526</v>
      </c>
      <c r="J11" s="96"/>
      <c r="K11" s="115"/>
      <c r="L11" s="116"/>
      <c r="M11" s="117"/>
      <c r="O11" s="135" t="s">
        <v>216</v>
      </c>
      <c r="P11" s="134"/>
      <c r="Q11" s="134"/>
      <c r="R11" s="96" t="s">
        <v>301</v>
      </c>
      <c r="S11" s="135" t="s">
        <v>305</v>
      </c>
      <c r="T11" s="134"/>
      <c r="U11" s="134"/>
    </row>
    <row r="12" spans="2:21" x14ac:dyDescent="0.2">
      <c r="B12" s="95" t="s">
        <v>208</v>
      </c>
      <c r="C12" s="95">
        <f>C10*('Base producto'!$E$74-'Base producto'!$F$74)-'Base producto'!I74</f>
        <v>877185.34130493808</v>
      </c>
      <c r="D12" s="95">
        <f>D10*('Base producto'!$E$74-'Base producto'!$F$74)-'Base producto'!J74</f>
        <v>1403091.4957208242</v>
      </c>
      <c r="E12" s="95">
        <f>E10*('Base producto'!$E$74-'Base producto'!$F$74)-'Base producto'!K74</f>
        <v>1488394.5669466371</v>
      </c>
      <c r="F12" s="95">
        <f>F10*('Base producto'!$E$74-'Base producto'!$F$74)-'Base producto'!L74</f>
        <v>1658809.5468524746</v>
      </c>
      <c r="G12" s="95">
        <f>G10*('Base producto'!$E$74-'Base producto'!$F$74)-'Base producto'!M74</f>
        <v>1740108.4124852067</v>
      </c>
      <c r="H12" s="96"/>
      <c r="I12" s="96">
        <f>SUM(C12:H12)</f>
        <v>7167589.36331008</v>
      </c>
      <c r="J12" s="96" t="s">
        <v>211</v>
      </c>
      <c r="O12" s="135" t="s">
        <v>215</v>
      </c>
      <c r="P12" s="134"/>
      <c r="Q12" s="134"/>
      <c r="R12" s="134"/>
      <c r="S12" s="132" t="s">
        <v>301</v>
      </c>
      <c r="T12" s="135" t="s">
        <v>306</v>
      </c>
      <c r="U12" s="134"/>
    </row>
    <row r="13" spans="2:21" ht="25.5" x14ac:dyDescent="0.2">
      <c r="B13" s="95" t="s">
        <v>230</v>
      </c>
      <c r="C13" s="95">
        <f>C11*('Base producto'!$E$74-'Base producto'!$F$74)-'Base producto'!I74</f>
        <v>1774465.7171993481</v>
      </c>
      <c r="D13" s="95">
        <f>D11*('Base producto'!$E$74-'Base producto'!$F$74)-'Base producto'!J74</f>
        <v>4239559.5456205541</v>
      </c>
      <c r="E13" s="95">
        <f>E11*('Base producto'!$E$74-'Base producto'!$F$74)-'Base producto'!K74</f>
        <v>6716666.0908646872</v>
      </c>
      <c r="F13" s="95">
        <f>F11*('Base producto'!$E$74-'Base producto'!$F$74)-'Base producto'!L74</f>
        <v>9158499.6860634536</v>
      </c>
      <c r="G13" s="95">
        <f>G11*('Base producto'!$E$74-'Base producto'!$F$74)-'Base producto'!M74</f>
        <v>11600333.231240377</v>
      </c>
      <c r="H13" s="96"/>
      <c r="I13" s="96">
        <f>SUM(C13:G13)</f>
        <v>33489524.27098842</v>
      </c>
      <c r="J13" s="96" t="s">
        <v>211</v>
      </c>
      <c r="O13" s="58"/>
    </row>
    <row r="14" spans="2:21" x14ac:dyDescent="0.2">
      <c r="B14" s="95" t="s">
        <v>225</v>
      </c>
      <c r="C14" s="95">
        <f>C2/(C12*5)</f>
        <v>0.45600397221064254</v>
      </c>
      <c r="D14" s="95">
        <f>(C2-SUM(C14))/D12*0.2</f>
        <v>0.28508469334974457</v>
      </c>
      <c r="E14" s="95">
        <f>(C2-SUM(C12:D12))/E12*0.2</f>
        <v>-3.7661631297235341E-2</v>
      </c>
      <c r="F14" s="95">
        <f>(C2-SUM(C12:E12))/F12*0.2</f>
        <v>-0.21324586747506769</v>
      </c>
      <c r="G14" s="95">
        <f>(C2-SUM(C12:F12))/G12*0.2</f>
        <v>-0.39393878292097639</v>
      </c>
      <c r="H14" s="96"/>
      <c r="I14" s="96"/>
      <c r="J14" s="96"/>
    </row>
    <row r="15" spans="2:21" x14ac:dyDescent="0.2">
      <c r="B15" s="95"/>
      <c r="C15" s="95"/>
      <c r="D15" s="95"/>
      <c r="E15" s="95"/>
      <c r="F15" s="95"/>
      <c r="G15" s="95"/>
      <c r="H15" s="96"/>
      <c r="I15" s="96"/>
      <c r="J15" s="96"/>
    </row>
    <row r="16" spans="2:21" x14ac:dyDescent="0.2">
      <c r="B16" s="95"/>
      <c r="C16" s="95"/>
      <c r="D16" s="95"/>
      <c r="E16" s="95"/>
      <c r="F16" s="95"/>
      <c r="G16" s="95"/>
      <c r="H16" s="96"/>
      <c r="I16" s="96"/>
      <c r="J16" s="96"/>
    </row>
    <row r="17" spans="2:10" x14ac:dyDescent="0.2">
      <c r="B17" s="129"/>
      <c r="C17" s="129"/>
      <c r="D17" s="129"/>
      <c r="E17" s="129"/>
      <c r="F17" s="129"/>
      <c r="G17" s="129"/>
      <c r="H17" s="96"/>
      <c r="I17" s="96"/>
      <c r="J17" s="96"/>
    </row>
    <row r="18" spans="2:10" x14ac:dyDescent="0.2">
      <c r="B18" s="129"/>
      <c r="C18" s="129"/>
      <c r="D18" s="129"/>
      <c r="E18" s="129"/>
      <c r="F18" s="129"/>
      <c r="G18" s="129"/>
      <c r="H18" s="96"/>
      <c r="I18" s="96"/>
      <c r="J18" s="96"/>
    </row>
    <row r="19" spans="2:10" x14ac:dyDescent="0.2">
      <c r="B19" s="129"/>
      <c r="C19" s="129"/>
      <c r="D19" s="129"/>
      <c r="E19" s="129"/>
      <c r="F19" s="129"/>
      <c r="G19" s="129"/>
      <c r="H19" s="96"/>
      <c r="I19" s="96"/>
      <c r="J19" s="96"/>
    </row>
    <row r="20" spans="2:10" x14ac:dyDescent="0.2">
      <c r="B20" s="95"/>
      <c r="C20" s="95"/>
      <c r="D20" s="95"/>
      <c r="E20" s="95"/>
      <c r="F20" s="95"/>
      <c r="G20" s="95"/>
    </row>
    <row r="21" spans="2:10" x14ac:dyDescent="0.2">
      <c r="B21" s="95" t="s">
        <v>212</v>
      </c>
      <c r="C21" s="95" t="s">
        <v>202</v>
      </c>
      <c r="D21" s="95" t="s">
        <v>203</v>
      </c>
      <c r="E21" s="95" t="s">
        <v>204</v>
      </c>
      <c r="F21" s="95" t="s">
        <v>205</v>
      </c>
      <c r="G21" s="95" t="s">
        <v>206</v>
      </c>
      <c r="H21" s="96"/>
      <c r="I21" s="95" t="s">
        <v>209</v>
      </c>
      <c r="J21" s="96"/>
    </row>
    <row r="22" spans="2:10" ht="25.5" x14ac:dyDescent="0.2">
      <c r="B22" s="95" t="s">
        <v>207</v>
      </c>
      <c r="C22" s="95"/>
      <c r="D22" s="95"/>
      <c r="E22" s="95"/>
      <c r="F22" s="95"/>
      <c r="G22" s="95"/>
      <c r="H22" s="96"/>
      <c r="I22" s="96">
        <f>SUM(C22:H22)</f>
        <v>0</v>
      </c>
      <c r="J22" s="96" t="s">
        <v>210</v>
      </c>
    </row>
    <row r="23" spans="2:10" x14ac:dyDescent="0.2">
      <c r="B23" s="95" t="s">
        <v>208</v>
      </c>
      <c r="C23" s="95"/>
      <c r="D23" s="95"/>
      <c r="E23" s="95"/>
      <c r="F23" s="95"/>
      <c r="G23" s="95"/>
      <c r="H23" s="96"/>
      <c r="I23" s="96">
        <f>SUM(C23:H23)</f>
        <v>0</v>
      </c>
      <c r="J23" s="96" t="s">
        <v>211</v>
      </c>
    </row>
    <row r="24" spans="2:10" x14ac:dyDescent="0.2">
      <c r="B24" s="95"/>
      <c r="C24" s="95"/>
      <c r="D24" s="95"/>
      <c r="E24" s="95"/>
      <c r="F24" s="95"/>
      <c r="G24" s="95"/>
    </row>
    <row r="25" spans="2:10" x14ac:dyDescent="0.2">
      <c r="B25" s="95"/>
      <c r="C25" s="95"/>
      <c r="D25" s="95"/>
      <c r="E25" s="95"/>
      <c r="F25" s="95"/>
      <c r="G25" s="95"/>
    </row>
    <row r="26" spans="2:10" x14ac:dyDescent="0.2">
      <c r="B26" s="95"/>
      <c r="C26" s="95"/>
      <c r="D26" s="95"/>
      <c r="E26" s="95"/>
      <c r="F26" s="95"/>
      <c r="G26" s="95"/>
    </row>
  </sheetData>
  <mergeCells count="1">
    <mergeCell ref="B5:J5"/>
  </mergeCells>
  <phoneticPr fontId="13" type="noConversion"/>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86288-DBAB-43F3-BE70-B41E2520D81E}">
  <dimension ref="C2:AM85"/>
  <sheetViews>
    <sheetView topLeftCell="R7" zoomScale="80" zoomScaleNormal="80" workbookViewId="0">
      <selection activeCell="AC11" sqref="AC11:AF12"/>
    </sheetView>
  </sheetViews>
  <sheetFormatPr baseColWidth="10" defaultRowHeight="12.75" x14ac:dyDescent="0.2"/>
  <cols>
    <col min="10" max="10" width="12.7109375" customWidth="1"/>
    <col min="15" max="15" width="15.5703125" customWidth="1"/>
    <col min="16" max="16" width="13.7109375" customWidth="1"/>
    <col min="17" max="17" width="14.7109375" customWidth="1"/>
    <col min="18" max="18" width="14" customWidth="1"/>
    <col min="19" max="19" width="15.140625" bestFit="1" customWidth="1"/>
    <col min="36" max="36" width="17.140625" customWidth="1"/>
  </cols>
  <sheetData>
    <row r="2" spans="3:39" x14ac:dyDescent="0.2">
      <c r="C2" t="s">
        <v>615</v>
      </c>
      <c r="E2" t="s">
        <v>616</v>
      </c>
      <c r="G2" t="s">
        <v>617</v>
      </c>
    </row>
    <row r="3" spans="3:39" ht="63.75" x14ac:dyDescent="0.2">
      <c r="AB3" s="240" t="s">
        <v>629</v>
      </c>
      <c r="AC3" s="240" t="s">
        <v>625</v>
      </c>
      <c r="AD3" s="240" t="s">
        <v>626</v>
      </c>
      <c r="AE3" s="240" t="s">
        <v>628</v>
      </c>
      <c r="AF3" s="240" t="s">
        <v>627</v>
      </c>
      <c r="AJ3" s="351"/>
      <c r="AK3" s="351" t="s">
        <v>705</v>
      </c>
      <c r="AL3" s="351" t="s">
        <v>706</v>
      </c>
      <c r="AM3" s="351" t="s">
        <v>232</v>
      </c>
    </row>
    <row r="4" spans="3:39" ht="26.25" thickBot="1" x14ac:dyDescent="0.25">
      <c r="C4" s="242" t="s">
        <v>625</v>
      </c>
      <c r="D4" s="242" t="s">
        <v>232</v>
      </c>
      <c r="E4" s="242" t="s">
        <v>620</v>
      </c>
      <c r="G4" s="241" t="s">
        <v>618</v>
      </c>
      <c r="H4" s="242" t="s">
        <v>625</v>
      </c>
      <c r="I4" s="241" t="s">
        <v>626</v>
      </c>
      <c r="J4" s="241" t="s">
        <v>628</v>
      </c>
      <c r="K4" s="242" t="s">
        <v>627</v>
      </c>
      <c r="L4" s="263"/>
      <c r="N4" s="241" t="s">
        <v>629</v>
      </c>
      <c r="O4" s="242" t="s">
        <v>625</v>
      </c>
      <c r="P4" s="241" t="s">
        <v>626</v>
      </c>
      <c r="Q4" s="241" t="s">
        <v>628</v>
      </c>
      <c r="R4" s="242" t="s">
        <v>627</v>
      </c>
      <c r="W4" s="241" t="s">
        <v>629</v>
      </c>
      <c r="X4" s="241" t="s">
        <v>626</v>
      </c>
      <c r="Y4" s="241" t="s">
        <v>628</v>
      </c>
      <c r="Z4" s="242" t="s">
        <v>627</v>
      </c>
      <c r="AB4" s="240" t="s">
        <v>620</v>
      </c>
      <c r="AC4" s="240">
        <v>1807000</v>
      </c>
      <c r="AD4" s="240">
        <v>2881000</v>
      </c>
      <c r="AE4" s="240">
        <v>3230000</v>
      </c>
      <c r="AF4" s="240">
        <v>4970000</v>
      </c>
      <c r="AJ4" s="351" t="s">
        <v>701</v>
      </c>
      <c r="AK4" s="351">
        <v>218788</v>
      </c>
      <c r="AL4" s="351">
        <v>166006</v>
      </c>
      <c r="AM4" s="351">
        <v>9326</v>
      </c>
    </row>
    <row r="5" spans="3:39" ht="25.5" x14ac:dyDescent="0.2">
      <c r="C5" s="242" t="s">
        <v>607</v>
      </c>
      <c r="D5" s="239">
        <f>6132.5*4/6.5</f>
        <v>3773.8461538461538</v>
      </c>
      <c r="E5" s="239">
        <v>9600</v>
      </c>
      <c r="G5" s="242" t="s">
        <v>607</v>
      </c>
      <c r="H5" s="239">
        <f t="shared" ref="H5:H12" si="0">D5/E5</f>
        <v>0.39310897435897435</v>
      </c>
      <c r="I5" s="239">
        <f t="shared" ref="I5:I12" si="1">D15*4/6.5/E15</f>
        <v>3.0917030567685591E-2</v>
      </c>
      <c r="J5" s="239">
        <f t="shared" ref="J5:J12" si="2">D25*4/6.5/E25</f>
        <v>6.8979591836734688E-2</v>
      </c>
      <c r="K5" s="239">
        <f t="shared" ref="K5:K12" si="3">D35*4/6.5/E35</f>
        <v>5.3050397877984082E-3</v>
      </c>
      <c r="L5" s="264"/>
      <c r="N5" s="243" t="s">
        <v>620</v>
      </c>
      <c r="O5" s="240">
        <f>797000+1010000</f>
        <v>1807000</v>
      </c>
      <c r="P5" s="240">
        <f>2560000+321000</f>
        <v>2881000</v>
      </c>
      <c r="Q5" s="240">
        <v>3230000</v>
      </c>
      <c r="R5" s="252">
        <v>4970000</v>
      </c>
      <c r="S5" s="265"/>
      <c r="W5" s="242" t="s">
        <v>620</v>
      </c>
      <c r="X5" s="239">
        <v>2881000</v>
      </c>
      <c r="Y5" s="239">
        <v>3230000</v>
      </c>
      <c r="Z5" s="262">
        <v>4970000</v>
      </c>
      <c r="AB5" s="240" t="s">
        <v>621</v>
      </c>
      <c r="AC5" s="240">
        <v>438813.97732119</v>
      </c>
      <c r="AD5" s="240">
        <v>195881.37810332232</v>
      </c>
      <c r="AE5" s="240">
        <v>180532.87701310066</v>
      </c>
      <c r="AF5" s="240">
        <v>116442.78538992784</v>
      </c>
      <c r="AJ5" s="351" t="s">
        <v>702</v>
      </c>
      <c r="AK5" s="351">
        <v>79506</v>
      </c>
      <c r="AL5" s="351">
        <v>58143</v>
      </c>
      <c r="AM5" s="351" t="s">
        <v>707</v>
      </c>
    </row>
    <row r="6" spans="3:39" ht="38.25" x14ac:dyDescent="0.2">
      <c r="C6" s="242" t="s">
        <v>608</v>
      </c>
      <c r="D6" s="239">
        <f>4886*4/6.5</f>
        <v>3006.7692307692309</v>
      </c>
      <c r="E6" s="239">
        <v>15000</v>
      </c>
      <c r="G6" s="242" t="s">
        <v>608</v>
      </c>
      <c r="H6" s="239">
        <f t="shared" si="0"/>
        <v>0.20045128205128207</v>
      </c>
      <c r="I6" s="239">
        <f t="shared" si="1"/>
        <v>8.5961538461538464E-2</v>
      </c>
      <c r="J6" s="239">
        <f t="shared" si="2"/>
        <v>7.0933333333333334E-2</v>
      </c>
      <c r="K6" s="239">
        <f t="shared" si="3"/>
        <v>6.4000000000000001E-2</v>
      </c>
      <c r="L6" s="264"/>
      <c r="N6" s="250" t="s">
        <v>621</v>
      </c>
      <c r="O6" s="240">
        <f>O5*H13+H14*O5*3/SQRT(8)</f>
        <v>438813.97732119</v>
      </c>
      <c r="P6" s="240">
        <f>P5*I13+I14*P5*3/SQRT(8)</f>
        <v>195881.37810332232</v>
      </c>
      <c r="Q6" s="240">
        <f>Q5*J13+J14*Q5*3/SQRT(8)</f>
        <v>180532.87701310066</v>
      </c>
      <c r="R6" s="240">
        <f>R5*K13+K14*R5*3/SQRT(8)</f>
        <v>116442.78538992784</v>
      </c>
      <c r="S6" s="265">
        <f>SUM(O6:R6)</f>
        <v>931671.01782754075</v>
      </c>
      <c r="W6" s="241" t="s">
        <v>621</v>
      </c>
      <c r="X6" s="239">
        <v>195881.37810332232</v>
      </c>
      <c r="Y6" s="239">
        <v>180532.87701310066</v>
      </c>
      <c r="Z6" s="239">
        <v>116442.78538992784</v>
      </c>
      <c r="AB6" s="240" t="s">
        <v>622</v>
      </c>
      <c r="AC6" s="240">
        <f t="shared" ref="AC6:AF7" si="4">O8*0.234</f>
        <v>770118.5301986885</v>
      </c>
      <c r="AD6" s="240">
        <f t="shared" si="4"/>
        <v>343771.81857133069</v>
      </c>
      <c r="AE6" s="240">
        <f t="shared" si="4"/>
        <v>316835.19915799168</v>
      </c>
      <c r="AF6" s="240">
        <f t="shared" si="4"/>
        <v>204357.08835932336</v>
      </c>
      <c r="AJ6" s="351" t="s">
        <v>703</v>
      </c>
      <c r="AK6" s="351">
        <v>61910</v>
      </c>
      <c r="AL6" s="351">
        <v>46386</v>
      </c>
      <c r="AM6" s="352">
        <v>52626</v>
      </c>
    </row>
    <row r="7" spans="3:39" ht="38.25" x14ac:dyDescent="0.2">
      <c r="C7" s="242" t="s">
        <v>609</v>
      </c>
      <c r="D7" s="239">
        <f>3763*4/6.5</f>
        <v>2315.6923076923076</v>
      </c>
      <c r="E7" s="239">
        <v>7750</v>
      </c>
      <c r="G7" s="242" t="s">
        <v>609</v>
      </c>
      <c r="H7" s="239">
        <f t="shared" si="0"/>
        <v>0.29879900744416871</v>
      </c>
      <c r="I7" s="239">
        <f t="shared" si="1"/>
        <v>0.10261306532663317</v>
      </c>
      <c r="J7" s="239">
        <f t="shared" si="2"/>
        <v>9.6120134845234448E-2</v>
      </c>
      <c r="K7" s="239">
        <f t="shared" si="3"/>
        <v>7.4611398963730568E-3</v>
      </c>
      <c r="L7" s="264"/>
      <c r="N7" s="250" t="s">
        <v>622</v>
      </c>
      <c r="O7" s="240">
        <f>O5*H13-H14*O5*3/SQRT(8)</f>
        <v>402157.89746370661</v>
      </c>
      <c r="P7" s="240">
        <f>P5*I13-I14*P5*3/SQRT(8)</f>
        <v>191767.54890094171</v>
      </c>
      <c r="Q7" s="240">
        <f>Q5*J13-J14*Q5*3/SQRT(8)</f>
        <v>177074.62915885838</v>
      </c>
      <c r="R7" s="240">
        <f>R5*K13-K14*R5*3/SQRT(8)</f>
        <v>108493.1875033363</v>
      </c>
      <c r="S7" s="265">
        <f>SUM(O7:R7)</f>
        <v>879493.26302684296</v>
      </c>
      <c r="W7" s="241" t="s">
        <v>622</v>
      </c>
      <c r="X7" s="239">
        <v>191767.54890094171</v>
      </c>
      <c r="Y7" s="239">
        <v>177074.62915885838</v>
      </c>
      <c r="Z7" s="239">
        <v>108493.1875033363</v>
      </c>
      <c r="AB7" s="240" t="s">
        <v>623</v>
      </c>
      <c r="AC7" s="240">
        <f t="shared" si="4"/>
        <v>705787.11004880513</v>
      </c>
      <c r="AD7" s="240">
        <f t="shared" si="4"/>
        <v>336552.04832115269</v>
      </c>
      <c r="AE7" s="240">
        <f t="shared" si="4"/>
        <v>310765.97417379648</v>
      </c>
      <c r="AF7" s="240">
        <f t="shared" si="4"/>
        <v>190405.54406835523</v>
      </c>
      <c r="AJ7" s="351" t="s">
        <v>704</v>
      </c>
      <c r="AK7" s="351">
        <v>60842</v>
      </c>
      <c r="AL7" s="351">
        <v>45580</v>
      </c>
      <c r="AM7" s="352">
        <v>116037</v>
      </c>
    </row>
    <row r="8" spans="3:39" ht="63.75" x14ac:dyDescent="0.2">
      <c r="C8" s="242" t="s">
        <v>610</v>
      </c>
      <c r="D8" s="239">
        <f>1959*4/6.5</f>
        <v>1205.5384615384614</v>
      </c>
      <c r="E8" s="239">
        <v>5050</v>
      </c>
      <c r="G8" s="242" t="s">
        <v>610</v>
      </c>
      <c r="H8" s="239">
        <f t="shared" si="0"/>
        <v>0.23872048743335869</v>
      </c>
      <c r="I8" s="239">
        <f t="shared" si="1"/>
        <v>4.6033653846153849E-2</v>
      </c>
      <c r="J8" s="239">
        <f t="shared" si="2"/>
        <v>4.6945373467112597E-2</v>
      </c>
      <c r="K8" s="239">
        <f t="shared" si="3"/>
        <v>5.9163987138263667E-3</v>
      </c>
      <c r="L8" s="264"/>
      <c r="N8" s="250" t="s">
        <v>623</v>
      </c>
      <c r="O8" s="251">
        <f>O6*7.5</f>
        <v>3291104.8299089251</v>
      </c>
      <c r="P8" s="251">
        <f t="shared" ref="P8:R8" si="5">P6*7.5</f>
        <v>1469110.3357749174</v>
      </c>
      <c r="Q8" s="251">
        <f t="shared" si="5"/>
        <v>1353996.5775982549</v>
      </c>
      <c r="R8" s="251">
        <f t="shared" si="5"/>
        <v>873320.89042445878</v>
      </c>
      <c r="S8" s="266" t="s">
        <v>630</v>
      </c>
      <c r="AB8" s="240" t="s">
        <v>695</v>
      </c>
      <c r="AC8" s="240">
        <f>AVERAGE(AC6:AC7)</f>
        <v>737952.82012374676</v>
      </c>
      <c r="AD8" s="240">
        <f t="shared" ref="AD8:AF8" si="6">AVERAGE(AD6:AD7)</f>
        <v>340161.93344624166</v>
      </c>
      <c r="AE8" s="240">
        <f t="shared" si="6"/>
        <v>313800.58666589408</v>
      </c>
      <c r="AF8" s="240">
        <f t="shared" si="6"/>
        <v>197381.31621383928</v>
      </c>
      <c r="AG8">
        <f>SUM(AC8:AF8)</f>
        <v>1589296.6564497219</v>
      </c>
      <c r="AH8">
        <f>AG8/12</f>
        <v>132441.38803747683</v>
      </c>
    </row>
    <row r="9" spans="3:39" ht="51" x14ac:dyDescent="0.2">
      <c r="C9" s="242" t="s">
        <v>611</v>
      </c>
      <c r="D9" s="239">
        <f>2068*4/6.5</f>
        <v>1272.6153846153845</v>
      </c>
      <c r="E9" s="239">
        <v>4220</v>
      </c>
      <c r="G9" s="242" t="s">
        <v>611</v>
      </c>
      <c r="H9" s="239">
        <f t="shared" si="0"/>
        <v>0.30156762668611009</v>
      </c>
      <c r="I9" s="239">
        <f t="shared" si="1"/>
        <v>4.4749163879598659E-2</v>
      </c>
      <c r="J9" s="239">
        <f t="shared" si="2"/>
        <v>5.1778981581798486E-2</v>
      </c>
      <c r="K9" s="239">
        <f t="shared" si="3"/>
        <v>6.9387755102040816E-2</v>
      </c>
      <c r="L9" s="264"/>
      <c r="N9" s="250" t="s">
        <v>624</v>
      </c>
      <c r="O9" s="251">
        <f>O7*7.5</f>
        <v>3016184.2309777997</v>
      </c>
      <c r="P9" s="251">
        <f t="shared" ref="P9:R9" si="7">P7*7.5</f>
        <v>1438256.6167570627</v>
      </c>
      <c r="Q9" s="251">
        <f t="shared" si="7"/>
        <v>1328059.718691438</v>
      </c>
      <c r="R9" s="251">
        <f t="shared" si="7"/>
        <v>813698.90627502231</v>
      </c>
      <c r="S9" s="265"/>
      <c r="AC9" s="240" t="s">
        <v>625</v>
      </c>
      <c r="AD9" s="240" t="s">
        <v>626</v>
      </c>
      <c r="AE9" s="240" t="s">
        <v>628</v>
      </c>
      <c r="AF9" s="240" t="s">
        <v>627</v>
      </c>
      <c r="AH9">
        <v>100000</v>
      </c>
      <c r="AI9">
        <f>AH9/AH8</f>
        <v>0.75505098128164494</v>
      </c>
    </row>
    <row r="10" spans="3:39" ht="38.25" x14ac:dyDescent="0.2">
      <c r="C10" s="242" t="s">
        <v>612</v>
      </c>
      <c r="D10" s="239">
        <f>15838.5*4/6.5</f>
        <v>9746.7692307692305</v>
      </c>
      <c r="E10" s="239">
        <v>52300</v>
      </c>
      <c r="G10" s="242" t="s">
        <v>612</v>
      </c>
      <c r="H10" s="239">
        <f t="shared" si="0"/>
        <v>0.18636270039711722</v>
      </c>
      <c r="I10" s="239">
        <f t="shared" si="1"/>
        <v>5.8076923076923075E-2</v>
      </c>
      <c r="J10" s="239">
        <f t="shared" si="2"/>
        <v>4.5656738804371114E-2</v>
      </c>
      <c r="K10" s="239">
        <f t="shared" si="3"/>
        <v>5.7971014492753624E-3</v>
      </c>
      <c r="L10" s="264"/>
      <c r="N10" s="283" t="s">
        <v>642</v>
      </c>
      <c r="O10" s="284">
        <f>O6*$P$19</f>
        <v>5560457.5184202241</v>
      </c>
      <c r="P10" s="284">
        <f t="shared" ref="P10:R11" si="8">P6*$P$19</f>
        <v>2482122.5801472142</v>
      </c>
      <c r="Q10" s="284">
        <f t="shared" si="8"/>
        <v>2287633.1320111174</v>
      </c>
      <c r="R10" s="284">
        <f t="shared" si="8"/>
        <v>1475511.7087195637</v>
      </c>
      <c r="AB10" s="269" t="s">
        <v>696</v>
      </c>
      <c r="AC10" s="240">
        <f>100*(AC8/SUM($AC$8:$AF$8))</f>
        <v>46.432666747832691</v>
      </c>
      <c r="AD10" s="240">
        <f t="shared" ref="AD10:AF10" si="9">100*(AD8/SUM($AC$8:$AF$8))</f>
        <v>21.403300136937201</v>
      </c>
      <c r="AE10" s="240">
        <f t="shared" si="9"/>
        <v>19.744620074069935</v>
      </c>
      <c r="AF10" s="240">
        <f t="shared" si="9"/>
        <v>12.419413041160169</v>
      </c>
      <c r="AG10" s="353">
        <f>AF10+AE10+AD10+AC10</f>
        <v>100</v>
      </c>
    </row>
    <row r="11" spans="3:39" ht="25.5" x14ac:dyDescent="0.2">
      <c r="C11" s="242" t="s">
        <v>613</v>
      </c>
      <c r="D11" s="239">
        <f>6133.5*4/6.5</f>
        <v>3774.4615384615386</v>
      </c>
      <c r="E11" s="239">
        <v>22700</v>
      </c>
      <c r="G11" s="242" t="s">
        <v>613</v>
      </c>
      <c r="H11" s="239">
        <f t="shared" si="0"/>
        <v>0.16627583869874618</v>
      </c>
      <c r="I11" s="239">
        <f t="shared" si="1"/>
        <v>7.7016317016317018E-2</v>
      </c>
      <c r="J11" s="239">
        <f t="shared" si="2"/>
        <v>3.8310708898944196E-2</v>
      </c>
      <c r="K11" s="239">
        <f t="shared" si="3"/>
        <v>6.9257950530035332E-3</v>
      </c>
      <c r="L11" s="264"/>
      <c r="N11" s="283" t="s">
        <v>643</v>
      </c>
      <c r="O11" s="284">
        <f>O7*$P$19</f>
        <v>5095967.8135032682</v>
      </c>
      <c r="P11" s="284">
        <f t="shared" si="8"/>
        <v>2429993.9477423928</v>
      </c>
      <c r="Q11" s="284">
        <f t="shared" si="8"/>
        <v>2243811.7378087919</v>
      </c>
      <c r="R11" s="284">
        <f t="shared" si="8"/>
        <v>1374777.904370937</v>
      </c>
      <c r="AB11" s="251" t="s">
        <v>700</v>
      </c>
      <c r="AC11" s="240">
        <v>0.55000000000000004</v>
      </c>
      <c r="AD11" s="240">
        <v>1.1000000000000001</v>
      </c>
      <c r="AE11" s="240">
        <f>1.3</f>
        <v>1.3</v>
      </c>
      <c r="AF11" s="240">
        <f>2</f>
        <v>2</v>
      </c>
    </row>
    <row r="12" spans="3:39" ht="25.5" x14ac:dyDescent="0.2">
      <c r="C12" s="242" t="s">
        <v>614</v>
      </c>
      <c r="D12" s="239">
        <f>4538*4/6.5</f>
        <v>2792.6153846153848</v>
      </c>
      <c r="E12" s="239">
        <v>36600</v>
      </c>
      <c r="G12" s="242" t="s">
        <v>614</v>
      </c>
      <c r="H12" s="239">
        <f t="shared" si="0"/>
        <v>7.630096679277007E-2</v>
      </c>
      <c r="I12" s="239">
        <f t="shared" si="1"/>
        <v>9.2846715328467153E-2</v>
      </c>
      <c r="J12" s="239">
        <f t="shared" si="2"/>
        <v>2.4132730015082957E-2</v>
      </c>
      <c r="K12" s="239">
        <f t="shared" si="3"/>
        <v>1.6241758241758244E-2</v>
      </c>
      <c r="L12" s="264"/>
      <c r="N12" s="282" t="s">
        <v>647</v>
      </c>
      <c r="O12" s="297">
        <f>AVERAGE(O10:O11)</f>
        <v>5328212.6659617461</v>
      </c>
      <c r="P12" s="297">
        <f t="shared" ref="P12:R12" si="10">AVERAGE(P10:P11)</f>
        <v>2456058.2639448037</v>
      </c>
      <c r="Q12" s="297">
        <f t="shared" si="10"/>
        <v>2265722.4349099547</v>
      </c>
      <c r="R12" s="297">
        <f t="shared" si="10"/>
        <v>1425144.8065452504</v>
      </c>
      <c r="S12" s="297">
        <f>SUM(O12:R12)</f>
        <v>11475138.171361756</v>
      </c>
      <c r="AC12">
        <f>AC10*AC11</f>
        <v>25.53796671130798</v>
      </c>
      <c r="AD12">
        <f t="shared" ref="AD12:AF12" si="11">AD10*AD11</f>
        <v>23.543630150630921</v>
      </c>
      <c r="AE12">
        <f t="shared" si="11"/>
        <v>25.668006096290917</v>
      </c>
      <c r="AF12">
        <f t="shared" si="11"/>
        <v>24.838826082320338</v>
      </c>
      <c r="AG12">
        <f>AF12+AE12+AD12+AC12</f>
        <v>99.588429040550153</v>
      </c>
    </row>
    <row r="13" spans="3:39" x14ac:dyDescent="0.2">
      <c r="G13" s="242" t="s">
        <v>605</v>
      </c>
      <c r="H13" s="239">
        <f>AVERAGE(H5:H12)</f>
        <v>0.23269836048281589</v>
      </c>
      <c r="I13" s="239">
        <f>AVERAGE(I5:I12)</f>
        <v>6.7276800937914619E-2</v>
      </c>
      <c r="J13" s="239">
        <f>AVERAGE(J5:J12)</f>
        <v>5.5357199097826479E-2</v>
      </c>
      <c r="K13" s="239">
        <f>AVERAGE(K5:K12)</f>
        <v>2.2629373530509471E-2</v>
      </c>
      <c r="L13" s="264"/>
      <c r="O13" s="242"/>
      <c r="P13" s="241"/>
      <c r="Q13" s="241"/>
      <c r="R13" s="242"/>
    </row>
    <row r="14" spans="3:39" ht="25.5" x14ac:dyDescent="0.2">
      <c r="C14" s="241" t="s">
        <v>626</v>
      </c>
      <c r="D14" s="242" t="s">
        <v>232</v>
      </c>
      <c r="E14" s="242" t="s">
        <v>619</v>
      </c>
      <c r="G14" s="242" t="s">
        <v>606</v>
      </c>
      <c r="H14" s="239">
        <f>_xlfn.VAR.S(H5,H6,H7,H8,H9,H10,H11,H12)</f>
        <v>9.5627237184807787E-3</v>
      </c>
      <c r="I14" s="239">
        <f>_xlfn.VAR.S(I5,I6,I7,I8,I9,I10,I11,I12)</f>
        <v>6.7312658235487474E-4</v>
      </c>
      <c r="J14" s="239">
        <f>_xlfn.VAR.S(J5,J6,J7,J8,J9,J10,J11,J12)</f>
        <v>5.0471630727730559E-4</v>
      </c>
      <c r="K14" s="239">
        <f>_xlfn.VAR.S(K5,K6,K7,K8,K9,K10,K11,K12)</f>
        <v>7.5401939279880973E-4</v>
      </c>
      <c r="L14" s="264"/>
      <c r="N14" s="283"/>
      <c r="O14" s="314"/>
      <c r="P14" s="314"/>
      <c r="Q14" s="314"/>
      <c r="R14" s="314"/>
      <c r="S14" s="81"/>
      <c r="W14" s="241" t="s">
        <v>629</v>
      </c>
      <c r="X14" s="242" t="s">
        <v>625</v>
      </c>
      <c r="Y14" s="241" t="s">
        <v>626</v>
      </c>
      <c r="Z14" s="241" t="s">
        <v>628</v>
      </c>
      <c r="AA14" s="242" t="s">
        <v>627</v>
      </c>
      <c r="AC14">
        <v>30</v>
      </c>
      <c r="AD14">
        <v>20</v>
      </c>
      <c r="AE14">
        <v>25</v>
      </c>
      <c r="AF14">
        <v>25</v>
      </c>
    </row>
    <row r="15" spans="3:39" ht="38.25" x14ac:dyDescent="0.2">
      <c r="C15" s="242" t="s">
        <v>607</v>
      </c>
      <c r="D15" s="239">
        <v>1150.5</v>
      </c>
      <c r="E15" s="239">
        <v>22900</v>
      </c>
      <c r="N15" s="283"/>
      <c r="O15" s="314"/>
      <c r="P15" s="314"/>
      <c r="Q15" s="314"/>
      <c r="R15" s="314"/>
      <c r="S15" s="81"/>
      <c r="W15" s="250" t="s">
        <v>621</v>
      </c>
      <c r="X15">
        <f>O6</f>
        <v>438813.97732119</v>
      </c>
      <c r="Y15">
        <f>P6</f>
        <v>195881.37810332232</v>
      </c>
      <c r="Z15">
        <f>Q6</f>
        <v>180532.87701310066</v>
      </c>
      <c r="AA15">
        <f>R6</f>
        <v>116442.78538992784</v>
      </c>
    </row>
    <row r="16" spans="3:39" ht="38.25" x14ac:dyDescent="0.2">
      <c r="C16" s="242" t="s">
        <v>608</v>
      </c>
      <c r="D16" s="239">
        <v>2905.5</v>
      </c>
      <c r="E16" s="239">
        <v>20800</v>
      </c>
      <c r="G16" s="286" t="s">
        <v>644</v>
      </c>
      <c r="H16" s="240"/>
      <c r="I16" s="240"/>
      <c r="J16" s="240"/>
      <c r="K16" s="240"/>
      <c r="L16" s="116"/>
      <c r="O16" s="116"/>
      <c r="P16" s="116"/>
      <c r="W16" s="250" t="s">
        <v>622</v>
      </c>
      <c r="X16">
        <f>O7</f>
        <v>402157.89746370661</v>
      </c>
      <c r="Y16">
        <f>P7</f>
        <v>191767.54890094171</v>
      </c>
      <c r="Z16">
        <f>Q7</f>
        <v>177074.62915885838</v>
      </c>
      <c r="AA16">
        <f>R7</f>
        <v>108493.1875033363</v>
      </c>
    </row>
    <row r="17" spans="3:21" ht="38.25" x14ac:dyDescent="0.2">
      <c r="C17" s="242" t="s">
        <v>609</v>
      </c>
      <c r="D17" s="239">
        <v>6636.5</v>
      </c>
      <c r="E17" s="239">
        <v>39800</v>
      </c>
      <c r="G17" s="286" t="s">
        <v>645</v>
      </c>
      <c r="H17" s="240">
        <f>(1.96*SQRT(H14)/(0.2*H13))^2</f>
        <v>16.960830465584671</v>
      </c>
      <c r="I17" s="240">
        <f t="shared" ref="I17:K17" si="12">(1.96*SQRT(I14)/(0.2*I13))^2</f>
        <v>14.282960279628695</v>
      </c>
      <c r="J17" s="240">
        <f t="shared" si="12"/>
        <v>15.817989109567407</v>
      </c>
      <c r="K17" s="240">
        <f t="shared" si="12"/>
        <v>141.41308763072945</v>
      </c>
      <c r="L17" s="116"/>
      <c r="M17" s="271"/>
      <c r="N17" s="272" t="s">
        <v>641</v>
      </c>
      <c r="O17" s="273" t="s">
        <v>640</v>
      </c>
      <c r="P17" s="273" t="s">
        <v>636</v>
      </c>
      <c r="Q17" s="274" t="s">
        <v>631</v>
      </c>
      <c r="R17" s="275" t="s">
        <v>385</v>
      </c>
      <c r="S17" s="268"/>
    </row>
    <row r="18" spans="3:21" x14ac:dyDescent="0.2">
      <c r="C18" s="242" t="s">
        <v>610</v>
      </c>
      <c r="D18" s="239">
        <v>957.5</v>
      </c>
      <c r="E18" s="239">
        <v>12800</v>
      </c>
      <c r="M18" s="274" t="s">
        <v>632</v>
      </c>
      <c r="N18" s="276">
        <v>46940</v>
      </c>
      <c r="O18" s="277">
        <v>913950</v>
      </c>
      <c r="P18" s="278">
        <f>O18/N18</f>
        <v>19.470600766936514</v>
      </c>
      <c r="Q18" s="279">
        <v>0.1212</v>
      </c>
      <c r="R18" s="277">
        <v>26426</v>
      </c>
    </row>
    <row r="19" spans="3:21" ht="25.5" x14ac:dyDescent="0.2">
      <c r="C19" s="242" t="s">
        <v>611</v>
      </c>
      <c r="D19" s="239">
        <v>1338</v>
      </c>
      <c r="E19" s="239">
        <v>18400</v>
      </c>
      <c r="M19" s="273" t="s">
        <v>635</v>
      </c>
      <c r="N19" s="276">
        <f>N24</f>
        <v>1200</v>
      </c>
      <c r="O19" s="280">
        <f>N19*P19</f>
        <v>15205.871660784167</v>
      </c>
      <c r="P19" s="281">
        <f>P18*P24/R18</f>
        <v>12.67155971732014</v>
      </c>
      <c r="Q19" s="274"/>
      <c r="R19" s="280">
        <f>P24</f>
        <v>17198.166666666668</v>
      </c>
    </row>
    <row r="20" spans="3:21" x14ac:dyDescent="0.2">
      <c r="C20" s="242" t="s">
        <v>612</v>
      </c>
      <c r="D20" s="239">
        <v>1736.5</v>
      </c>
      <c r="E20" s="239">
        <v>18400</v>
      </c>
      <c r="M20" s="271"/>
      <c r="N20" s="140"/>
      <c r="O20" s="140"/>
      <c r="P20" s="140"/>
      <c r="Q20" s="140"/>
      <c r="R20" s="271"/>
    </row>
    <row r="21" spans="3:21" ht="25.5" x14ac:dyDescent="0.2">
      <c r="C21" s="242" t="s">
        <v>613</v>
      </c>
      <c r="D21" s="239">
        <v>1652</v>
      </c>
      <c r="E21" s="239">
        <v>13200</v>
      </c>
      <c r="M21" s="140"/>
      <c r="N21" s="273" t="s">
        <v>638</v>
      </c>
      <c r="O21" s="273" t="s">
        <v>639</v>
      </c>
      <c r="P21" s="273" t="s">
        <v>385</v>
      </c>
      <c r="Q21" s="271"/>
      <c r="R21" s="271"/>
    </row>
    <row r="22" spans="3:21" x14ac:dyDescent="0.2">
      <c r="C22" s="242" t="s">
        <v>614</v>
      </c>
      <c r="D22" s="239">
        <v>2067</v>
      </c>
      <c r="E22" s="239">
        <v>13700</v>
      </c>
      <c r="M22" s="274" t="s">
        <v>633</v>
      </c>
      <c r="N22" s="274">
        <v>58000</v>
      </c>
      <c r="O22" s="277">
        <v>54310000</v>
      </c>
      <c r="P22" s="277">
        <f>O22/N22</f>
        <v>936.37931034482756</v>
      </c>
      <c r="Q22" s="271"/>
      <c r="R22" s="271"/>
    </row>
    <row r="23" spans="3:21" ht="25.5" x14ac:dyDescent="0.2">
      <c r="M23" s="273" t="s">
        <v>634</v>
      </c>
      <c r="N23" s="274">
        <v>4000</v>
      </c>
      <c r="O23" s="277">
        <f>O22*0.4</f>
        <v>21724000</v>
      </c>
      <c r="P23" s="277">
        <f>O23/N23</f>
        <v>5431</v>
      </c>
      <c r="Q23" s="271"/>
      <c r="R23" s="271"/>
    </row>
    <row r="24" spans="3:21" s="142" customFormat="1" ht="38.25" x14ac:dyDescent="0.2">
      <c r="C24" s="241" t="s">
        <v>628</v>
      </c>
      <c r="D24" s="241" t="s">
        <v>232</v>
      </c>
      <c r="E24" s="241" t="s">
        <v>619</v>
      </c>
      <c r="M24" s="273" t="s">
        <v>637</v>
      </c>
      <c r="N24" s="276">
        <f>0.3*N23</f>
        <v>1200</v>
      </c>
      <c r="O24" s="280">
        <f>0.95*O23</f>
        <v>20637800</v>
      </c>
      <c r="P24" s="277">
        <f>O24/N24</f>
        <v>17198.166666666668</v>
      </c>
      <c r="Q24" s="140"/>
      <c r="R24" s="140"/>
    </row>
    <row r="25" spans="3:21" x14ac:dyDescent="0.2">
      <c r="C25" s="242" t="s">
        <v>607</v>
      </c>
      <c r="D25" s="239">
        <v>2197</v>
      </c>
      <c r="E25" s="239">
        <v>19600</v>
      </c>
    </row>
    <row r="26" spans="3:21" x14ac:dyDescent="0.2">
      <c r="C26" s="242" t="s">
        <v>608</v>
      </c>
      <c r="D26" s="239">
        <v>1729</v>
      </c>
      <c r="E26" s="239">
        <v>15000</v>
      </c>
      <c r="N26" s="58"/>
    </row>
    <row r="27" spans="3:21" x14ac:dyDescent="0.2">
      <c r="C27" s="242" t="s">
        <v>609</v>
      </c>
      <c r="D27" s="239">
        <v>3920.5</v>
      </c>
      <c r="E27" s="239">
        <v>25100</v>
      </c>
      <c r="N27" s="267"/>
    </row>
    <row r="28" spans="3:21" x14ac:dyDescent="0.2">
      <c r="C28" s="242" t="s">
        <v>610</v>
      </c>
      <c r="D28" s="239">
        <v>2105.5</v>
      </c>
      <c r="E28" s="239">
        <v>27600</v>
      </c>
    </row>
    <row r="29" spans="3:21" x14ac:dyDescent="0.2">
      <c r="C29" s="242" t="s">
        <v>611</v>
      </c>
      <c r="D29" s="239">
        <v>2987</v>
      </c>
      <c r="E29" s="239">
        <v>35500</v>
      </c>
      <c r="O29" t="s">
        <v>629</v>
      </c>
      <c r="P29" t="s">
        <v>625</v>
      </c>
      <c r="S29" t="s">
        <v>620</v>
      </c>
      <c r="T29" t="s">
        <v>621</v>
      </c>
      <c r="U29" t="s">
        <v>622</v>
      </c>
    </row>
    <row r="30" spans="3:21" x14ac:dyDescent="0.2">
      <c r="C30" s="242" t="s">
        <v>612</v>
      </c>
      <c r="D30" s="239">
        <v>2663.5</v>
      </c>
      <c r="E30" s="239">
        <v>35900</v>
      </c>
      <c r="O30" t="s">
        <v>620</v>
      </c>
      <c r="P30">
        <v>1807000</v>
      </c>
      <c r="R30" t="s">
        <v>625</v>
      </c>
      <c r="S30">
        <v>1807000</v>
      </c>
      <c r="T30">
        <v>438813.97732119</v>
      </c>
      <c r="U30">
        <v>402157.89746370661</v>
      </c>
    </row>
    <row r="31" spans="3:21" x14ac:dyDescent="0.2">
      <c r="C31" s="242" t="s">
        <v>613</v>
      </c>
      <c r="D31" s="239">
        <v>635</v>
      </c>
      <c r="E31" s="239">
        <v>10200</v>
      </c>
      <c r="O31" t="s">
        <v>621</v>
      </c>
      <c r="P31">
        <v>438813.97732119</v>
      </c>
    </row>
    <row r="32" spans="3:21" x14ac:dyDescent="0.2">
      <c r="C32" s="242" t="s">
        <v>614</v>
      </c>
      <c r="D32" s="239">
        <v>1400</v>
      </c>
      <c r="E32" s="239">
        <v>35700</v>
      </c>
      <c r="O32" t="s">
        <v>622</v>
      </c>
      <c r="P32">
        <v>402157.89746370661</v>
      </c>
    </row>
    <row r="34" spans="3:29" x14ac:dyDescent="0.2">
      <c r="C34" s="242" t="s">
        <v>627</v>
      </c>
      <c r="D34" s="242" t="s">
        <v>232</v>
      </c>
      <c r="E34" s="242" t="s">
        <v>619</v>
      </c>
    </row>
    <row r="35" spans="3:29" x14ac:dyDescent="0.2">
      <c r="C35" s="242" t="s">
        <v>607</v>
      </c>
      <c r="D35" s="239">
        <v>150</v>
      </c>
      <c r="E35" s="239">
        <v>17400</v>
      </c>
    </row>
    <row r="36" spans="3:29" x14ac:dyDescent="0.2">
      <c r="C36" s="242" t="s">
        <v>608</v>
      </c>
      <c r="D36" s="239">
        <v>2964</v>
      </c>
      <c r="E36" s="239">
        <v>28500</v>
      </c>
    </row>
    <row r="37" spans="3:29" x14ac:dyDescent="0.2">
      <c r="C37" s="242" t="s">
        <v>609</v>
      </c>
      <c r="D37" s="239">
        <v>234</v>
      </c>
      <c r="E37" s="239">
        <v>19300</v>
      </c>
    </row>
    <row r="38" spans="3:29" x14ac:dyDescent="0.2">
      <c r="C38" s="242" t="s">
        <v>610</v>
      </c>
      <c r="D38" s="239">
        <v>299</v>
      </c>
      <c r="E38" s="239">
        <v>31100</v>
      </c>
      <c r="S38" t="s">
        <v>618</v>
      </c>
      <c r="T38" t="s">
        <v>607</v>
      </c>
      <c r="U38" t="s">
        <v>608</v>
      </c>
      <c r="V38" t="s">
        <v>609</v>
      </c>
      <c r="W38" t="s">
        <v>610</v>
      </c>
      <c r="X38" t="s">
        <v>611</v>
      </c>
      <c r="Y38" t="s">
        <v>612</v>
      </c>
      <c r="Z38" t="s">
        <v>613</v>
      </c>
      <c r="AA38" t="s">
        <v>614</v>
      </c>
      <c r="AB38" t="s">
        <v>605</v>
      </c>
      <c r="AC38" t="s">
        <v>606</v>
      </c>
    </row>
    <row r="39" spans="3:29" x14ac:dyDescent="0.2">
      <c r="C39" s="242" t="s">
        <v>611</v>
      </c>
      <c r="D39" s="239">
        <v>994.5</v>
      </c>
      <c r="E39" s="239">
        <v>8820</v>
      </c>
      <c r="P39" t="s">
        <v>618</v>
      </c>
      <c r="Q39" t="s">
        <v>625</v>
      </c>
      <c r="S39" t="s">
        <v>625</v>
      </c>
      <c r="T39">
        <v>0.39310897435897435</v>
      </c>
      <c r="U39">
        <v>0.20045128205128207</v>
      </c>
      <c r="V39">
        <v>0.29879900744416871</v>
      </c>
      <c r="W39">
        <v>0.23872048743335869</v>
      </c>
      <c r="X39">
        <v>0.30156762668611009</v>
      </c>
      <c r="Y39">
        <v>0.18636270039711722</v>
      </c>
      <c r="Z39">
        <v>0.16627583869874618</v>
      </c>
      <c r="AA39">
        <v>7.630096679277007E-2</v>
      </c>
      <c r="AB39">
        <v>0.23269836048281589</v>
      </c>
      <c r="AC39">
        <v>9.5627237184807787E-3</v>
      </c>
    </row>
    <row r="40" spans="3:29" x14ac:dyDescent="0.2">
      <c r="C40" s="242" t="s">
        <v>612</v>
      </c>
      <c r="D40" s="239">
        <v>39</v>
      </c>
      <c r="E40" s="239">
        <v>4140</v>
      </c>
      <c r="P40" t="s">
        <v>607</v>
      </c>
      <c r="Q40">
        <v>0.39310897435897435</v>
      </c>
    </row>
    <row r="41" spans="3:29" x14ac:dyDescent="0.2">
      <c r="C41" s="242" t="s">
        <v>613</v>
      </c>
      <c r="D41" s="239">
        <v>318.5</v>
      </c>
      <c r="E41" s="239">
        <v>28300</v>
      </c>
      <c r="P41" t="s">
        <v>608</v>
      </c>
      <c r="Q41">
        <v>0.20045128205128207</v>
      </c>
    </row>
    <row r="42" spans="3:29" x14ac:dyDescent="0.2">
      <c r="C42" s="242" t="s">
        <v>614</v>
      </c>
      <c r="D42" s="239">
        <v>1108.5</v>
      </c>
      <c r="E42" s="239">
        <v>42000</v>
      </c>
      <c r="P42" t="s">
        <v>609</v>
      </c>
      <c r="Q42">
        <v>0.29879900744416871</v>
      </c>
    </row>
    <row r="43" spans="3:29" x14ac:dyDescent="0.2">
      <c r="P43" t="s">
        <v>610</v>
      </c>
      <c r="Q43">
        <v>0.23872048743335869</v>
      </c>
    </row>
    <row r="44" spans="3:29" x14ac:dyDescent="0.2">
      <c r="C44" s="263"/>
      <c r="D44" s="263"/>
      <c r="E44" s="263"/>
      <c r="P44" t="s">
        <v>611</v>
      </c>
      <c r="Q44">
        <v>0.30156762668611009</v>
      </c>
    </row>
    <row r="45" spans="3:29" x14ac:dyDescent="0.2">
      <c r="C45" s="263"/>
      <c r="D45" s="264"/>
      <c r="E45" s="264"/>
      <c r="P45" t="s">
        <v>612</v>
      </c>
      <c r="Q45">
        <v>0.18636270039711722</v>
      </c>
    </row>
    <row r="46" spans="3:29" x14ac:dyDescent="0.2">
      <c r="C46" s="263"/>
      <c r="D46" s="264"/>
      <c r="E46" s="264"/>
      <c r="P46" t="s">
        <v>613</v>
      </c>
      <c r="Q46">
        <v>0.16627583869874618</v>
      </c>
    </row>
    <row r="47" spans="3:29" x14ac:dyDescent="0.2">
      <c r="C47" s="263"/>
      <c r="D47" s="264"/>
      <c r="E47" s="264"/>
      <c r="P47" t="s">
        <v>614</v>
      </c>
      <c r="Q47">
        <v>7.630096679277007E-2</v>
      </c>
    </row>
    <row r="48" spans="3:29" ht="25.5" x14ac:dyDescent="0.2">
      <c r="C48" s="241" t="s">
        <v>626</v>
      </c>
      <c r="D48" s="242" t="s">
        <v>232</v>
      </c>
      <c r="E48" s="242" t="s">
        <v>619</v>
      </c>
      <c r="G48" s="241" t="s">
        <v>626</v>
      </c>
      <c r="H48" s="242" t="s">
        <v>232</v>
      </c>
      <c r="I48" s="242" t="s">
        <v>619</v>
      </c>
      <c r="J48" s="241" t="s">
        <v>626</v>
      </c>
      <c r="K48" s="242" t="s">
        <v>232</v>
      </c>
      <c r="L48" s="242" t="s">
        <v>619</v>
      </c>
      <c r="P48" t="s">
        <v>605</v>
      </c>
      <c r="Q48">
        <v>0.23269836048281589</v>
      </c>
    </row>
    <row r="49" spans="3:19" x14ac:dyDescent="0.2">
      <c r="C49" s="242" t="s">
        <v>607</v>
      </c>
      <c r="D49" s="239">
        <v>1150.5</v>
      </c>
      <c r="E49" s="239">
        <v>22900</v>
      </c>
      <c r="G49" s="242" t="s">
        <v>607</v>
      </c>
      <c r="H49" s="239">
        <f>D49*4/6.5</f>
        <v>708</v>
      </c>
      <c r="I49" s="239">
        <v>22900</v>
      </c>
      <c r="J49" s="242" t="s">
        <v>611</v>
      </c>
      <c r="K49" s="287">
        <f>D53*4/6.5 -1</f>
        <v>822.38461538461536</v>
      </c>
      <c r="L49" s="239">
        <v>18400</v>
      </c>
      <c r="P49" t="s">
        <v>606</v>
      </c>
      <c r="Q49">
        <v>9.5627237184807787E-3</v>
      </c>
    </row>
    <row r="50" spans="3:19" x14ac:dyDescent="0.2">
      <c r="C50" s="242" t="s">
        <v>608</v>
      </c>
      <c r="D50" s="239">
        <v>2905.5</v>
      </c>
      <c r="E50" s="239">
        <v>20800</v>
      </c>
      <c r="G50" s="242" t="s">
        <v>608</v>
      </c>
      <c r="H50" s="239">
        <f t="shared" ref="H50:H51" si="13">D50*4/6.5</f>
        <v>1788</v>
      </c>
      <c r="I50" s="239">
        <v>20800</v>
      </c>
      <c r="J50" s="242" t="s">
        <v>612</v>
      </c>
      <c r="K50" s="287">
        <f t="shared" ref="K50:K52" si="14">D54*4/6.5 -1</f>
        <v>1067.6153846153845</v>
      </c>
      <c r="L50" s="239">
        <v>18400</v>
      </c>
    </row>
    <row r="51" spans="3:19" x14ac:dyDescent="0.2">
      <c r="C51" s="242" t="s">
        <v>609</v>
      </c>
      <c r="D51" s="239">
        <v>6636.5</v>
      </c>
      <c r="E51" s="239">
        <v>39800</v>
      </c>
      <c r="G51" s="242" t="s">
        <v>609</v>
      </c>
      <c r="H51" s="239">
        <f t="shared" si="13"/>
        <v>4084</v>
      </c>
      <c r="I51" s="239">
        <v>39800</v>
      </c>
      <c r="J51" s="242" t="s">
        <v>613</v>
      </c>
      <c r="K51" s="287">
        <f t="shared" si="14"/>
        <v>1015.6153846153846</v>
      </c>
      <c r="L51" s="239">
        <v>13200</v>
      </c>
    </row>
    <row r="52" spans="3:19" x14ac:dyDescent="0.2">
      <c r="C52" s="242" t="s">
        <v>610</v>
      </c>
      <c r="D52" s="239">
        <v>957.5</v>
      </c>
      <c r="E52" s="239">
        <v>12800</v>
      </c>
      <c r="G52" s="242" t="s">
        <v>610</v>
      </c>
      <c r="H52" s="287">
        <f>D52*4/6.5 -1</f>
        <v>588.23076923076928</v>
      </c>
      <c r="I52" s="239">
        <v>12800</v>
      </c>
      <c r="J52" s="242" t="s">
        <v>614</v>
      </c>
      <c r="K52" s="287">
        <f t="shared" si="14"/>
        <v>1271</v>
      </c>
      <c r="L52" s="239">
        <v>13700</v>
      </c>
    </row>
    <row r="53" spans="3:19" x14ac:dyDescent="0.2">
      <c r="C53" s="242" t="s">
        <v>611</v>
      </c>
      <c r="D53" s="239">
        <v>1338</v>
      </c>
      <c r="E53" s="239">
        <v>18400</v>
      </c>
    </row>
    <row r="54" spans="3:19" ht="25.5" x14ac:dyDescent="0.2">
      <c r="C54" s="242" t="s">
        <v>612</v>
      </c>
      <c r="D54" s="239">
        <v>1736.5</v>
      </c>
      <c r="E54" s="239">
        <v>18400</v>
      </c>
      <c r="G54" s="241" t="s">
        <v>628</v>
      </c>
      <c r="H54" s="242" t="s">
        <v>232</v>
      </c>
      <c r="I54" s="242" t="s">
        <v>619</v>
      </c>
      <c r="J54" s="241" t="s">
        <v>628</v>
      </c>
      <c r="K54" s="242" t="s">
        <v>232</v>
      </c>
      <c r="L54" s="242" t="s">
        <v>619</v>
      </c>
    </row>
    <row r="55" spans="3:19" x14ac:dyDescent="0.2">
      <c r="C55" s="242" t="s">
        <v>613</v>
      </c>
      <c r="D55" s="239">
        <v>1652</v>
      </c>
      <c r="E55" s="239">
        <v>13200</v>
      </c>
      <c r="G55" s="242" t="s">
        <v>607</v>
      </c>
      <c r="H55" s="239">
        <f>D59*4/6.5</f>
        <v>1352</v>
      </c>
      <c r="I55" s="239">
        <v>22900</v>
      </c>
      <c r="J55" s="242" t="s">
        <v>611</v>
      </c>
      <c r="K55" s="287">
        <f>D63*4/6.5</f>
        <v>1838.1538461538462</v>
      </c>
      <c r="L55" s="239">
        <v>18400</v>
      </c>
    </row>
    <row r="56" spans="3:19" x14ac:dyDescent="0.2">
      <c r="C56" s="242" t="s">
        <v>614</v>
      </c>
      <c r="D56" s="239">
        <v>2067</v>
      </c>
      <c r="E56" s="239">
        <v>13700</v>
      </c>
      <c r="G56" s="242" t="s">
        <v>608</v>
      </c>
      <c r="H56" s="239">
        <f>D60*4/6.5</f>
        <v>1064</v>
      </c>
      <c r="I56" s="239">
        <v>20800</v>
      </c>
      <c r="J56" s="242" t="s">
        <v>612</v>
      </c>
      <c r="K56" s="287">
        <f>D64*4/6.5 -1</f>
        <v>1638.0769230769231</v>
      </c>
      <c r="L56" s="239">
        <v>18400</v>
      </c>
    </row>
    <row r="57" spans="3:19" x14ac:dyDescent="0.2">
      <c r="G57" s="242" t="s">
        <v>609</v>
      </c>
      <c r="H57" s="287">
        <f>D61*4/6.5 -0.6</f>
        <v>2412.0153846153848</v>
      </c>
      <c r="I57" s="239">
        <v>39800</v>
      </c>
      <c r="J57" s="242" t="s">
        <v>613</v>
      </c>
      <c r="K57" s="287">
        <f>D65*4/6.5 -1</f>
        <v>389.76923076923077</v>
      </c>
      <c r="L57" s="239">
        <v>13200</v>
      </c>
    </row>
    <row r="58" spans="3:19" ht="25.5" x14ac:dyDescent="0.2">
      <c r="C58" s="241" t="s">
        <v>628</v>
      </c>
      <c r="D58" s="241" t="s">
        <v>232</v>
      </c>
      <c r="E58" s="241" t="s">
        <v>619</v>
      </c>
      <c r="G58" s="242" t="s">
        <v>610</v>
      </c>
      <c r="H58" s="287">
        <f>D62*4/6.5</f>
        <v>1295.6923076923076</v>
      </c>
      <c r="I58" s="239">
        <v>12800</v>
      </c>
      <c r="J58" s="242" t="s">
        <v>614</v>
      </c>
      <c r="K58" s="287">
        <f>D66*4/6.5</f>
        <v>861.53846153846155</v>
      </c>
      <c r="L58" s="239">
        <v>13700</v>
      </c>
    </row>
    <row r="59" spans="3:19" x14ac:dyDescent="0.2">
      <c r="C59" s="242" t="s">
        <v>607</v>
      </c>
      <c r="D59" s="239">
        <v>2197</v>
      </c>
      <c r="E59" s="239">
        <v>19600</v>
      </c>
    </row>
    <row r="60" spans="3:19" x14ac:dyDescent="0.2">
      <c r="C60" s="242" t="s">
        <v>608</v>
      </c>
      <c r="D60" s="239">
        <v>1729</v>
      </c>
      <c r="E60" s="239">
        <v>15000</v>
      </c>
      <c r="G60" s="242" t="s">
        <v>627</v>
      </c>
      <c r="H60" s="242" t="s">
        <v>232</v>
      </c>
      <c r="I60" s="242" t="s">
        <v>619</v>
      </c>
      <c r="J60" s="242" t="s">
        <v>627</v>
      </c>
      <c r="K60" s="242" t="s">
        <v>232</v>
      </c>
      <c r="L60" s="242" t="s">
        <v>619</v>
      </c>
    </row>
    <row r="61" spans="3:19" x14ac:dyDescent="0.2">
      <c r="C61" s="242" t="s">
        <v>609</v>
      </c>
      <c r="D61" s="239">
        <v>3920.5</v>
      </c>
      <c r="E61" s="239">
        <v>25100</v>
      </c>
      <c r="G61" s="242" t="s">
        <v>607</v>
      </c>
      <c r="H61" s="287">
        <f>D69*4/6.5</f>
        <v>92.307692307692307</v>
      </c>
      <c r="I61" s="239">
        <v>22900</v>
      </c>
      <c r="J61" s="242" t="s">
        <v>611</v>
      </c>
      <c r="K61" s="287">
        <f>D73*4/6.5</f>
        <v>612</v>
      </c>
      <c r="L61" s="239">
        <v>18400</v>
      </c>
    </row>
    <row r="62" spans="3:19" x14ac:dyDescent="0.2">
      <c r="C62" s="242" t="s">
        <v>610</v>
      </c>
      <c r="D62" s="239">
        <v>2105.5</v>
      </c>
      <c r="E62" s="239">
        <v>27600</v>
      </c>
      <c r="G62" s="242" t="s">
        <v>608</v>
      </c>
      <c r="H62" s="239">
        <f>D70*4/6.5</f>
        <v>1824</v>
      </c>
      <c r="I62" s="239">
        <v>20800</v>
      </c>
      <c r="J62" s="242" t="s">
        <v>612</v>
      </c>
      <c r="K62" s="287">
        <f>D74*4/6.5</f>
        <v>24</v>
      </c>
      <c r="L62" s="239">
        <v>18400</v>
      </c>
    </row>
    <row r="63" spans="3:19" x14ac:dyDescent="0.2">
      <c r="C63" s="242" t="s">
        <v>611</v>
      </c>
      <c r="D63" s="239">
        <v>2987</v>
      </c>
      <c r="E63" s="239">
        <v>35500</v>
      </c>
      <c r="G63" s="242" t="s">
        <v>609</v>
      </c>
      <c r="H63" s="287">
        <f>D71*4/6.5</f>
        <v>144</v>
      </c>
      <c r="I63" s="239">
        <v>39800</v>
      </c>
      <c r="J63" s="242" t="s">
        <v>613</v>
      </c>
      <c r="K63" s="287">
        <f>D75*4/6.5</f>
        <v>196</v>
      </c>
      <c r="L63" s="239">
        <v>13200</v>
      </c>
    </row>
    <row r="64" spans="3:19" ht="25.5" x14ac:dyDescent="0.2">
      <c r="C64" s="242" t="s">
        <v>612</v>
      </c>
      <c r="D64" s="239">
        <v>2663.5</v>
      </c>
      <c r="E64" s="239">
        <v>35900</v>
      </c>
      <c r="G64" s="242" t="s">
        <v>610</v>
      </c>
      <c r="H64" s="287">
        <f>D72*4/6.5</f>
        <v>184</v>
      </c>
      <c r="I64" s="239">
        <v>12800</v>
      </c>
      <c r="J64" s="242" t="s">
        <v>614</v>
      </c>
      <c r="K64" s="287">
        <f>D76*4/6.5</f>
        <v>682.15384615384619</v>
      </c>
      <c r="L64" s="239">
        <v>13700</v>
      </c>
      <c r="P64" s="241" t="s">
        <v>618</v>
      </c>
      <c r="Q64" s="242" t="s">
        <v>626</v>
      </c>
      <c r="R64" s="242" t="s">
        <v>628</v>
      </c>
      <c r="S64" s="242" t="s">
        <v>627</v>
      </c>
    </row>
    <row r="65" spans="3:19" x14ac:dyDescent="0.2">
      <c r="C65" s="242" t="s">
        <v>613</v>
      </c>
      <c r="D65" s="239">
        <v>635</v>
      </c>
      <c r="E65" s="239">
        <v>10200</v>
      </c>
      <c r="P65" s="242" t="s">
        <v>607</v>
      </c>
      <c r="Q65" s="239">
        <v>3.0917030567685591E-2</v>
      </c>
      <c r="R65" s="239">
        <v>6.8979591836734688E-2</v>
      </c>
      <c r="S65" s="239">
        <v>5.3050397877984082E-3</v>
      </c>
    </row>
    <row r="66" spans="3:19" x14ac:dyDescent="0.2">
      <c r="C66" s="242" t="s">
        <v>614</v>
      </c>
      <c r="D66" s="239">
        <v>1400</v>
      </c>
      <c r="E66" s="239">
        <v>35700</v>
      </c>
      <c r="P66" s="242" t="s">
        <v>608</v>
      </c>
      <c r="Q66" s="239">
        <v>8.5961538461538464E-2</v>
      </c>
      <c r="R66" s="239">
        <v>7.0933333333333334E-2</v>
      </c>
      <c r="S66" s="239">
        <v>6.4000000000000001E-2</v>
      </c>
    </row>
    <row r="67" spans="3:19" x14ac:dyDescent="0.2">
      <c r="P67" s="242" t="s">
        <v>609</v>
      </c>
      <c r="Q67" s="239">
        <v>0.10261306532663317</v>
      </c>
      <c r="R67" s="239">
        <v>9.6120134845234448E-2</v>
      </c>
      <c r="S67" s="239">
        <v>7.4611398963730568E-3</v>
      </c>
    </row>
    <row r="68" spans="3:19" x14ac:dyDescent="0.2">
      <c r="C68" s="242" t="s">
        <v>627</v>
      </c>
      <c r="D68" s="242" t="s">
        <v>232</v>
      </c>
      <c r="E68" s="242" t="s">
        <v>619</v>
      </c>
      <c r="P68" s="242" t="s">
        <v>610</v>
      </c>
      <c r="Q68" s="239">
        <v>4.6033653846153849E-2</v>
      </c>
      <c r="R68" s="239">
        <v>4.6945373467112597E-2</v>
      </c>
      <c r="S68" s="239">
        <v>5.9163987138263667E-3</v>
      </c>
    </row>
    <row r="69" spans="3:19" x14ac:dyDescent="0.2">
      <c r="C69" s="242" t="s">
        <v>607</v>
      </c>
      <c r="D69" s="239">
        <v>150</v>
      </c>
      <c r="E69" s="239">
        <v>17400</v>
      </c>
      <c r="P69" s="242" t="s">
        <v>611</v>
      </c>
      <c r="Q69" s="239">
        <v>4.4749163879598659E-2</v>
      </c>
      <c r="R69" s="239">
        <v>5.1778981581798486E-2</v>
      </c>
      <c r="S69" s="239">
        <v>6.9387755102040816E-2</v>
      </c>
    </row>
    <row r="70" spans="3:19" x14ac:dyDescent="0.2">
      <c r="C70" s="242" t="s">
        <v>608</v>
      </c>
      <c r="D70" s="239">
        <v>2964</v>
      </c>
      <c r="E70" s="239">
        <v>28500</v>
      </c>
      <c r="P70" s="242" t="s">
        <v>612</v>
      </c>
      <c r="Q70" s="239">
        <v>5.8076923076923075E-2</v>
      </c>
      <c r="R70" s="239">
        <v>4.5656738804371114E-2</v>
      </c>
      <c r="S70" s="239">
        <v>5.7971014492753624E-3</v>
      </c>
    </row>
    <row r="71" spans="3:19" x14ac:dyDescent="0.2">
      <c r="C71" s="242" t="s">
        <v>609</v>
      </c>
      <c r="D71" s="239">
        <v>234</v>
      </c>
      <c r="E71" s="239">
        <v>19300</v>
      </c>
      <c r="P71" s="242" t="s">
        <v>613</v>
      </c>
      <c r="Q71" s="239">
        <v>7.7016317016317018E-2</v>
      </c>
      <c r="R71" s="239">
        <v>3.8310708898944196E-2</v>
      </c>
      <c r="S71" s="239">
        <v>6.9257950530035332E-3</v>
      </c>
    </row>
    <row r="72" spans="3:19" x14ac:dyDescent="0.2">
      <c r="C72" s="242" t="s">
        <v>610</v>
      </c>
      <c r="D72" s="239">
        <v>299</v>
      </c>
      <c r="E72" s="239">
        <v>31100</v>
      </c>
      <c r="P72" s="242" t="s">
        <v>614</v>
      </c>
      <c r="Q72" s="239">
        <v>9.2846715328467153E-2</v>
      </c>
      <c r="R72" s="239">
        <v>2.4132730015082957E-2</v>
      </c>
      <c r="S72" s="239">
        <v>1.6241758241758244E-2</v>
      </c>
    </row>
    <row r="73" spans="3:19" x14ac:dyDescent="0.2">
      <c r="C73" s="242" t="s">
        <v>611</v>
      </c>
      <c r="D73" s="239">
        <v>994.5</v>
      </c>
      <c r="E73" s="239">
        <v>8820</v>
      </c>
      <c r="P73" s="242" t="s">
        <v>605</v>
      </c>
      <c r="Q73" s="239">
        <v>6.7276800937914619E-2</v>
      </c>
      <c r="R73" s="239">
        <v>5.5357199097826479E-2</v>
      </c>
      <c r="S73" s="239">
        <v>2.2629373530509471E-2</v>
      </c>
    </row>
    <row r="74" spans="3:19" x14ac:dyDescent="0.2">
      <c r="C74" s="242" t="s">
        <v>612</v>
      </c>
      <c r="D74" s="239">
        <v>39</v>
      </c>
      <c r="E74" s="239">
        <v>4140</v>
      </c>
      <c r="P74" s="242" t="s">
        <v>606</v>
      </c>
      <c r="Q74" s="239">
        <v>6.7312658235487474E-4</v>
      </c>
      <c r="R74" s="239">
        <v>5.0471630727730559E-4</v>
      </c>
      <c r="S74" s="239">
        <v>7.5401939279880973E-4</v>
      </c>
    </row>
    <row r="75" spans="3:19" x14ac:dyDescent="0.2">
      <c r="C75" s="242" t="s">
        <v>613</v>
      </c>
      <c r="D75" s="239">
        <v>318.5</v>
      </c>
      <c r="E75" s="239">
        <v>28300</v>
      </c>
    </row>
    <row r="76" spans="3:19" x14ac:dyDescent="0.2">
      <c r="C76" s="242" t="s">
        <v>614</v>
      </c>
      <c r="D76" s="239">
        <v>1108.5</v>
      </c>
      <c r="E76" s="239">
        <v>42000</v>
      </c>
    </row>
    <row r="80" spans="3:19" ht="13.5" thickBot="1" x14ac:dyDescent="0.25"/>
    <row r="81" spans="5:11" ht="13.5" thickBot="1" x14ac:dyDescent="0.25">
      <c r="E81" s="288" t="s">
        <v>625</v>
      </c>
      <c r="F81" s="289" t="s">
        <v>232</v>
      </c>
      <c r="G81" s="289" t="s">
        <v>620</v>
      </c>
      <c r="H81" s="290"/>
      <c r="I81" s="291" t="s">
        <v>625</v>
      </c>
      <c r="J81" s="291" t="s">
        <v>232</v>
      </c>
      <c r="K81" s="291" t="s">
        <v>620</v>
      </c>
    </row>
    <row r="82" spans="5:11" ht="13.5" thickBot="1" x14ac:dyDescent="0.25">
      <c r="E82" s="292" t="s">
        <v>607</v>
      </c>
      <c r="F82" s="293">
        <v>3774</v>
      </c>
      <c r="G82" s="293">
        <v>9600</v>
      </c>
      <c r="H82" s="290"/>
      <c r="I82" s="294" t="s">
        <v>611</v>
      </c>
      <c r="J82" s="295">
        <v>1272</v>
      </c>
      <c r="K82" s="295">
        <v>4220</v>
      </c>
    </row>
    <row r="83" spans="5:11" ht="13.5" thickBot="1" x14ac:dyDescent="0.25">
      <c r="E83" s="292" t="s">
        <v>608</v>
      </c>
      <c r="F83" s="293">
        <v>3008</v>
      </c>
      <c r="G83" s="293">
        <v>15000</v>
      </c>
      <c r="H83" s="290"/>
      <c r="I83" s="294" t="s">
        <v>612</v>
      </c>
      <c r="J83" s="295">
        <v>9746</v>
      </c>
      <c r="K83" s="295">
        <v>52300</v>
      </c>
    </row>
    <row r="84" spans="5:11" ht="13.5" thickBot="1" x14ac:dyDescent="0.25">
      <c r="E84" s="292" t="s">
        <v>609</v>
      </c>
      <c r="F84" s="296">
        <v>2315.6923099999999</v>
      </c>
      <c r="G84" s="293">
        <v>7750</v>
      </c>
      <c r="H84" s="290"/>
      <c r="I84" s="294" t="s">
        <v>613</v>
      </c>
      <c r="J84" s="295">
        <v>3774</v>
      </c>
      <c r="K84" s="295">
        <v>22700</v>
      </c>
    </row>
    <row r="85" spans="5:11" ht="13.5" thickBot="1" x14ac:dyDescent="0.25">
      <c r="E85" s="292" t="s">
        <v>610</v>
      </c>
      <c r="F85" s="296">
        <v>1205.53846</v>
      </c>
      <c r="G85" s="293">
        <v>5050</v>
      </c>
      <c r="H85" s="290"/>
      <c r="I85" s="294" t="s">
        <v>614</v>
      </c>
      <c r="J85" s="295">
        <v>2792</v>
      </c>
      <c r="K85" s="295">
        <v>36600</v>
      </c>
    </row>
  </sheetData>
  <phoneticPr fontId="13" type="noConversion"/>
  <pageMargins left="0.7" right="0.7" top="0.75" bottom="0.75" header="0.3" footer="0.3"/>
  <pageSetup paperSize="9" orientation="portrait" horizontalDpi="200" verticalDpi="200" copies="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115"/>
  <sheetViews>
    <sheetView topLeftCell="A20" zoomScale="80" zoomScaleNormal="80" workbookViewId="0">
      <selection activeCell="K15" sqref="K15"/>
    </sheetView>
  </sheetViews>
  <sheetFormatPr baseColWidth="10" defaultColWidth="8.85546875" defaultRowHeight="12.75" x14ac:dyDescent="0.2"/>
  <cols>
    <col min="1" max="2" width="8.42578125" customWidth="1"/>
    <col min="3" max="3" width="17" style="2" customWidth="1"/>
    <col min="4" max="4" width="12.85546875" style="2" customWidth="1"/>
    <col min="5" max="5" width="15.140625" style="2" customWidth="1"/>
    <col min="6" max="6" width="14.42578125" style="2" customWidth="1"/>
    <col min="7" max="7" width="16.5703125" style="2" customWidth="1"/>
    <col min="8" max="8" width="8.42578125" customWidth="1"/>
    <col min="9" max="9" width="3.140625" customWidth="1"/>
    <col min="10" max="10" width="8.5703125" customWidth="1"/>
    <col min="11" max="11" width="10.5703125" customWidth="1"/>
    <col min="12" max="12" width="15.7109375" customWidth="1"/>
    <col min="13" max="13" width="16.140625" customWidth="1"/>
    <col min="14" max="14" width="17.140625" customWidth="1"/>
    <col min="15" max="16" width="8.5703125" customWidth="1"/>
    <col min="17" max="17" width="8.5703125" style="3" customWidth="1"/>
    <col min="19" max="19" width="19.5703125" bestFit="1" customWidth="1"/>
    <col min="20" max="20" width="33" bestFit="1" customWidth="1"/>
    <col min="21" max="21" width="32.7109375" bestFit="1" customWidth="1"/>
  </cols>
  <sheetData>
    <row r="1" spans="1:15" ht="13.5" thickBot="1" x14ac:dyDescent="0.25">
      <c r="A1" s="1" t="s">
        <v>56</v>
      </c>
      <c r="B1" s="36"/>
    </row>
    <row r="2" spans="1:15" ht="39" thickBot="1" x14ac:dyDescent="0.25">
      <c r="K2" s="298" t="s">
        <v>648</v>
      </c>
      <c r="L2" s="349">
        <f>100000</f>
        <v>100000</v>
      </c>
    </row>
    <row r="3" spans="1:15" x14ac:dyDescent="0.2">
      <c r="B3" s="4" t="s">
        <v>0</v>
      </c>
      <c r="C3" s="5" t="s">
        <v>58</v>
      </c>
      <c r="D3" s="5" t="s">
        <v>59</v>
      </c>
      <c r="E3" s="5" t="s">
        <v>60</v>
      </c>
      <c r="F3" s="5" t="s">
        <v>61</v>
      </c>
      <c r="G3" s="6" t="s">
        <v>62</v>
      </c>
      <c r="L3" s="297">
        <f>L2/12</f>
        <v>8333.3333333333339</v>
      </c>
      <c r="M3">
        <f>1/12</f>
        <v>8.3333333333333329E-2</v>
      </c>
      <c r="N3" s="297">
        <f>L2*M3</f>
        <v>8333.3333333333321</v>
      </c>
    </row>
    <row r="4" spans="1:15" x14ac:dyDescent="0.2">
      <c r="B4" s="7" t="s">
        <v>1</v>
      </c>
      <c r="C4" s="31">
        <f>0.1*$L$2</f>
        <v>10000</v>
      </c>
      <c r="D4" s="31">
        <f>0.73*$L$2</f>
        <v>73000</v>
      </c>
      <c r="E4" s="31">
        <f>0.79*$L$2</f>
        <v>79000</v>
      </c>
      <c r="F4" s="31">
        <f>0.91*$L$2</f>
        <v>91000</v>
      </c>
      <c r="G4" s="350">
        <f>0.95*$L$2</f>
        <v>95000</v>
      </c>
      <c r="K4" s="21" t="s">
        <v>649</v>
      </c>
      <c r="L4" s="21" t="s">
        <v>24</v>
      </c>
    </row>
    <row r="5" spans="1:15" ht="13.5" thickBot="1" x14ac:dyDescent="0.25">
      <c r="B5" s="7" t="s">
        <v>2</v>
      </c>
      <c r="C5" s="31">
        <f>0.32*$L$2</f>
        <v>32000</v>
      </c>
      <c r="D5" s="31">
        <f>0.72*$L$2</f>
        <v>72000</v>
      </c>
      <c r="E5" s="31">
        <f>0.76*$L$2</f>
        <v>76000</v>
      </c>
      <c r="F5" s="31">
        <f>0.87*$L$2</f>
        <v>87000</v>
      </c>
      <c r="G5" s="350">
        <f>0.91*$L$2</f>
        <v>91000</v>
      </c>
    </row>
    <row r="6" spans="1:15" ht="13.5" thickBot="1" x14ac:dyDescent="0.25">
      <c r="B6" s="7" t="s">
        <v>3</v>
      </c>
      <c r="C6" s="31">
        <f>0.39*$L$2</f>
        <v>39000</v>
      </c>
      <c r="D6" s="31">
        <f>0.73*$L$2</f>
        <v>73000</v>
      </c>
      <c r="E6" s="31">
        <f>0.73*$L$2</f>
        <v>73000</v>
      </c>
      <c r="F6" s="31">
        <f>0.85*$L$2</f>
        <v>85000</v>
      </c>
      <c r="G6" s="350">
        <f>0.9*$L$2</f>
        <v>90000</v>
      </c>
      <c r="K6" s="59" t="s">
        <v>650</v>
      </c>
      <c r="L6" s="65"/>
      <c r="M6" s="65"/>
      <c r="N6" s="65"/>
      <c r="O6" s="301"/>
    </row>
    <row r="7" spans="1:15" ht="13.5" thickBot="1" x14ac:dyDescent="0.25">
      <c r="B7" s="7" t="s">
        <v>4</v>
      </c>
      <c r="C7" s="31">
        <f>0.42*$L$2</f>
        <v>42000</v>
      </c>
      <c r="D7" s="31">
        <f>0.72*$L$2</f>
        <v>72000</v>
      </c>
      <c r="E7" s="31">
        <f>0.72*$L$2</f>
        <v>72000</v>
      </c>
      <c r="F7" s="31">
        <f>0.86*$L$2</f>
        <v>86000</v>
      </c>
      <c r="G7" s="350">
        <f>0.91*$L$2</f>
        <v>91000</v>
      </c>
    </row>
    <row r="8" spans="1:15" ht="13.5" thickBot="1" x14ac:dyDescent="0.25">
      <c r="B8" s="7" t="s">
        <v>5</v>
      </c>
      <c r="C8" s="31">
        <f>0.45*$L$2</f>
        <v>45000</v>
      </c>
      <c r="D8" s="31">
        <f>0.71*$L$2</f>
        <v>71000</v>
      </c>
      <c r="E8" s="31">
        <f>0.75*$L$2</f>
        <v>75000</v>
      </c>
      <c r="F8" s="31">
        <f>0.865*$L$2</f>
        <v>86500</v>
      </c>
      <c r="G8" s="350">
        <f>0.89*$L$2</f>
        <v>89000</v>
      </c>
      <c r="K8" s="339" t="s">
        <v>90</v>
      </c>
      <c r="L8" s="340"/>
      <c r="M8" s="340"/>
      <c r="N8" s="341"/>
    </row>
    <row r="9" spans="1:15" x14ac:dyDescent="0.2">
      <c r="B9" s="7" t="s">
        <v>6</v>
      </c>
      <c r="C9" s="31">
        <f>0.49*$L$2</f>
        <v>49000</v>
      </c>
      <c r="D9" s="31">
        <f t="shared" ref="D5:D9" si="0">0.73*$L$2</f>
        <v>73000</v>
      </c>
      <c r="E9" s="31">
        <f>0.77*$L$2</f>
        <v>77000</v>
      </c>
      <c r="F9" s="31">
        <f>0.875*$L$2</f>
        <v>87500</v>
      </c>
      <c r="G9" s="350">
        <f>0.89*$L$2</f>
        <v>89000</v>
      </c>
    </row>
    <row r="10" spans="1:15" x14ac:dyDescent="0.2">
      <c r="B10" s="7" t="s">
        <v>7</v>
      </c>
      <c r="C10" s="31">
        <f>0.53*$L$2</f>
        <v>53000</v>
      </c>
      <c r="D10" s="31">
        <f>0.77*$L$2</f>
        <v>77000</v>
      </c>
      <c r="E10" s="31">
        <f>0.79*$L$2</f>
        <v>79000</v>
      </c>
      <c r="F10" s="31">
        <f>0.88*$L$2</f>
        <v>88000</v>
      </c>
      <c r="G10" s="350">
        <f>0.92*$L$2</f>
        <v>92000</v>
      </c>
    </row>
    <row r="11" spans="1:15" x14ac:dyDescent="0.2">
      <c r="B11" s="7" t="s">
        <v>8</v>
      </c>
      <c r="C11" s="31">
        <f>0.565*$L$2</f>
        <v>56499.999999999993</v>
      </c>
      <c r="D11" s="31">
        <f>0.79*$L$2</f>
        <v>79000</v>
      </c>
      <c r="E11" s="31">
        <f>0.81*$L$2</f>
        <v>81000</v>
      </c>
      <c r="F11" s="31">
        <f>0.92*$L$2</f>
        <v>92000</v>
      </c>
      <c r="G11" s="350">
        <f>0.96*$L$2</f>
        <v>96000</v>
      </c>
    </row>
    <row r="12" spans="1:15" x14ac:dyDescent="0.2">
      <c r="B12" s="7" t="s">
        <v>9</v>
      </c>
      <c r="C12" s="31">
        <f>0.62*$L$2</f>
        <v>62000</v>
      </c>
      <c r="D12" s="31">
        <f>0.81*$L$2</f>
        <v>81000</v>
      </c>
      <c r="E12" s="31">
        <f>0.83*$L$2</f>
        <v>83000</v>
      </c>
      <c r="F12" s="31">
        <f>0.9*$L$2</f>
        <v>90000</v>
      </c>
      <c r="G12" s="350">
        <f>0.93*$L$2</f>
        <v>93000</v>
      </c>
    </row>
    <row r="13" spans="1:15" x14ac:dyDescent="0.2">
      <c r="B13" s="7" t="s">
        <v>10</v>
      </c>
      <c r="C13" s="31">
        <f>0.67*$L$2</f>
        <v>67000</v>
      </c>
      <c r="D13" s="31">
        <f>0.84*$L$2</f>
        <v>84000</v>
      </c>
      <c r="E13" s="31">
        <f>0.85*$L$2</f>
        <v>85000</v>
      </c>
      <c r="F13" s="31">
        <f>0.88*$L$2</f>
        <v>88000</v>
      </c>
      <c r="G13" s="350">
        <f>0.92*$L$2</f>
        <v>92000</v>
      </c>
    </row>
    <row r="14" spans="1:15" x14ac:dyDescent="0.2">
      <c r="B14" s="7" t="s">
        <v>11</v>
      </c>
      <c r="C14" s="31">
        <f>0.71*$L$2</f>
        <v>71000</v>
      </c>
      <c r="D14" s="31">
        <f>0.83*$L$2</f>
        <v>83000</v>
      </c>
      <c r="E14" s="31">
        <f>0.85*$L$2</f>
        <v>85000</v>
      </c>
      <c r="F14" s="31">
        <f>0.87*$L$2</f>
        <v>87000</v>
      </c>
      <c r="G14" s="350">
        <f>0.96*$L$2</f>
        <v>96000</v>
      </c>
    </row>
    <row r="15" spans="1:15" x14ac:dyDescent="0.2">
      <c r="B15" s="7" t="s">
        <v>12</v>
      </c>
      <c r="C15" s="31">
        <f>0.72*$L$2</f>
        <v>72000</v>
      </c>
      <c r="D15" s="31">
        <f>0.82*$L$2</f>
        <v>82000</v>
      </c>
      <c r="E15" s="31">
        <f>0.87*$L$2</f>
        <v>87000</v>
      </c>
      <c r="F15" s="31">
        <f>0.93*$L$2</f>
        <v>93000</v>
      </c>
      <c r="G15" s="350">
        <f>0.99*$L$2</f>
        <v>99000</v>
      </c>
    </row>
    <row r="16" spans="1:15" x14ac:dyDescent="0.2">
      <c r="B16" s="4" t="s">
        <v>13</v>
      </c>
      <c r="C16" s="9">
        <f>SUM(C4:C15)</f>
        <v>598500</v>
      </c>
      <c r="D16" s="9">
        <f>SUM(D4:D15)</f>
        <v>920000</v>
      </c>
      <c r="E16" s="9">
        <f>SUM(E4:E15)</f>
        <v>952000</v>
      </c>
      <c r="F16" s="9">
        <f>SUM(F4:F15)</f>
        <v>1061000</v>
      </c>
      <c r="G16" s="10">
        <f>SUM(G4:G15)</f>
        <v>1113000</v>
      </c>
      <c r="H16" s="60"/>
    </row>
    <row r="17" spans="1:17" x14ac:dyDescent="0.2">
      <c r="B17" s="45"/>
      <c r="C17" s="8"/>
      <c r="D17" s="8"/>
      <c r="E17" s="8"/>
      <c r="F17" s="8"/>
      <c r="G17" s="8"/>
    </row>
    <row r="18" spans="1:17" x14ac:dyDescent="0.2">
      <c r="A18" s="21" t="s">
        <v>57</v>
      </c>
      <c r="B18" s="45"/>
      <c r="C18" s="46"/>
      <c r="D18" s="8"/>
      <c r="E18" s="8"/>
      <c r="F18" s="8"/>
      <c r="G18" s="8"/>
    </row>
    <row r="19" spans="1:17" ht="8.25" customHeight="1" x14ac:dyDescent="0.2"/>
    <row r="20" spans="1:17" s="14" customFormat="1" ht="61.5" customHeight="1" x14ac:dyDescent="0.3">
      <c r="A20" s="11" t="s">
        <v>14</v>
      </c>
      <c r="B20" s="11" t="s">
        <v>15</v>
      </c>
      <c r="C20" s="38" t="s">
        <v>55</v>
      </c>
      <c r="D20" s="37" t="s">
        <v>48</v>
      </c>
      <c r="E20" s="11" t="s">
        <v>49</v>
      </c>
      <c r="F20" s="50" t="s">
        <v>50</v>
      </c>
      <c r="G20" s="50" t="s">
        <v>51</v>
      </c>
      <c r="H20" s="51" t="s">
        <v>16</v>
      </c>
      <c r="I20" s="12"/>
      <c r="J20" s="11" t="s">
        <v>52</v>
      </c>
      <c r="K20" s="11" t="s">
        <v>53</v>
      </c>
      <c r="L20" s="11" t="s">
        <v>17</v>
      </c>
      <c r="M20" s="11" t="s">
        <v>18</v>
      </c>
      <c r="N20" s="11" t="s">
        <v>19</v>
      </c>
      <c r="O20" s="11" t="s">
        <v>20</v>
      </c>
      <c r="P20" s="11" t="s">
        <v>21</v>
      </c>
      <c r="Q20" s="13" t="s">
        <v>22</v>
      </c>
    </row>
    <row r="21" spans="1:17" x14ac:dyDescent="0.2">
      <c r="A21" s="15" t="s">
        <v>58</v>
      </c>
      <c r="B21" s="15" t="s">
        <v>1</v>
      </c>
      <c r="C21" s="39">
        <v>1</v>
      </c>
      <c r="D21" s="8">
        <f>C4</f>
        <v>10000</v>
      </c>
      <c r="E21" s="16"/>
      <c r="F21" s="16">
        <f>$T$52+C21*$T$53</f>
        <v>65919.716780432253</v>
      </c>
      <c r="G21" s="17">
        <f>D21/F21</f>
        <v>0.15169968089074712</v>
      </c>
      <c r="H21" s="18">
        <f>($T$52+C21*$T$53)*$T$58</f>
        <v>40210.582482740851</v>
      </c>
      <c r="I21" s="19"/>
      <c r="J21" s="18">
        <f>H21-D21</f>
        <v>30210.582482740851</v>
      </c>
      <c r="K21" s="18">
        <f>ABS(J21)</f>
        <v>30210.582482740851</v>
      </c>
      <c r="L21" s="18">
        <f>SUM($J$21:J21)</f>
        <v>30210.582482740851</v>
      </c>
      <c r="M21" s="18">
        <f>SUMSQ($J$21:J21)/C21</f>
        <v>912679293.94648838</v>
      </c>
      <c r="N21" s="18">
        <f>SUM($K$21:K21)/C21</f>
        <v>30210.582482740851</v>
      </c>
      <c r="O21" s="18">
        <f>K21/D21*100</f>
        <v>302.10582482740847</v>
      </c>
      <c r="P21" s="18">
        <f>AVERAGE($O$21:O21)</f>
        <v>302.10582482740847</v>
      </c>
      <c r="Q21" s="20">
        <f>SUM($J$21:J21)/N21</f>
        <v>1</v>
      </c>
    </row>
    <row r="22" spans="1:17" x14ac:dyDescent="0.2">
      <c r="A22" s="15"/>
      <c r="B22" s="15" t="s">
        <v>2</v>
      </c>
      <c r="C22" s="39">
        <v>2</v>
      </c>
      <c r="D22" s="8">
        <f t="shared" ref="D22:D32" si="1">C5</f>
        <v>32000</v>
      </c>
      <c r="E22" s="16"/>
      <c r="F22" s="16">
        <f>$T$52+C22*$T$53</f>
        <v>84073.698506601926</v>
      </c>
      <c r="G22" s="17">
        <f t="shared" ref="G22:G80" si="2">D22/F22</f>
        <v>0.38061844034953674</v>
      </c>
      <c r="H22" s="18">
        <f>($T$52+C22*$T$53)*$T$59</f>
        <v>50913.073676567372</v>
      </c>
      <c r="I22" s="19"/>
      <c r="J22" s="18">
        <f t="shared" ref="J22:J80" si="3">H22-D22</f>
        <v>18913.073676567372</v>
      </c>
      <c r="K22" s="18">
        <f t="shared" ref="K22:K80" si="4">ABS(J22)</f>
        <v>18913.073676567372</v>
      </c>
      <c r="L22" s="18">
        <f>SUM($J$21:J22)</f>
        <v>49123.656159308222</v>
      </c>
      <c r="M22" s="18">
        <f>SUMSQ($J$21:J22)/C22</f>
        <v>635191824.92087698</v>
      </c>
      <c r="N22" s="18">
        <f>SUM($K$21:K22)/C22</f>
        <v>24561.828079654111</v>
      </c>
      <c r="O22" s="18">
        <f t="shared" ref="O22:O80" si="5">K22/D22*100</f>
        <v>59.103355239273036</v>
      </c>
      <c r="P22" s="18">
        <f>AVERAGE($O$21:O22)</f>
        <v>180.60459003334074</v>
      </c>
      <c r="Q22" s="20">
        <f>SUM($J$21:J22)/N22</f>
        <v>2</v>
      </c>
    </row>
    <row r="23" spans="1:17" x14ac:dyDescent="0.2">
      <c r="A23" s="15"/>
      <c r="B23" s="15" t="s">
        <v>3</v>
      </c>
      <c r="C23" s="39">
        <v>3</v>
      </c>
      <c r="D23" s="8">
        <f t="shared" si="1"/>
        <v>39000</v>
      </c>
      <c r="E23" s="16"/>
      <c r="F23" s="16">
        <f t="shared" ref="F23:F80" si="6">$T$52+C23*$T$53</f>
        <v>102227.6802327716</v>
      </c>
      <c r="G23" s="17">
        <f t="shared" si="2"/>
        <v>0.38150136940598983</v>
      </c>
      <c r="H23" s="18">
        <f>($T$52+C23*$T$53)*$T$60</f>
        <v>62453.311605598377</v>
      </c>
      <c r="I23" s="19"/>
      <c r="J23" s="18">
        <f t="shared" si="3"/>
        <v>23453.311605598377</v>
      </c>
      <c r="K23" s="18">
        <f t="shared" si="4"/>
        <v>23453.311605598377</v>
      </c>
      <c r="L23" s="18">
        <f>SUM($J$21:J23)</f>
        <v>72576.9677649066</v>
      </c>
      <c r="M23" s="18">
        <f>SUMSQ($J$21:J23)/C23</f>
        <v>606813825.03701651</v>
      </c>
      <c r="N23" s="18">
        <f>SUM($K$21:K23)/C23</f>
        <v>24192.322588302199</v>
      </c>
      <c r="O23" s="18">
        <f t="shared" si="5"/>
        <v>60.136696424611223</v>
      </c>
      <c r="P23" s="18">
        <f>AVERAGE($O$21:O23)</f>
        <v>140.44862549709757</v>
      </c>
      <c r="Q23" s="20">
        <f>SUM($J$21:J23)/N23</f>
        <v>3</v>
      </c>
    </row>
    <row r="24" spans="1:17" x14ac:dyDescent="0.2">
      <c r="A24" s="15"/>
      <c r="B24" s="15" t="s">
        <v>4</v>
      </c>
      <c r="C24" s="39">
        <v>4</v>
      </c>
      <c r="D24" s="8">
        <f t="shared" si="1"/>
        <v>42000</v>
      </c>
      <c r="E24" s="16">
        <f t="shared" ref="E24:E30" si="7">(D21+D27+2*SUM(D22:D26))/(2*6)</f>
        <v>39750</v>
      </c>
      <c r="F24" s="16">
        <f>$T$52+C24*$T$53</f>
        <v>120381.66195894127</v>
      </c>
      <c r="G24" s="17">
        <f t="shared" si="2"/>
        <v>0.34889034855096945</v>
      </c>
      <c r="H24" s="18">
        <f>($T$52+C24*$T$53)*$T$61</f>
        <v>74421.129729587774</v>
      </c>
      <c r="I24" s="19"/>
      <c r="J24" s="18">
        <f t="shared" si="3"/>
        <v>32421.129729587774</v>
      </c>
      <c r="K24" s="18">
        <f t="shared" si="4"/>
        <v>32421.129729587774</v>
      </c>
      <c r="L24" s="18">
        <f>SUM($J$21:J24)</f>
        <v>104998.09749449437</v>
      </c>
      <c r="M24" s="18">
        <f>SUMSQ($J$21:J24)/C24</f>
        <v>717892782.01345253</v>
      </c>
      <c r="N24" s="18">
        <f>SUM($K$21:K24)/C24</f>
        <v>26249.524373623593</v>
      </c>
      <c r="O24" s="18">
        <f t="shared" si="5"/>
        <v>77.193166022828024</v>
      </c>
      <c r="P24" s="18">
        <f>AVERAGE($O$21:O24)</f>
        <v>124.63476062853019</v>
      </c>
      <c r="Q24" s="20">
        <f>SUM($J$21:J24)/N24</f>
        <v>4</v>
      </c>
    </row>
    <row r="25" spans="1:17" x14ac:dyDescent="0.2">
      <c r="A25" s="15"/>
      <c r="B25" s="15" t="s">
        <v>5</v>
      </c>
      <c r="C25" s="39">
        <v>5</v>
      </c>
      <c r="D25" s="8">
        <f t="shared" si="1"/>
        <v>45000</v>
      </c>
      <c r="E25" s="16">
        <f>(D22+D28+2*SUM(D23:D27))/(2*6)</f>
        <v>45375</v>
      </c>
      <c r="F25" s="16">
        <f t="shared" si="6"/>
        <v>138535.64368511096</v>
      </c>
      <c r="G25" s="17">
        <f t="shared" si="2"/>
        <v>0.32482615161686618</v>
      </c>
      <c r="H25" s="18">
        <f>($T$52+C25*$T$53)*$T$62</f>
        <v>88230.186214151705</v>
      </c>
      <c r="I25" s="19"/>
      <c r="J25" s="18">
        <f t="shared" si="3"/>
        <v>43230.186214151705</v>
      </c>
      <c r="K25" s="18">
        <f t="shared" si="4"/>
        <v>43230.186214151705</v>
      </c>
      <c r="L25" s="18">
        <f>SUM($J$21:J25)</f>
        <v>148228.28370864608</v>
      </c>
      <c r="M25" s="18">
        <f>SUMSQ($J$21:J25)/C25</f>
        <v>948084025.63280845</v>
      </c>
      <c r="N25" s="18">
        <f>SUM($K$21:K25)/C25</f>
        <v>29645.656741729217</v>
      </c>
      <c r="O25" s="18">
        <f t="shared" si="5"/>
        <v>96.067080475892681</v>
      </c>
      <c r="P25" s="18">
        <f>AVERAGE($O$21:O25)</f>
        <v>118.92122459800268</v>
      </c>
      <c r="Q25" s="20">
        <f>SUM($J$21:J25)/N25</f>
        <v>5</v>
      </c>
    </row>
    <row r="26" spans="1:17" x14ac:dyDescent="0.2">
      <c r="A26" s="15"/>
      <c r="B26" s="15" t="s">
        <v>6</v>
      </c>
      <c r="C26" s="39">
        <v>6</v>
      </c>
      <c r="D26" s="8">
        <f t="shared" si="1"/>
        <v>49000</v>
      </c>
      <c r="E26" s="16">
        <f t="shared" si="7"/>
        <v>49333.333333333336</v>
      </c>
      <c r="F26" s="16">
        <f t="shared" si="6"/>
        <v>156689.62541128061</v>
      </c>
      <c r="G26" s="17">
        <f t="shared" si="2"/>
        <v>0.31272012981959896</v>
      </c>
      <c r="H26" s="18">
        <f>($T$52+C26*$T$53)*$T$63</f>
        <v>95324.560313820926</v>
      </c>
      <c r="I26" s="19"/>
      <c r="J26" s="18">
        <f t="shared" si="3"/>
        <v>46324.560313820926</v>
      </c>
      <c r="K26" s="18">
        <f t="shared" si="4"/>
        <v>46324.560313820926</v>
      </c>
      <c r="L26" s="18">
        <f>SUM($J$21:J26)</f>
        <v>194552.844022467</v>
      </c>
      <c r="M26" s="18">
        <f>SUMSQ($J$21:J26)/C26</f>
        <v>1147730836.0721457</v>
      </c>
      <c r="N26" s="18">
        <f>SUM($K$21:K26)/C26</f>
        <v>32425.474003744501</v>
      </c>
      <c r="O26" s="18">
        <f t="shared" si="5"/>
        <v>94.539919007797806</v>
      </c>
      <c r="P26" s="18">
        <f>AVERAGE($O$21:O26)</f>
        <v>114.85767366630188</v>
      </c>
      <c r="Q26" s="20">
        <f>SUM($J$21:J26)/N26</f>
        <v>6</v>
      </c>
    </row>
    <row r="27" spans="1:17" x14ac:dyDescent="0.2">
      <c r="A27" s="15"/>
      <c r="B27" s="15" t="s">
        <v>7</v>
      </c>
      <c r="C27" s="39">
        <v>7</v>
      </c>
      <c r="D27" s="8">
        <f t="shared" si="1"/>
        <v>53000</v>
      </c>
      <c r="E27" s="16">
        <f t="shared" si="7"/>
        <v>53333.333333333336</v>
      </c>
      <c r="F27" s="16">
        <f t="shared" si="6"/>
        <v>174843.60713745031</v>
      </c>
      <c r="G27" s="17">
        <f t="shared" si="2"/>
        <v>0.30312804035400021</v>
      </c>
      <c r="H27" s="18">
        <f>($T$52+C27*$T$53)*$T$64</f>
        <v>107888.41580991262</v>
      </c>
      <c r="I27" s="19"/>
      <c r="J27" s="18">
        <f t="shared" si="3"/>
        <v>54888.415809912622</v>
      </c>
      <c r="K27" s="18">
        <f t="shared" si="4"/>
        <v>54888.415809912622</v>
      </c>
      <c r="L27" s="18">
        <f>SUM($J$21:J27)</f>
        <v>249441.25983237964</v>
      </c>
      <c r="M27" s="18">
        <f>SUMSQ($J$21:J27)/C27</f>
        <v>1414160458.0792487</v>
      </c>
      <c r="N27" s="18">
        <f>SUM($K$21:K27)/C27</f>
        <v>35634.465690339952</v>
      </c>
      <c r="O27" s="18">
        <f t="shared" si="5"/>
        <v>103.56304869794835</v>
      </c>
      <c r="P27" s="18">
        <f>AVERAGE($O$21:O27)</f>
        <v>113.24415581367995</v>
      </c>
      <c r="Q27" s="20">
        <f>SUM($J$21:J27)/N27</f>
        <v>6.9999999999999991</v>
      </c>
    </row>
    <row r="28" spans="1:17" x14ac:dyDescent="0.2">
      <c r="A28" s="15"/>
      <c r="B28" s="15" t="s">
        <v>8</v>
      </c>
      <c r="C28" s="39">
        <v>8</v>
      </c>
      <c r="D28" s="8">
        <f t="shared" si="1"/>
        <v>56499.999999999993</v>
      </c>
      <c r="E28" s="16">
        <f t="shared" si="7"/>
        <v>57583.333333333336</v>
      </c>
      <c r="F28" s="16">
        <f t="shared" si="6"/>
        <v>192997.58886361995</v>
      </c>
      <c r="G28" s="17">
        <f t="shared" si="2"/>
        <v>0.29274977129338758</v>
      </c>
      <c r="H28" s="18">
        <f>($T$52+C28*$T$53)*$T$65</f>
        <v>118952.43697932377</v>
      </c>
      <c r="I28" s="19"/>
      <c r="J28" s="18">
        <f t="shared" si="3"/>
        <v>62452.436979323778</v>
      </c>
      <c r="K28" s="18">
        <f t="shared" si="4"/>
        <v>62452.436979323778</v>
      </c>
      <c r="L28" s="18">
        <f>SUM($J$21:J28)</f>
        <v>311893.69681170344</v>
      </c>
      <c r="M28" s="18">
        <f>SUMSQ($J$21:J28)/C28</f>
        <v>1724928761.4013937</v>
      </c>
      <c r="N28" s="18">
        <f>SUM($K$21:K28)/C28</f>
        <v>38986.71210146293</v>
      </c>
      <c r="O28" s="18">
        <f t="shared" si="5"/>
        <v>110.53528668906864</v>
      </c>
      <c r="P28" s="18">
        <f>AVERAGE($O$21:O28)</f>
        <v>112.90554717310354</v>
      </c>
      <c r="Q28" s="20">
        <f>SUM($J$21:J28)/N28</f>
        <v>8</v>
      </c>
    </row>
    <row r="29" spans="1:17" x14ac:dyDescent="0.2">
      <c r="A29" s="15"/>
      <c r="B29" s="15" t="s">
        <v>9</v>
      </c>
      <c r="C29" s="39">
        <v>9</v>
      </c>
      <c r="D29" s="8">
        <f t="shared" si="1"/>
        <v>62000</v>
      </c>
      <c r="E29" s="16">
        <f t="shared" si="7"/>
        <v>61666.666666666664</v>
      </c>
      <c r="F29" s="16">
        <f t="shared" si="6"/>
        <v>211151.57058978966</v>
      </c>
      <c r="G29" s="17">
        <f t="shared" si="2"/>
        <v>0.29362793668463505</v>
      </c>
      <c r="H29" s="18">
        <f>($T$52+C29*$T$53)*$T$66</f>
        <v>123895.39733058414</v>
      </c>
      <c r="I29" s="19"/>
      <c r="J29" s="18">
        <f t="shared" si="3"/>
        <v>61895.397330584135</v>
      </c>
      <c r="K29" s="18">
        <f t="shared" si="4"/>
        <v>61895.397330584135</v>
      </c>
      <c r="L29" s="18">
        <f>SUM($J$21:J29)</f>
        <v>373789.09414228756</v>
      </c>
      <c r="M29" s="18">
        <f>SUMSQ($J$21:J29)/C29</f>
        <v>1958941144.6580036</v>
      </c>
      <c r="N29" s="18">
        <f>SUM($K$21:K29)/C29</f>
        <v>41532.121571365285</v>
      </c>
      <c r="O29" s="18">
        <f t="shared" si="5"/>
        <v>99.831286017071193</v>
      </c>
      <c r="P29" s="18">
        <f>AVERAGE($O$21:O29)</f>
        <v>111.45285148909994</v>
      </c>
      <c r="Q29" s="20">
        <f>SUM($J$21:J29)/N29</f>
        <v>9</v>
      </c>
    </row>
    <row r="30" spans="1:17" x14ac:dyDescent="0.2">
      <c r="A30" s="15"/>
      <c r="B30" s="15" t="s">
        <v>10</v>
      </c>
      <c r="C30" s="39">
        <v>10</v>
      </c>
      <c r="D30" s="8">
        <f t="shared" si="1"/>
        <v>67000</v>
      </c>
      <c r="E30" s="16">
        <f t="shared" si="7"/>
        <v>65250</v>
      </c>
      <c r="F30" s="16">
        <f>$T$52+C30*$T$53</f>
        <v>229305.5523159593</v>
      </c>
      <c r="G30" s="17">
        <f t="shared" si="2"/>
        <v>0.29218655773184654</v>
      </c>
      <c r="H30" s="18">
        <f>($T$52+C30*$T$53)*$T$67</f>
        <v>130683.82212841892</v>
      </c>
      <c r="I30" s="19"/>
      <c r="J30" s="18">
        <f t="shared" si="3"/>
        <v>63683.82212841892</v>
      </c>
      <c r="K30" s="18">
        <f t="shared" si="4"/>
        <v>63683.82212841892</v>
      </c>
      <c r="L30" s="18">
        <f>SUM($J$21:J30)</f>
        <v>437472.91627070645</v>
      </c>
      <c r="M30" s="18">
        <f>SUMSQ($J$21:J30)/C30</f>
        <v>2168609950.2806129</v>
      </c>
      <c r="N30" s="18">
        <f>SUM($K$21:K30)/C30</f>
        <v>43747.291627070648</v>
      </c>
      <c r="O30" s="18">
        <f t="shared" si="5"/>
        <v>95.050480788684951</v>
      </c>
      <c r="P30" s="18">
        <f>AVERAGE($O$21:O30)</f>
        <v>109.81261441905845</v>
      </c>
      <c r="Q30" s="20">
        <f>SUM($J$21:J30)/N30</f>
        <v>10</v>
      </c>
    </row>
    <row r="31" spans="1:17" x14ac:dyDescent="0.2">
      <c r="A31" s="15"/>
      <c r="B31" s="15" t="s">
        <v>11</v>
      </c>
      <c r="C31" s="39">
        <v>11</v>
      </c>
      <c r="D31" s="8">
        <f t="shared" si="1"/>
        <v>71000</v>
      </c>
      <c r="E31" s="16">
        <f>(D28+D34+2*SUM(D29:D33))/(2*6)</f>
        <v>68208.333333333328</v>
      </c>
      <c r="F31" s="16">
        <f t="shared" si="6"/>
        <v>247459.534042129</v>
      </c>
      <c r="G31" s="17">
        <f t="shared" si="2"/>
        <v>0.28691559723018201</v>
      </c>
      <c r="H31" s="18">
        <f>($T$52+C31*$T$53)*$T$68</f>
        <v>135073.17964001579</v>
      </c>
      <c r="I31" s="19"/>
      <c r="J31" s="18">
        <f t="shared" si="3"/>
        <v>64073.179640015791</v>
      </c>
      <c r="K31" s="18">
        <f t="shared" si="4"/>
        <v>64073.179640015791</v>
      </c>
      <c r="L31" s="18">
        <f>SUM($J$21:J31)</f>
        <v>501546.09591072227</v>
      </c>
      <c r="M31" s="18">
        <f>SUMSQ($J$21:J31)/C31</f>
        <v>2344679259.2716236</v>
      </c>
      <c r="N31" s="18">
        <f>SUM($K$21:K31)/C31</f>
        <v>45595.099628247481</v>
      </c>
      <c r="O31" s="18">
        <f t="shared" si="5"/>
        <v>90.243914985937735</v>
      </c>
      <c r="P31" s="18">
        <f>AVERAGE($O$21:O31)</f>
        <v>108.03364174332019</v>
      </c>
      <c r="Q31" s="20">
        <f>SUM($J$21:J31)/N31</f>
        <v>11</v>
      </c>
    </row>
    <row r="32" spans="1:17" x14ac:dyDescent="0.2">
      <c r="A32" s="15"/>
      <c r="B32" s="15" t="s">
        <v>12</v>
      </c>
      <c r="C32" s="39">
        <v>12</v>
      </c>
      <c r="D32" s="8">
        <f t="shared" si="1"/>
        <v>72000</v>
      </c>
      <c r="E32" s="16">
        <f t="shared" ref="E32:E38" si="8">(D29+D35+2*SUM(D30:D34))/(2*6)</f>
        <v>70416.666666666672</v>
      </c>
      <c r="F32" s="16">
        <f t="shared" si="6"/>
        <v>265613.51576829865</v>
      </c>
      <c r="G32" s="17">
        <f t="shared" si="2"/>
        <v>0.27107054319783713</v>
      </c>
      <c r="H32" s="18">
        <f>($T$52+C32*$T$53)*$T$69</f>
        <v>144368.17931778653</v>
      </c>
      <c r="I32" s="19"/>
      <c r="J32" s="18">
        <f t="shared" si="3"/>
        <v>72368.179317786533</v>
      </c>
      <c r="K32" s="18">
        <f t="shared" si="4"/>
        <v>72368.179317786533</v>
      </c>
      <c r="L32" s="18">
        <f>SUM($J$21:J32)</f>
        <v>573914.27522850875</v>
      </c>
      <c r="M32" s="18">
        <f>SUMSQ($J$21:J32)/C32</f>
        <v>2585718769.1465974</v>
      </c>
      <c r="N32" s="18">
        <f>SUM($K$21:K32)/C32</f>
        <v>47826.189602375729</v>
      </c>
      <c r="O32" s="18">
        <f t="shared" si="5"/>
        <v>100.51136016359241</v>
      </c>
      <c r="P32" s="18">
        <f>AVERAGE($O$21:O32)</f>
        <v>107.40678494500953</v>
      </c>
      <c r="Q32" s="20">
        <f>SUM($J$21:J32)/N32</f>
        <v>12</v>
      </c>
    </row>
    <row r="33" spans="1:24" x14ac:dyDescent="0.2">
      <c r="A33" s="15" t="s">
        <v>59</v>
      </c>
      <c r="B33" s="15" t="s">
        <v>1</v>
      </c>
      <c r="C33" s="39">
        <v>13</v>
      </c>
      <c r="D33" s="112">
        <f>D4</f>
        <v>73000</v>
      </c>
      <c r="E33" s="16">
        <f t="shared" si="8"/>
        <v>71750</v>
      </c>
      <c r="F33" s="16">
        <f t="shared" si="6"/>
        <v>283767.49749446835</v>
      </c>
      <c r="G33" s="17">
        <f>D33/F33</f>
        <v>0.25725285892343269</v>
      </c>
      <c r="H33" s="18">
        <f>($T$52+C33*$T$53)*$T$58</f>
        <v>173096.2589224804</v>
      </c>
      <c r="I33" s="19"/>
      <c r="J33" s="18">
        <f t="shared" si="3"/>
        <v>100096.2589224804</v>
      </c>
      <c r="K33" s="18">
        <f t="shared" si="4"/>
        <v>100096.2589224804</v>
      </c>
      <c r="L33" s="18">
        <f>SUM($J$21:J33)</f>
        <v>674010.53415098914</v>
      </c>
      <c r="M33" s="18">
        <f>SUMSQ($J$21:J33)/C33</f>
        <v>3157529713.848877</v>
      </c>
      <c r="N33" s="18">
        <f>SUM($K$21:K33)/C33</f>
        <v>51846.964165460704</v>
      </c>
      <c r="O33" s="18">
        <f t="shared" si="5"/>
        <v>137.11816290750741</v>
      </c>
      <c r="P33" s="18">
        <f>AVERAGE($O$21:O33)</f>
        <v>109.69227555750938</v>
      </c>
      <c r="Q33" s="20">
        <f>SUM($J$21:J33)/N33</f>
        <v>13</v>
      </c>
    </row>
    <row r="34" spans="1:24" x14ac:dyDescent="0.2">
      <c r="A34" s="15"/>
      <c r="B34" s="15" t="s">
        <v>2</v>
      </c>
      <c r="C34" s="39">
        <v>14</v>
      </c>
      <c r="D34" s="112">
        <f t="shared" ref="D34:D44" si="9">D5</f>
        <v>72000</v>
      </c>
      <c r="E34" s="16">
        <f t="shared" si="8"/>
        <v>72166.666666666672</v>
      </c>
      <c r="F34" s="16">
        <f t="shared" si="6"/>
        <v>301921.47922063799</v>
      </c>
      <c r="G34" s="17">
        <f t="shared" si="2"/>
        <v>0.23847259951778352</v>
      </c>
      <c r="H34" s="18">
        <f>($T$52+C34*$T$53)*$T$59</f>
        <v>182836.61583998799</v>
      </c>
      <c r="I34" s="19"/>
      <c r="J34" s="18">
        <f t="shared" si="3"/>
        <v>110836.61583998799</v>
      </c>
      <c r="K34" s="18">
        <f t="shared" si="4"/>
        <v>110836.61583998799</v>
      </c>
      <c r="L34" s="18">
        <f>SUM($J$21:J34)</f>
        <v>784847.14999097714</v>
      </c>
      <c r="M34" s="18">
        <f>SUMSQ($J$21:J34)/C34</f>
        <v>3809474406.4926057</v>
      </c>
      <c r="N34" s="18">
        <f>SUM($K$21:K34)/C34</f>
        <v>56060.510713641226</v>
      </c>
      <c r="O34" s="18">
        <f t="shared" si="5"/>
        <v>153.93974422220555</v>
      </c>
      <c r="P34" s="18">
        <f>AVERAGE($O$21:O34)</f>
        <v>112.8528090335591</v>
      </c>
      <c r="Q34" s="20">
        <f>SUM($J$21:J34)/N34</f>
        <v>14</v>
      </c>
    </row>
    <row r="35" spans="1:24" x14ac:dyDescent="0.2">
      <c r="A35" s="15"/>
      <c r="B35" s="15" t="s">
        <v>3</v>
      </c>
      <c r="C35" s="39">
        <v>15</v>
      </c>
      <c r="D35" s="112">
        <f t="shared" si="9"/>
        <v>73000</v>
      </c>
      <c r="E35" s="16">
        <f t="shared" si="8"/>
        <v>72250</v>
      </c>
      <c r="F35" s="16">
        <f t="shared" si="6"/>
        <v>320075.46094680764</v>
      </c>
      <c r="G35" s="17">
        <f t="shared" si="2"/>
        <v>0.2280712172812637</v>
      </c>
      <c r="H35" s="18">
        <f>($T$52+C35*$T$53)*$T$60</f>
        <v>195541.68161010757</v>
      </c>
      <c r="I35" s="19"/>
      <c r="J35" s="18">
        <f t="shared" si="3"/>
        <v>122541.68161010757</v>
      </c>
      <c r="K35" s="18">
        <f t="shared" si="4"/>
        <v>122541.68161010757</v>
      </c>
      <c r="L35" s="18">
        <f>SUM($J$21:J35)</f>
        <v>907388.83160108468</v>
      </c>
      <c r="M35" s="18">
        <f>SUMSQ($J$21:J35)/C35</f>
        <v>4556607028.1819639</v>
      </c>
      <c r="N35" s="18">
        <f>SUM($K$21:K35)/C35</f>
        <v>60492.588773405645</v>
      </c>
      <c r="O35" s="18">
        <f t="shared" si="5"/>
        <v>167.86531727411995</v>
      </c>
      <c r="P35" s="18">
        <f>AVERAGE($O$21:O35)</f>
        <v>116.52030958292981</v>
      </c>
      <c r="Q35" s="20">
        <f>SUM($J$21:J35)/N35</f>
        <v>15</v>
      </c>
    </row>
    <row r="36" spans="1:24" x14ac:dyDescent="0.2">
      <c r="A36" s="15"/>
      <c r="B36" s="15" t="s">
        <v>4</v>
      </c>
      <c r="C36" s="39">
        <v>16</v>
      </c>
      <c r="D36" s="112">
        <f t="shared" si="9"/>
        <v>72000</v>
      </c>
      <c r="E36" s="16">
        <f t="shared" si="8"/>
        <v>72666.666666666672</v>
      </c>
      <c r="F36" s="16">
        <f t="shared" si="6"/>
        <v>338229.44267297734</v>
      </c>
      <c r="G36" s="17">
        <f t="shared" si="2"/>
        <v>0.21287324790826792</v>
      </c>
      <c r="H36" s="18">
        <f>($T$52+C36*$T$53)*$T$61</f>
        <v>209096.77455788129</v>
      </c>
      <c r="I36" s="19"/>
      <c r="J36" s="18">
        <f t="shared" si="3"/>
        <v>137096.77455788129</v>
      </c>
      <c r="K36" s="18">
        <f t="shared" si="4"/>
        <v>137096.77455788129</v>
      </c>
      <c r="L36" s="18">
        <f>SUM($J$21:J36)</f>
        <v>1044485.606158966</v>
      </c>
      <c r="M36" s="18">
        <f>SUMSQ($J$21:J36)/C36</f>
        <v>5446539438.5564985</v>
      </c>
      <c r="N36" s="18">
        <f>SUM($K$21:K36)/C36</f>
        <v>65280.350384935373</v>
      </c>
      <c r="O36" s="18">
        <f t="shared" si="5"/>
        <v>190.41218688594623</v>
      </c>
      <c r="P36" s="18">
        <f>AVERAGE($O$21:O36)</f>
        <v>121.13855191436835</v>
      </c>
      <c r="Q36" s="20">
        <f>SUM($J$21:J36)/N36</f>
        <v>16</v>
      </c>
    </row>
    <row r="37" spans="1:24" ht="13.5" thickBot="1" x14ac:dyDescent="0.25">
      <c r="A37" s="15"/>
      <c r="B37" s="15" t="s">
        <v>5</v>
      </c>
      <c r="C37" s="39">
        <v>17</v>
      </c>
      <c r="D37" s="112">
        <f t="shared" si="9"/>
        <v>71000</v>
      </c>
      <c r="E37" s="16">
        <f t="shared" si="8"/>
        <v>73583.333333333328</v>
      </c>
      <c r="F37" s="16">
        <f t="shared" si="6"/>
        <v>356383.42439914704</v>
      </c>
      <c r="G37" s="17">
        <f t="shared" si="2"/>
        <v>0.19922363145733871</v>
      </c>
      <c r="H37" s="18">
        <f>($T$52+C37*$T$53)*$T$62</f>
        <v>226972.46038604289</v>
      </c>
      <c r="I37" s="19"/>
      <c r="J37" s="18">
        <f t="shared" si="3"/>
        <v>155972.46038604289</v>
      </c>
      <c r="K37" s="18">
        <f t="shared" si="4"/>
        <v>155972.46038604289</v>
      </c>
      <c r="L37" s="18">
        <f>SUM($J$21:J37)</f>
        <v>1200458.0665450089</v>
      </c>
      <c r="M37" s="18">
        <f>SUMSQ($J$21:J37)/C37</f>
        <v>6557178789.1635113</v>
      </c>
      <c r="N37" s="18">
        <f>SUM($K$21:K37)/C37</f>
        <v>70615.180385000524</v>
      </c>
      <c r="O37" s="18">
        <f t="shared" si="5"/>
        <v>219.67952167048296</v>
      </c>
      <c r="P37" s="18">
        <f>AVERAGE($O$21:O37)</f>
        <v>126.93507954708099</v>
      </c>
      <c r="Q37" s="20">
        <f>SUM($J$21:J37)/N37</f>
        <v>17</v>
      </c>
    </row>
    <row r="38" spans="1:24" x14ac:dyDescent="0.2">
      <c r="A38" s="15"/>
      <c r="B38" s="15" t="s">
        <v>6</v>
      </c>
      <c r="C38" s="39">
        <v>18</v>
      </c>
      <c r="D38" s="112">
        <f t="shared" si="9"/>
        <v>73000</v>
      </c>
      <c r="E38" s="16">
        <f t="shared" si="8"/>
        <v>74833.333333333328</v>
      </c>
      <c r="F38" s="16">
        <f t="shared" si="6"/>
        <v>374537.40612531669</v>
      </c>
      <c r="G38" s="17">
        <f t="shared" si="2"/>
        <v>0.19490710088266827</v>
      </c>
      <c r="H38" s="18">
        <f>($T$52+C38*$T$53)*$T$63</f>
        <v>227855.63157906715</v>
      </c>
      <c r="I38" s="19"/>
      <c r="J38" s="18">
        <f t="shared" si="3"/>
        <v>154855.63157906715</v>
      </c>
      <c r="K38" s="18">
        <f t="shared" si="4"/>
        <v>154855.63157906715</v>
      </c>
      <c r="L38" s="18">
        <f>SUM($J$21:J38)</f>
        <v>1355313.698124076</v>
      </c>
      <c r="M38" s="18">
        <f>SUMSQ($J$21:J38)/C38</f>
        <v>7525128113.7517481</v>
      </c>
      <c r="N38" s="18">
        <f>SUM($K$21:K38)/C38</f>
        <v>75295.205451337562</v>
      </c>
      <c r="O38" s="18">
        <f t="shared" si="5"/>
        <v>212.13100216310568</v>
      </c>
      <c r="P38" s="18">
        <f>AVERAGE($O$21:O38)</f>
        <v>131.66818635908237</v>
      </c>
      <c r="Q38" s="20">
        <f>SUM($J$21:J38)/N38</f>
        <v>18</v>
      </c>
      <c r="S38" s="303" t="s">
        <v>651</v>
      </c>
      <c r="T38" s="303"/>
    </row>
    <row r="39" spans="1:24" x14ac:dyDescent="0.2">
      <c r="A39" s="15"/>
      <c r="B39" s="15" t="s">
        <v>7</v>
      </c>
      <c r="C39" s="39">
        <v>19</v>
      </c>
      <c r="D39" s="112">
        <f t="shared" si="9"/>
        <v>77000</v>
      </c>
      <c r="E39" s="16">
        <f t="shared" ref="E39:E74" si="10">(D33+D45+2*SUM(D34:D44))/(2*12)</f>
        <v>76916.666666666672</v>
      </c>
      <c r="F39" s="16">
        <f t="shared" si="6"/>
        <v>392691.38785148633</v>
      </c>
      <c r="G39" s="17">
        <f t="shared" si="2"/>
        <v>0.19608273158544787</v>
      </c>
      <c r="H39" s="18">
        <f>($T$52+C39*$T$53)*$T$64</f>
        <v>242312.8442104655</v>
      </c>
      <c r="I39" s="19"/>
      <c r="J39" s="18">
        <f t="shared" si="3"/>
        <v>165312.8442104655</v>
      </c>
      <c r="K39" s="18">
        <f t="shared" si="4"/>
        <v>165312.8442104655</v>
      </c>
      <c r="L39" s="18">
        <f>SUM($J$21:J39)</f>
        <v>1520626.5423345414</v>
      </c>
      <c r="M39" s="18">
        <f>SUMSQ($J$21:J39)/C39</f>
        <v>8567402237.2886896</v>
      </c>
      <c r="N39" s="18">
        <f>SUM($K$21:K39)/C39</f>
        <v>80032.975912344293</v>
      </c>
      <c r="O39" s="18">
        <f t="shared" si="5"/>
        <v>214.69200546813704</v>
      </c>
      <c r="P39" s="18">
        <f>AVERAGE($O$21:O39)</f>
        <v>136.03786104903261</v>
      </c>
      <c r="Q39" s="20">
        <f>SUM($J$21:J39)/N39</f>
        <v>19</v>
      </c>
      <c r="S39" s="52" t="s">
        <v>652</v>
      </c>
      <c r="T39" s="52">
        <v>0.98936815761433405</v>
      </c>
    </row>
    <row r="40" spans="1:24" x14ac:dyDescent="0.2">
      <c r="A40" s="15"/>
      <c r="B40" s="15" t="s">
        <v>8</v>
      </c>
      <c r="C40" s="39">
        <v>20</v>
      </c>
      <c r="D40" s="112">
        <f t="shared" si="9"/>
        <v>79000</v>
      </c>
      <c r="E40" s="16">
        <f t="shared" si="10"/>
        <v>77333.333333333328</v>
      </c>
      <c r="F40" s="16">
        <f>$T$52+C40*$T$53</f>
        <v>410845.36957765603</v>
      </c>
      <c r="G40" s="17">
        <f t="shared" si="2"/>
        <v>0.19228645580504175</v>
      </c>
      <c r="H40" s="18">
        <f>($T$52+C40*$T$53)*$T$65</f>
        <v>253221.08022534632</v>
      </c>
      <c r="I40" s="19"/>
      <c r="J40" s="18">
        <f t="shared" si="3"/>
        <v>174221.08022534632</v>
      </c>
      <c r="K40" s="18">
        <f t="shared" si="4"/>
        <v>174221.08022534632</v>
      </c>
      <c r="L40" s="18">
        <f>SUM($J$21:J40)</f>
        <v>1694847.6225598878</v>
      </c>
      <c r="M40" s="18">
        <f>SUMSQ($J$21:J40)/C40</f>
        <v>9656681365.1685829</v>
      </c>
      <c r="N40" s="18">
        <f>SUM($K$21:K40)/C40</f>
        <v>84742.381127994391</v>
      </c>
      <c r="O40" s="18">
        <f t="shared" si="5"/>
        <v>220.53301294347634</v>
      </c>
      <c r="P40" s="18">
        <f>AVERAGE($O$21:O40)</f>
        <v>140.26261864375482</v>
      </c>
      <c r="Q40" s="20">
        <f>SUM($J$21:J40)/N40</f>
        <v>20</v>
      </c>
      <c r="S40" s="52" t="s">
        <v>653</v>
      </c>
      <c r="T40" s="52">
        <v>0.97884935130118178</v>
      </c>
    </row>
    <row r="41" spans="1:24" x14ac:dyDescent="0.2">
      <c r="A41" s="15"/>
      <c r="B41" s="15" t="s">
        <v>9</v>
      </c>
      <c r="C41" s="39">
        <v>21</v>
      </c>
      <c r="D41" s="112">
        <f t="shared" si="9"/>
        <v>81000</v>
      </c>
      <c r="E41" s="16">
        <f t="shared" si="10"/>
        <v>77500</v>
      </c>
      <c r="F41" s="16">
        <f t="shared" si="6"/>
        <v>428999.35130382574</v>
      </c>
      <c r="G41" s="17">
        <f t="shared" si="2"/>
        <v>0.18881147431534043</v>
      </c>
      <c r="H41" s="18">
        <f>($T$52+C41*$T$53)*$T$66</f>
        <v>251719.86614112585</v>
      </c>
      <c r="I41" s="19"/>
      <c r="J41" s="18">
        <f t="shared" si="3"/>
        <v>170719.86614112585</v>
      </c>
      <c r="K41" s="18">
        <f t="shared" si="4"/>
        <v>170719.86614112585</v>
      </c>
      <c r="L41" s="18">
        <f>SUM($J$21:J41)</f>
        <v>1865567.4887010136</v>
      </c>
      <c r="M41" s="18">
        <f>SUMSQ($J$21:J41)/C41</f>
        <v>10584709523.743601</v>
      </c>
      <c r="N41" s="18">
        <f>SUM($K$21:K41)/C41</f>
        <v>88836.547081000652</v>
      </c>
      <c r="O41" s="18">
        <f t="shared" si="5"/>
        <v>210.76526684089609</v>
      </c>
      <c r="P41" s="18">
        <f>AVERAGE($O$21:O41)</f>
        <v>143.61988760552345</v>
      </c>
      <c r="Q41" s="20">
        <f>SUM($J$21:J41)/N41</f>
        <v>21</v>
      </c>
      <c r="S41" s="52" t="s">
        <v>654</v>
      </c>
      <c r="T41" s="52">
        <v>0.97356168912647734</v>
      </c>
    </row>
    <row r="42" spans="1:24" x14ac:dyDescent="0.2">
      <c r="A42" s="15"/>
      <c r="B42" s="15" t="s">
        <v>10</v>
      </c>
      <c r="C42" s="39">
        <v>22</v>
      </c>
      <c r="D42" s="112">
        <f t="shared" si="9"/>
        <v>84000</v>
      </c>
      <c r="E42" s="16">
        <f t="shared" si="10"/>
        <v>77500</v>
      </c>
      <c r="F42" s="16">
        <f t="shared" si="6"/>
        <v>447153.33302999538</v>
      </c>
      <c r="G42" s="17">
        <f t="shared" si="2"/>
        <v>0.18785502375840551</v>
      </c>
      <c r="H42" s="18">
        <f>($T$52+C42*$T$53)*$T$67</f>
        <v>254837.7309124344</v>
      </c>
      <c r="I42" s="19"/>
      <c r="J42" s="18">
        <f t="shared" si="3"/>
        <v>170837.7309124344</v>
      </c>
      <c r="K42" s="18">
        <f t="shared" si="4"/>
        <v>170837.7309124344</v>
      </c>
      <c r="L42" s="18">
        <f>SUM($J$21:J42)</f>
        <v>2036405.219613448</v>
      </c>
      <c r="M42" s="18">
        <f>SUMSQ($J$21:J42)/C42</f>
        <v>11430201377.360226</v>
      </c>
      <c r="N42" s="18">
        <f>SUM($K$21:K42)/C42</f>
        <v>92563.873618793092</v>
      </c>
      <c r="O42" s="18">
        <f t="shared" si="5"/>
        <v>203.37825108623142</v>
      </c>
      <c r="P42" s="18">
        <f>AVERAGE($O$21:O42)</f>
        <v>146.33617685464654</v>
      </c>
      <c r="Q42" s="20">
        <f>SUM($J$21:J42)/N42</f>
        <v>22</v>
      </c>
      <c r="S42" s="52" t="s">
        <v>655</v>
      </c>
      <c r="T42" s="52">
        <v>5581.6787831205456</v>
      </c>
    </row>
    <row r="43" spans="1:24" ht="13.5" thickBot="1" x14ac:dyDescent="0.25">
      <c r="A43" s="15"/>
      <c r="B43" s="15" t="s">
        <v>11</v>
      </c>
      <c r="C43" s="39">
        <v>23</v>
      </c>
      <c r="D43" s="112">
        <f t="shared" si="9"/>
        <v>83000</v>
      </c>
      <c r="E43" s="16">
        <f t="shared" si="10"/>
        <v>77666.666666666672</v>
      </c>
      <c r="F43" s="16">
        <f t="shared" si="6"/>
        <v>465307.31475616503</v>
      </c>
      <c r="G43" s="17">
        <f t="shared" si="2"/>
        <v>0.17837673590730996</v>
      </c>
      <c r="H43" s="18">
        <f>($T$52+C43*$T$53)*$T$68</f>
        <v>253983.09568938572</v>
      </c>
      <c r="I43" s="19"/>
      <c r="J43" s="18">
        <f t="shared" si="3"/>
        <v>170983.09568938572</v>
      </c>
      <c r="K43" s="18">
        <f t="shared" si="4"/>
        <v>170983.09568938572</v>
      </c>
      <c r="L43" s="18">
        <f>SUM($J$21:J43)</f>
        <v>2207388.3153028339</v>
      </c>
      <c r="M43" s="18">
        <f>SUMSQ($J$21:J43)/C43</f>
        <v>12204332578.845676</v>
      </c>
      <c r="N43" s="18">
        <f>SUM($K$21:K43)/C43</f>
        <v>95973.405013166688</v>
      </c>
      <c r="O43" s="18">
        <f t="shared" si="5"/>
        <v>206.00372974624784</v>
      </c>
      <c r="P43" s="18">
        <f>AVERAGE($O$21:O43)</f>
        <v>148.93041828471615</v>
      </c>
      <c r="Q43" s="20">
        <f>SUM($J$21:J43)/N43</f>
        <v>23</v>
      </c>
      <c r="S43" s="53" t="s">
        <v>656</v>
      </c>
      <c r="T43" s="53">
        <v>6</v>
      </c>
    </row>
    <row r="44" spans="1:24" x14ac:dyDescent="0.2">
      <c r="A44" s="15"/>
      <c r="B44" s="15" t="s">
        <v>12</v>
      </c>
      <c r="C44" s="39">
        <v>24</v>
      </c>
      <c r="D44" s="112">
        <f t="shared" si="9"/>
        <v>82000</v>
      </c>
      <c r="E44" s="16">
        <f>(D38+D50+2*SUM(D39:D49))/(2*12)</f>
        <v>78000</v>
      </c>
      <c r="F44" s="16">
        <f t="shared" si="6"/>
        <v>483461.29648233473</v>
      </c>
      <c r="G44" s="17">
        <f t="shared" si="2"/>
        <v>0.16961026786762901</v>
      </c>
      <c r="H44" s="18">
        <f>($T$52+C44*$T$53)*$T$69</f>
        <v>262774.38082125474</v>
      </c>
      <c r="I44" s="19"/>
      <c r="J44" s="18">
        <f t="shared" si="3"/>
        <v>180774.38082125474</v>
      </c>
      <c r="K44" s="18">
        <f t="shared" si="4"/>
        <v>180774.38082125474</v>
      </c>
      <c r="L44" s="18">
        <f>SUM($J$21:J44)</f>
        <v>2388162.6961240885</v>
      </c>
      <c r="M44" s="18">
        <f>SUMSQ($J$21:J44)/C44</f>
        <v>13057459419.781609</v>
      </c>
      <c r="N44" s="18">
        <f>SUM($K$21:K44)/C44</f>
        <v>99506.779005170349</v>
      </c>
      <c r="O44" s="18">
        <f t="shared" si="5"/>
        <v>220.45656197713993</v>
      </c>
      <c r="P44" s="18">
        <f>AVERAGE($O$21:O44)</f>
        <v>151.91067427190046</v>
      </c>
      <c r="Q44" s="20">
        <f>SUM($J$21:J44)/N44</f>
        <v>24</v>
      </c>
    </row>
    <row r="45" spans="1:24" ht="13.5" thickBot="1" x14ac:dyDescent="0.25">
      <c r="A45" s="15" t="s">
        <v>60</v>
      </c>
      <c r="B45" s="15" t="s">
        <v>1</v>
      </c>
      <c r="C45" s="39">
        <v>25</v>
      </c>
      <c r="D45" s="112">
        <f>E4</f>
        <v>79000</v>
      </c>
      <c r="E45" s="16">
        <f t="shared" si="10"/>
        <v>78250</v>
      </c>
      <c r="F45" s="16">
        <f t="shared" si="6"/>
        <v>501615.27820850443</v>
      </c>
      <c r="G45" s="17">
        <f t="shared" si="2"/>
        <v>0.157491215742361</v>
      </c>
      <c r="H45" s="18">
        <f>($T$52+C45*$T$53)*$T$58</f>
        <v>305981.93536221993</v>
      </c>
      <c r="I45" s="19"/>
      <c r="J45" s="18">
        <f t="shared" si="3"/>
        <v>226981.93536221993</v>
      </c>
      <c r="K45" s="18">
        <f t="shared" si="4"/>
        <v>226981.93536221993</v>
      </c>
      <c r="L45" s="18">
        <f>SUM($J$21:J45)</f>
        <v>2615144.6314863083</v>
      </c>
      <c r="M45" s="18">
        <f>SUMSQ($J$21:J45)/C45</f>
        <v>14595993002.221504</v>
      </c>
      <c r="N45" s="18">
        <f>SUM($K$21:K45)/C45</f>
        <v>104605.78525945233</v>
      </c>
      <c r="O45" s="18">
        <f t="shared" si="5"/>
        <v>287.31890552179738</v>
      </c>
      <c r="P45" s="18">
        <f>AVERAGE($O$21:O45)</f>
        <v>157.32700352189633</v>
      </c>
      <c r="Q45" s="20">
        <f>SUM($J$21:J45)/N45</f>
        <v>25</v>
      </c>
      <c r="S45" t="s">
        <v>657</v>
      </c>
    </row>
    <row r="46" spans="1:24" x14ac:dyDescent="0.2">
      <c r="A46" s="15"/>
      <c r="B46" s="15" t="s">
        <v>2</v>
      </c>
      <c r="C46" s="39">
        <v>26</v>
      </c>
      <c r="D46" s="112">
        <f t="shared" ref="D46:D56" si="11">E5</f>
        <v>76000</v>
      </c>
      <c r="E46" s="16">
        <f t="shared" si="10"/>
        <v>78416.666666666672</v>
      </c>
      <c r="F46" s="16">
        <f t="shared" si="6"/>
        <v>519769.25993467408</v>
      </c>
      <c r="G46" s="17">
        <f t="shared" si="2"/>
        <v>0.1462187279208314</v>
      </c>
      <c r="H46" s="18">
        <f>($T$52+C46*$T$53)*$T$59</f>
        <v>314760.15800340858</v>
      </c>
      <c r="I46" s="19"/>
      <c r="J46" s="18">
        <f t="shared" si="3"/>
        <v>238760.15800340858</v>
      </c>
      <c r="K46" s="18">
        <f t="shared" si="4"/>
        <v>238760.15800340858</v>
      </c>
      <c r="L46" s="18">
        <f>SUM($J$21:J46)</f>
        <v>2853904.7894897168</v>
      </c>
      <c r="M46" s="18">
        <f>SUMSQ($J$21:J46)/C46</f>
        <v>16227163004.051931</v>
      </c>
      <c r="N46" s="18">
        <f>SUM($K$21:K46)/C46</f>
        <v>109765.56882652757</v>
      </c>
      <c r="O46" s="18">
        <f t="shared" si="5"/>
        <v>314.15810263606392</v>
      </c>
      <c r="P46" s="18">
        <f>AVERAGE($O$21:O46)</f>
        <v>163.35896887244124</v>
      </c>
      <c r="Q46" s="20">
        <f>SUM($J$21:J46)/N46</f>
        <v>26</v>
      </c>
      <c r="S46" s="302"/>
      <c r="T46" s="302" t="s">
        <v>661</v>
      </c>
      <c r="U46" s="302" t="s">
        <v>662</v>
      </c>
      <c r="V46" s="302" t="s">
        <v>663</v>
      </c>
      <c r="W46" s="302" t="s">
        <v>36</v>
      </c>
      <c r="X46" s="302" t="s">
        <v>664</v>
      </c>
    </row>
    <row r="47" spans="1:24" x14ac:dyDescent="0.2">
      <c r="A47" s="15"/>
      <c r="B47" s="15" t="s">
        <v>3</v>
      </c>
      <c r="C47" s="39">
        <v>27</v>
      </c>
      <c r="D47" s="112">
        <f t="shared" si="11"/>
        <v>73000</v>
      </c>
      <c r="E47" s="16">
        <f t="shared" si="10"/>
        <v>78583.333333333328</v>
      </c>
      <c r="F47" s="16">
        <f t="shared" si="6"/>
        <v>537923.24166084372</v>
      </c>
      <c r="G47" s="17">
        <f t="shared" si="2"/>
        <v>0.13570709414713469</v>
      </c>
      <c r="H47" s="18">
        <f>($T$52+C47*$T$53)*$T$60</f>
        <v>328630.05161461682</v>
      </c>
      <c r="I47" s="19"/>
      <c r="J47" s="18">
        <f t="shared" si="3"/>
        <v>255630.05161461682</v>
      </c>
      <c r="K47" s="18">
        <f t="shared" si="4"/>
        <v>255630.05161461682</v>
      </c>
      <c r="L47" s="18">
        <f>SUM($J$21:J47)</f>
        <v>3109534.8411043338</v>
      </c>
      <c r="M47" s="18">
        <f>SUMSQ($J$21:J47)/C47</f>
        <v>18046405977.549698</v>
      </c>
      <c r="N47" s="18">
        <f>SUM($K$21:K47)/C47</f>
        <v>115167.95707793829</v>
      </c>
      <c r="O47" s="18">
        <f t="shared" si="5"/>
        <v>350.17815289673536</v>
      </c>
      <c r="P47" s="18">
        <f>AVERAGE($O$21:O47)</f>
        <v>170.27819791037803</v>
      </c>
      <c r="Q47" s="20">
        <f>SUM($J$21:J47)/N47</f>
        <v>27</v>
      </c>
      <c r="S47" s="52" t="s">
        <v>658</v>
      </c>
      <c r="T47" s="52">
        <v>1</v>
      </c>
      <c r="U47" s="52">
        <v>5767423418.996789</v>
      </c>
      <c r="V47" s="52">
        <v>5767423418.996789</v>
      </c>
      <c r="W47" s="52">
        <v>185.11949496014802</v>
      </c>
      <c r="X47" s="52">
        <v>1.6895321791703292E-4</v>
      </c>
    </row>
    <row r="48" spans="1:24" x14ac:dyDescent="0.2">
      <c r="A48" s="15"/>
      <c r="B48" s="15" t="s">
        <v>4</v>
      </c>
      <c r="C48" s="39">
        <v>28</v>
      </c>
      <c r="D48" s="112">
        <f t="shared" si="11"/>
        <v>72000</v>
      </c>
      <c r="E48" s="16">
        <f t="shared" si="10"/>
        <v>78708.333333333328</v>
      </c>
      <c r="F48" s="16">
        <f t="shared" si="6"/>
        <v>556077.22338701342</v>
      </c>
      <c r="G48" s="17">
        <f t="shared" si="2"/>
        <v>0.12947841949262884</v>
      </c>
      <c r="H48" s="18">
        <f>($T$52+C48*$T$53)*$T$61</f>
        <v>343772.41938617482</v>
      </c>
      <c r="I48" s="19"/>
      <c r="J48" s="18">
        <f t="shared" si="3"/>
        <v>271772.41938617482</v>
      </c>
      <c r="K48" s="18">
        <f t="shared" si="4"/>
        <v>271772.41938617482</v>
      </c>
      <c r="L48" s="18">
        <f>SUM($J$21:J48)</f>
        <v>3381307.2604905088</v>
      </c>
      <c r="M48" s="18">
        <f>SUMSQ($J$21:J48)/C48</f>
        <v>20039757476.173454</v>
      </c>
      <c r="N48" s="18">
        <f>SUM($K$21:K48)/C48</f>
        <v>120760.97358894674</v>
      </c>
      <c r="O48" s="18">
        <f t="shared" si="5"/>
        <v>377.46169359190947</v>
      </c>
      <c r="P48" s="18">
        <f>AVERAGE($O$21:O48)</f>
        <v>177.67760847043272</v>
      </c>
      <c r="Q48" s="20">
        <f>SUM($J$21:J48)/N48</f>
        <v>28</v>
      </c>
      <c r="S48" s="52" t="s">
        <v>659</v>
      </c>
      <c r="T48" s="52">
        <v>4</v>
      </c>
      <c r="U48" s="52">
        <v>124620552.1517522</v>
      </c>
      <c r="V48" s="52">
        <v>31155138.037938051</v>
      </c>
      <c r="W48" s="52"/>
      <c r="X48" s="52"/>
    </row>
    <row r="49" spans="1:27" ht="13.5" thickBot="1" x14ac:dyDescent="0.25">
      <c r="A49" s="15"/>
      <c r="B49" s="15" t="s">
        <v>5</v>
      </c>
      <c r="C49" s="39">
        <v>29</v>
      </c>
      <c r="D49" s="112">
        <f t="shared" si="11"/>
        <v>75000</v>
      </c>
      <c r="E49" s="16">
        <f t="shared" si="10"/>
        <v>78833.333333333328</v>
      </c>
      <c r="F49" s="16">
        <f t="shared" si="6"/>
        <v>574231.20511318312</v>
      </c>
      <c r="G49" s="17">
        <f t="shared" si="2"/>
        <v>0.13060941190964573</v>
      </c>
      <c r="H49" s="18">
        <f>($T$52+C49*$T$53)*$T$62</f>
        <v>365714.73455793411</v>
      </c>
      <c r="I49" s="19"/>
      <c r="J49" s="18">
        <f t="shared" si="3"/>
        <v>290714.73455793411</v>
      </c>
      <c r="K49" s="18">
        <f t="shared" si="4"/>
        <v>290714.73455793411</v>
      </c>
      <c r="L49" s="18">
        <f>SUM($J$21:J49)</f>
        <v>3672021.9950484429</v>
      </c>
      <c r="M49" s="18">
        <f>SUMSQ($J$21:J49)/C49</f>
        <v>22263043662.825752</v>
      </c>
      <c r="N49" s="18">
        <f>SUM($K$21:K49)/C49</f>
        <v>126621.44810511872</v>
      </c>
      <c r="O49" s="18">
        <f t="shared" si="5"/>
        <v>387.61964607724548</v>
      </c>
      <c r="P49" s="18">
        <f>AVERAGE($O$21:O49)</f>
        <v>184.91698907756418</v>
      </c>
      <c r="Q49" s="20">
        <f>SUM($J$21:J49)/N49</f>
        <v>29</v>
      </c>
      <c r="S49" s="53" t="s">
        <v>13</v>
      </c>
      <c r="T49" s="53">
        <v>5</v>
      </c>
      <c r="U49" s="53">
        <v>5892043971.1485415</v>
      </c>
      <c r="V49" s="53"/>
      <c r="W49" s="53"/>
      <c r="X49" s="53"/>
    </row>
    <row r="50" spans="1:27" ht="13.5" thickBot="1" x14ac:dyDescent="0.25">
      <c r="A50" s="15"/>
      <c r="B50" s="15" t="s">
        <v>6</v>
      </c>
      <c r="C50" s="39">
        <v>30</v>
      </c>
      <c r="D50" s="112">
        <f t="shared" si="11"/>
        <v>77000</v>
      </c>
      <c r="E50" s="16">
        <f t="shared" si="10"/>
        <v>79125</v>
      </c>
      <c r="F50" s="16">
        <f t="shared" si="6"/>
        <v>592385.18683935271</v>
      </c>
      <c r="G50" s="17">
        <f t="shared" si="2"/>
        <v>0.1299829936849542</v>
      </c>
      <c r="H50" s="18">
        <f>($T$52+C50*$T$53)*$T$63</f>
        <v>360386.70284431335</v>
      </c>
      <c r="I50" s="19"/>
      <c r="J50" s="18">
        <f t="shared" si="3"/>
        <v>283386.70284431335</v>
      </c>
      <c r="K50" s="18">
        <f t="shared" si="4"/>
        <v>283386.70284431335</v>
      </c>
      <c r="L50" s="18">
        <f>SUM($J$21:J50)</f>
        <v>3955408.6978927562</v>
      </c>
      <c r="M50" s="18">
        <f>SUMSQ($J$21:J50)/C50</f>
        <v>24197876319.030598</v>
      </c>
      <c r="N50" s="18">
        <f>SUM($K$21:K50)/C50</f>
        <v>131846.95659642521</v>
      </c>
      <c r="O50" s="18">
        <f t="shared" si="5"/>
        <v>368.03467901858875</v>
      </c>
      <c r="P50" s="18">
        <f>AVERAGE($O$21:O50)</f>
        <v>191.02091207559835</v>
      </c>
      <c r="Q50" s="20">
        <f>SUM($J$21:J50)/N50</f>
        <v>30</v>
      </c>
    </row>
    <row r="51" spans="1:27" x14ac:dyDescent="0.2">
      <c r="A51" s="15"/>
      <c r="B51" s="15" t="s">
        <v>7</v>
      </c>
      <c r="C51" s="39">
        <v>31</v>
      </c>
      <c r="D51" s="112">
        <f t="shared" si="11"/>
        <v>79000</v>
      </c>
      <c r="E51" s="16">
        <f t="shared" si="10"/>
        <v>79833.333333333328</v>
      </c>
      <c r="F51" s="16">
        <f t="shared" si="6"/>
        <v>610539.16856552241</v>
      </c>
      <c r="G51" s="17">
        <f t="shared" si="2"/>
        <v>0.12939382773035274</v>
      </c>
      <c r="H51" s="18">
        <f>($T$52+C51*$T$53)*$T$64</f>
        <v>376737.27261101839</v>
      </c>
      <c r="I51" s="19"/>
      <c r="J51" s="18">
        <f t="shared" si="3"/>
        <v>297737.27261101839</v>
      </c>
      <c r="K51" s="18">
        <f t="shared" si="4"/>
        <v>297737.27261101839</v>
      </c>
      <c r="L51" s="18">
        <f>SUM($J$21:J51)</f>
        <v>4253145.9705037745</v>
      </c>
      <c r="M51" s="18">
        <f>SUMSQ($J$21:J51)/C51</f>
        <v>26276895905.573093</v>
      </c>
      <c r="N51" s="18">
        <f>SUM($K$21:K51)/C51</f>
        <v>137198.25711302497</v>
      </c>
      <c r="O51" s="18">
        <f t="shared" si="5"/>
        <v>376.88262355825111</v>
      </c>
      <c r="P51" s="18">
        <f>AVERAGE($O$21:O51)</f>
        <v>197.01645115568391</v>
      </c>
      <c r="Q51" s="20">
        <f>SUM($J$21:J51)/N51</f>
        <v>31.000000000000004</v>
      </c>
      <c r="S51" s="302"/>
      <c r="T51" s="302" t="s">
        <v>665</v>
      </c>
      <c r="U51" s="302" t="s">
        <v>655</v>
      </c>
      <c r="V51" s="302" t="s">
        <v>666</v>
      </c>
      <c r="W51" s="302" t="s">
        <v>667</v>
      </c>
      <c r="X51" s="302" t="s">
        <v>668</v>
      </c>
      <c r="Y51" s="302" t="s">
        <v>669</v>
      </c>
      <c r="Z51" s="302" t="s">
        <v>670</v>
      </c>
      <c r="AA51" s="302" t="s">
        <v>671</v>
      </c>
    </row>
    <row r="52" spans="1:27" x14ac:dyDescent="0.2">
      <c r="A52" s="15"/>
      <c r="B52" s="15" t="s">
        <v>8</v>
      </c>
      <c r="C52" s="39">
        <v>32</v>
      </c>
      <c r="D52" s="112">
        <f t="shared" si="11"/>
        <v>81000</v>
      </c>
      <c r="E52" s="16">
        <f t="shared" si="10"/>
        <v>80791.666666666672</v>
      </c>
      <c r="F52" s="16">
        <f t="shared" si="6"/>
        <v>628693.15029169212</v>
      </c>
      <c r="G52" s="17">
        <f t="shared" si="2"/>
        <v>0.12883868698492862</v>
      </c>
      <c r="H52" s="18">
        <f>($T$52+C52*$T$53)*$T$65</f>
        <v>387489.72347136884</v>
      </c>
      <c r="I52" s="19"/>
      <c r="J52" s="18">
        <f t="shared" si="3"/>
        <v>306489.72347136884</v>
      </c>
      <c r="K52" s="18">
        <f t="shared" si="4"/>
        <v>306489.72347136884</v>
      </c>
      <c r="L52" s="18">
        <f>SUM($J$21:J52)</f>
        <v>4559635.6939751431</v>
      </c>
      <c r="M52" s="18">
        <f>SUMSQ($J$21:J52)/C52</f>
        <v>28391241364.572563</v>
      </c>
      <c r="N52" s="18">
        <f>SUM($K$21:K52)/C52</f>
        <v>142488.61543672322</v>
      </c>
      <c r="O52" s="18">
        <f t="shared" si="5"/>
        <v>378.38237465601094</v>
      </c>
      <c r="P52" s="18">
        <f>AVERAGE($O$21:O52)</f>
        <v>202.68413626506913</v>
      </c>
      <c r="Q52" s="20">
        <f>SUM($J$21:J52)/N52</f>
        <v>32</v>
      </c>
      <c r="S52" s="52" t="s">
        <v>660</v>
      </c>
      <c r="T52" s="52">
        <v>47765.735054262579</v>
      </c>
      <c r="U52" s="52">
        <v>8967.1582844241293</v>
      </c>
      <c r="V52" s="52">
        <v>5.326741598531969</v>
      </c>
      <c r="W52" s="52">
        <v>5.9783573363793602E-3</v>
      </c>
      <c r="X52" s="52">
        <v>22868.912327939364</v>
      </c>
      <c r="Y52" s="52">
        <v>72662.55778058579</v>
      </c>
      <c r="Z52" s="52">
        <v>22868.912327939364</v>
      </c>
      <c r="AA52" s="52">
        <v>72662.55778058579</v>
      </c>
    </row>
    <row r="53" spans="1:27" ht="13.5" thickBot="1" x14ac:dyDescent="0.25">
      <c r="A53" s="15"/>
      <c r="B53" s="15" t="s">
        <v>9</v>
      </c>
      <c r="C53" s="39">
        <v>33</v>
      </c>
      <c r="D53" s="112">
        <f t="shared" si="11"/>
        <v>83000</v>
      </c>
      <c r="E53" s="16">
        <f t="shared" si="10"/>
        <v>81750</v>
      </c>
      <c r="F53" s="16">
        <f t="shared" si="6"/>
        <v>646847.13201786182</v>
      </c>
      <c r="G53" s="17">
        <f t="shared" si="2"/>
        <v>0.12831470666195682</v>
      </c>
      <c r="H53" s="18">
        <f>($T$52+C53*$T$53)*$T$66</f>
        <v>379544.33495166752</v>
      </c>
      <c r="I53" s="19"/>
      <c r="J53" s="18">
        <f t="shared" si="3"/>
        <v>296544.33495166752</v>
      </c>
      <c r="K53" s="18">
        <f t="shared" si="4"/>
        <v>296544.33495166752</v>
      </c>
      <c r="L53" s="18">
        <f>SUM($J$21:J53)</f>
        <v>4856180.0289268102</v>
      </c>
      <c r="M53" s="18">
        <f>SUMSQ($J$21:J53)/C53</f>
        <v>30195705038.12875</v>
      </c>
      <c r="N53" s="18">
        <f>SUM($K$21:K53)/C53</f>
        <v>147156.9705735397</v>
      </c>
      <c r="O53" s="18">
        <f t="shared" si="5"/>
        <v>357.28233126706931</v>
      </c>
      <c r="P53" s="18">
        <f>AVERAGE($O$21:O53)</f>
        <v>207.36893005300851</v>
      </c>
      <c r="Q53" s="20">
        <f>SUM($J$21:J53)/N53</f>
        <v>33</v>
      </c>
      <c r="S53" s="53" t="s">
        <v>672</v>
      </c>
      <c r="T53" s="53">
        <v>18153.981726169673</v>
      </c>
      <c r="U53" s="53">
        <v>1334.2764339400919</v>
      </c>
      <c r="V53" s="53">
        <v>13.605862521727468</v>
      </c>
      <c r="W53" s="53">
        <v>1.6895321791703276E-4</v>
      </c>
      <c r="X53" s="53">
        <v>14449.436452175938</v>
      </c>
      <c r="Y53" s="53">
        <v>21858.527000163409</v>
      </c>
      <c r="Z53" s="53">
        <v>14449.436452175938</v>
      </c>
      <c r="AA53" s="53">
        <v>21858.527000163409</v>
      </c>
    </row>
    <row r="54" spans="1:27" x14ac:dyDescent="0.2">
      <c r="A54" s="15"/>
      <c r="B54" s="15" t="s">
        <v>10</v>
      </c>
      <c r="C54" s="39">
        <v>34</v>
      </c>
      <c r="D54" s="112">
        <f t="shared" si="11"/>
        <v>85000</v>
      </c>
      <c r="E54" s="16">
        <f t="shared" si="10"/>
        <v>82833.333333333328</v>
      </c>
      <c r="F54" s="16">
        <f t="shared" si="6"/>
        <v>665001.11374403152</v>
      </c>
      <c r="G54" s="17">
        <f t="shared" si="2"/>
        <v>0.12781933479996804</v>
      </c>
      <c r="H54" s="18">
        <f>($T$52+C54*$T$53)*$T$67</f>
        <v>378991.63969644991</v>
      </c>
      <c r="I54" s="19"/>
      <c r="J54" s="18">
        <f t="shared" si="3"/>
        <v>293991.63969644991</v>
      </c>
      <c r="K54" s="18">
        <f t="shared" si="4"/>
        <v>293991.63969644991</v>
      </c>
      <c r="L54" s="18">
        <f>SUM($J$21:J54)</f>
        <v>5150171.6686232602</v>
      </c>
      <c r="M54" s="18">
        <f>SUMSQ($J$21:J54)/C54</f>
        <v>31849686778.519295</v>
      </c>
      <c r="N54" s="18">
        <f>SUM($K$21:K54)/C54</f>
        <v>151475.63731244882</v>
      </c>
      <c r="O54" s="18">
        <f t="shared" si="5"/>
        <v>345.87251728994107</v>
      </c>
      <c r="P54" s="18">
        <f>AVERAGE($O$21:O54)</f>
        <v>211.44256497174183</v>
      </c>
      <c r="Q54" s="20">
        <f>SUM($J$21:J54)/N54</f>
        <v>34</v>
      </c>
    </row>
    <row r="55" spans="1:27" x14ac:dyDescent="0.2">
      <c r="A55" s="15"/>
      <c r="B55" s="15" t="s">
        <v>11</v>
      </c>
      <c r="C55" s="39">
        <v>35</v>
      </c>
      <c r="D55" s="112">
        <f t="shared" si="11"/>
        <v>85000</v>
      </c>
      <c r="E55" s="16">
        <f t="shared" si="10"/>
        <v>83895.833333333328</v>
      </c>
      <c r="F55" s="16">
        <f t="shared" si="6"/>
        <v>683155.09547020111</v>
      </c>
      <c r="G55" s="17">
        <f t="shared" si="2"/>
        <v>0.12442269780846224</v>
      </c>
      <c r="H55" s="18">
        <f>($T$52+C55*$T$53)*$T$68</f>
        <v>372893.01173875568</v>
      </c>
      <c r="I55" s="19"/>
      <c r="J55" s="18">
        <f t="shared" si="3"/>
        <v>287893.01173875568</v>
      </c>
      <c r="K55" s="18">
        <f t="shared" si="4"/>
        <v>287893.01173875568</v>
      </c>
      <c r="L55" s="18">
        <f>SUM($J$21:J55)</f>
        <v>5438064.680362016</v>
      </c>
      <c r="M55" s="18">
        <f>SUMSQ($J$21:J55)/C55</f>
        <v>33307763905.076206</v>
      </c>
      <c r="N55" s="18">
        <f>SUM($K$21:K55)/C55</f>
        <v>155373.27658177188</v>
      </c>
      <c r="O55" s="18">
        <f t="shared" si="5"/>
        <v>338.69766086912432</v>
      </c>
      <c r="P55" s="18">
        <f>AVERAGE($O$21:O55)</f>
        <v>215.0784248545242</v>
      </c>
      <c r="Q55" s="20">
        <f>SUM($J$21:J55)/N55</f>
        <v>35</v>
      </c>
      <c r="S55" s="62" t="s">
        <v>85</v>
      </c>
      <c r="T55" t="s">
        <v>88</v>
      </c>
    </row>
    <row r="56" spans="1:27" x14ac:dyDescent="0.2">
      <c r="A56" s="15"/>
      <c r="B56" s="15" t="s">
        <v>12</v>
      </c>
      <c r="C56" s="39">
        <v>36</v>
      </c>
      <c r="D56" s="112">
        <f t="shared" si="11"/>
        <v>87000</v>
      </c>
      <c r="E56" s="16">
        <f t="shared" si="10"/>
        <v>84812.5</v>
      </c>
      <c r="F56" s="16">
        <f t="shared" si="6"/>
        <v>701309.07719637081</v>
      </c>
      <c r="G56" s="17">
        <f t="shared" si="2"/>
        <v>0.12405372014832694</v>
      </c>
      <c r="H56" s="18">
        <f>($T$52+C56*$T$53)*$T$69</f>
        <v>381180.5823247229</v>
      </c>
      <c r="I56" s="19"/>
      <c r="J56" s="18">
        <f t="shared" si="3"/>
        <v>294180.5823247229</v>
      </c>
      <c r="K56" s="18">
        <f t="shared" si="4"/>
        <v>294180.5823247229</v>
      </c>
      <c r="L56" s="18">
        <f>SUM($J$21:J56)</f>
        <v>5732245.2626867387</v>
      </c>
      <c r="M56" s="18">
        <f>SUMSQ($J$21:J56)/C56</f>
        <v>34786498658.182785</v>
      </c>
      <c r="N56" s="18">
        <f>SUM($K$21:K56)/C56</f>
        <v>159229.03507463163</v>
      </c>
      <c r="O56" s="18">
        <f t="shared" si="5"/>
        <v>338.13860037324474</v>
      </c>
      <c r="P56" s="18">
        <f>AVERAGE($O$21:O56)</f>
        <v>218.49676306337756</v>
      </c>
      <c r="Q56" s="20">
        <f>SUM($J$21:J56)/N56</f>
        <v>36</v>
      </c>
    </row>
    <row r="57" spans="1:27" x14ac:dyDescent="0.2">
      <c r="A57" s="15" t="s">
        <v>61</v>
      </c>
      <c r="B57" s="15" t="s">
        <v>1</v>
      </c>
      <c r="C57" s="39">
        <v>37</v>
      </c>
      <c r="D57" s="112">
        <f>F4</f>
        <v>91000</v>
      </c>
      <c r="E57" s="16">
        <f t="shared" si="10"/>
        <v>85625</v>
      </c>
      <c r="F57" s="16">
        <f t="shared" si="6"/>
        <v>719463.05892254051</v>
      </c>
      <c r="G57" s="17">
        <f t="shared" si="2"/>
        <v>0.1264832139349594</v>
      </c>
      <c r="H57" s="18">
        <f>($T$52+C57*$T$53)*$T$58</f>
        <v>438867.61180195952</v>
      </c>
      <c r="I57" s="19"/>
      <c r="J57" s="18">
        <f t="shared" si="3"/>
        <v>347867.61180195952</v>
      </c>
      <c r="K57" s="18">
        <f t="shared" si="4"/>
        <v>347867.61180195952</v>
      </c>
      <c r="L57" s="18">
        <f>SUM($J$21:J57)</f>
        <v>6080112.8744886983</v>
      </c>
      <c r="M57" s="18">
        <f>SUMSQ($J$21:J57)/C57</f>
        <v>37116914244.19944</v>
      </c>
      <c r="N57" s="18">
        <f>SUM($K$21:K57)/C57</f>
        <v>164327.37498618104</v>
      </c>
      <c r="O57" s="18">
        <f t="shared" si="5"/>
        <v>382.27210088127424</v>
      </c>
      <c r="P57" s="18">
        <f>AVERAGE($O$21:O57)</f>
        <v>222.92312354494234</v>
      </c>
      <c r="Q57" s="20">
        <f>SUM($J$21:J57)/N57</f>
        <v>37</v>
      </c>
      <c r="S57" s="48" t="s">
        <v>86</v>
      </c>
      <c r="T57" s="48" t="s">
        <v>89</v>
      </c>
    </row>
    <row r="58" spans="1:27" x14ac:dyDescent="0.2">
      <c r="A58" s="15"/>
      <c r="B58" s="15" t="s">
        <v>2</v>
      </c>
      <c r="C58" s="39">
        <v>38</v>
      </c>
      <c r="D58" s="112">
        <f t="shared" ref="D58:D68" si="12">F5</f>
        <v>87000</v>
      </c>
      <c r="E58" s="16">
        <f t="shared" si="10"/>
        <v>86458.333333333328</v>
      </c>
      <c r="F58" s="16">
        <f t="shared" si="6"/>
        <v>737617.0406487101</v>
      </c>
      <c r="G58" s="17">
        <f t="shared" si="2"/>
        <v>0.11794738354131074</v>
      </c>
      <c r="H58" s="18">
        <f>($T$52+C58*$T$53)*$T$59</f>
        <v>446683.70016682916</v>
      </c>
      <c r="I58" s="19"/>
      <c r="J58" s="18">
        <f t="shared" si="3"/>
        <v>359683.70016682916</v>
      </c>
      <c r="K58" s="18">
        <f t="shared" si="4"/>
        <v>359683.70016682916</v>
      </c>
      <c r="L58" s="18">
        <f>SUM($J$21:J58)</f>
        <v>6439796.5746555272</v>
      </c>
      <c r="M58" s="18">
        <f>SUMSQ($J$21:J58)/C58</f>
        <v>39544689242.133698</v>
      </c>
      <c r="N58" s="18">
        <f>SUM($K$21:K58)/C58</f>
        <v>169468.33091198755</v>
      </c>
      <c r="O58" s="18">
        <f t="shared" si="5"/>
        <v>413.42954042164274</v>
      </c>
      <c r="P58" s="18">
        <f>AVERAGE($O$21:O58)</f>
        <v>227.9364503048555</v>
      </c>
      <c r="Q58" s="20">
        <f>SUM($J$21:J58)/N58</f>
        <v>38</v>
      </c>
      <c r="S58" s="49" t="s">
        <v>1</v>
      </c>
      <c r="T58" s="64">
        <v>0.60999325310628527</v>
      </c>
    </row>
    <row r="59" spans="1:27" x14ac:dyDescent="0.2">
      <c r="A59" s="15"/>
      <c r="B59" s="15" t="s">
        <v>3</v>
      </c>
      <c r="C59" s="39">
        <v>39</v>
      </c>
      <c r="D59" s="112">
        <f t="shared" si="12"/>
        <v>85000</v>
      </c>
      <c r="E59" s="16">
        <f t="shared" si="10"/>
        <v>87208.333333333328</v>
      </c>
      <c r="F59" s="16">
        <f t="shared" si="6"/>
        <v>755771.0223748798</v>
      </c>
      <c r="G59" s="17">
        <f t="shared" si="2"/>
        <v>0.11246792677086533</v>
      </c>
      <c r="H59" s="18">
        <f>($T$52+C59*$T$53)*$T$60</f>
        <v>461718.42161912605</v>
      </c>
      <c r="I59" s="19"/>
      <c r="J59" s="18">
        <f t="shared" si="3"/>
        <v>376718.42161912605</v>
      </c>
      <c r="K59" s="18">
        <f t="shared" si="4"/>
        <v>376718.42161912605</v>
      </c>
      <c r="L59" s="18">
        <f>SUM($J$21:J59)</f>
        <v>6816514.9962746529</v>
      </c>
      <c r="M59" s="18">
        <f>SUMSQ($J$21:J59)/C59</f>
        <v>42169614368.930412</v>
      </c>
      <c r="N59" s="18">
        <f>SUM($K$21:K59)/C59</f>
        <v>174782.43580191417</v>
      </c>
      <c r="O59" s="18">
        <f t="shared" si="5"/>
        <v>443.19814308132476</v>
      </c>
      <c r="P59" s="18">
        <f>AVERAGE($O$21:O59)</f>
        <v>233.45598088886754</v>
      </c>
      <c r="Q59" s="20">
        <f>SUM($J$21:J59)/N59</f>
        <v>39</v>
      </c>
      <c r="S59" s="49" t="s">
        <v>2</v>
      </c>
      <c r="T59" s="64">
        <v>0.605576709255504</v>
      </c>
    </row>
    <row r="60" spans="1:27" x14ac:dyDescent="0.2">
      <c r="A60" s="15"/>
      <c r="B60" s="15" t="s">
        <v>4</v>
      </c>
      <c r="C60" s="39">
        <v>40</v>
      </c>
      <c r="D60" s="112">
        <f t="shared" si="12"/>
        <v>86000</v>
      </c>
      <c r="E60" s="16">
        <f t="shared" si="10"/>
        <v>87625</v>
      </c>
      <c r="F60" s="16">
        <f t="shared" si="6"/>
        <v>773925.0041010495</v>
      </c>
      <c r="G60" s="17">
        <f t="shared" si="2"/>
        <v>0.1111218781461817</v>
      </c>
      <c r="H60" s="18">
        <f>($T$52+C60*$T$53)*$T$61</f>
        <v>478448.06421446835</v>
      </c>
      <c r="I60" s="19"/>
      <c r="J60" s="18">
        <f t="shared" si="3"/>
        <v>392448.06421446835</v>
      </c>
      <c r="K60" s="18">
        <f t="shared" si="4"/>
        <v>392448.06421446835</v>
      </c>
      <c r="L60" s="18">
        <f>SUM($J$21:J60)</f>
        <v>7208963.0604891209</v>
      </c>
      <c r="M60" s="18">
        <f>SUMSQ($J$21:J60)/C60</f>
        <v>44965761087.349243</v>
      </c>
      <c r="N60" s="18">
        <f>SUM($K$21:K60)/C60</f>
        <v>180224.07651222803</v>
      </c>
      <c r="O60" s="18">
        <f t="shared" si="5"/>
        <v>456.33495838891668</v>
      </c>
      <c r="P60" s="18">
        <f>AVERAGE($O$21:O60)</f>
        <v>239.02795532636873</v>
      </c>
      <c r="Q60" s="20">
        <f>SUM($J$21:J60)/N60</f>
        <v>40</v>
      </c>
      <c r="S60" s="49" t="s">
        <v>3</v>
      </c>
      <c r="T60" s="64">
        <v>0.61092368978140454</v>
      </c>
    </row>
    <row r="61" spans="1:27" x14ac:dyDescent="0.2">
      <c r="A61" s="15"/>
      <c r="B61" s="15" t="s">
        <v>5</v>
      </c>
      <c r="C61" s="39">
        <v>41</v>
      </c>
      <c r="D61" s="112">
        <f t="shared" si="12"/>
        <v>86500</v>
      </c>
      <c r="E61" s="16">
        <f t="shared" si="10"/>
        <v>87833.333333333328</v>
      </c>
      <c r="F61" s="16">
        <f t="shared" si="6"/>
        <v>792078.98582721921</v>
      </c>
      <c r="G61" s="17">
        <f t="shared" si="2"/>
        <v>0.10920628062069147</v>
      </c>
      <c r="H61" s="18">
        <f>($T$52+C61*$T$53)*$T$62</f>
        <v>504457.00872982526</v>
      </c>
      <c r="I61" s="19"/>
      <c r="J61" s="18">
        <f t="shared" si="3"/>
        <v>417957.00872982526</v>
      </c>
      <c r="K61" s="18">
        <f t="shared" si="4"/>
        <v>417957.00872982526</v>
      </c>
      <c r="L61" s="18">
        <f>SUM($J$21:J61)</f>
        <v>7626920.0692189466</v>
      </c>
      <c r="M61" s="18">
        <f>SUMSQ($J$21:J61)/C61</f>
        <v>48129719625.374466</v>
      </c>
      <c r="N61" s="18">
        <f>SUM($K$21:K61)/C61</f>
        <v>186022.44071265723</v>
      </c>
      <c r="O61" s="18">
        <f t="shared" si="5"/>
        <v>483.18729332927779</v>
      </c>
      <c r="P61" s="18">
        <f>AVERAGE($O$21:O61)</f>
        <v>244.98306113131775</v>
      </c>
      <c r="Q61" s="20">
        <f>SUM($J$21:J61)/N61</f>
        <v>41</v>
      </c>
      <c r="S61" s="49" t="s">
        <v>4</v>
      </c>
      <c r="T61" s="64">
        <v>0.61820985454554267</v>
      </c>
    </row>
    <row r="62" spans="1:27" x14ac:dyDescent="0.2">
      <c r="A62" s="15"/>
      <c r="B62" s="15" t="s">
        <v>6</v>
      </c>
      <c r="C62" s="39">
        <v>42</v>
      </c>
      <c r="D62" s="112">
        <f t="shared" si="12"/>
        <v>87500</v>
      </c>
      <c r="E62" s="16">
        <f t="shared" si="10"/>
        <v>88166.666666666672</v>
      </c>
      <c r="F62" s="16">
        <f t="shared" si="6"/>
        <v>810232.96755338891</v>
      </c>
      <c r="G62" s="17">
        <f t="shared" si="2"/>
        <v>0.10799363084943138</v>
      </c>
      <c r="H62" s="18">
        <f>($T$52+C62*$T$53)*$T$63</f>
        <v>492917.77410955966</v>
      </c>
      <c r="I62" s="19"/>
      <c r="J62" s="18">
        <f t="shared" si="3"/>
        <v>405417.77410955966</v>
      </c>
      <c r="K62" s="18">
        <f t="shared" si="4"/>
        <v>405417.77410955966</v>
      </c>
      <c r="L62" s="18">
        <f>SUM($J$21:J62)</f>
        <v>8032337.8433285067</v>
      </c>
      <c r="M62" s="18">
        <f>SUMSQ($J$21:J62)/C62</f>
        <v>50897192290.578644</v>
      </c>
      <c r="N62" s="18">
        <f>SUM($K$21:K62)/C62</f>
        <v>191246.13912686921</v>
      </c>
      <c r="O62" s="18">
        <f t="shared" si="5"/>
        <v>463.3345989823539</v>
      </c>
      <c r="P62" s="18">
        <f>AVERAGE($O$21:O62)</f>
        <v>250.18190727062813</v>
      </c>
      <c r="Q62" s="20">
        <f>SUM($J$21:J62)/N62</f>
        <v>42</v>
      </c>
      <c r="S62" s="49" t="s">
        <v>5</v>
      </c>
      <c r="T62" s="64">
        <v>0.63687715209738616</v>
      </c>
    </row>
    <row r="63" spans="1:27" x14ac:dyDescent="0.2">
      <c r="A63" s="15"/>
      <c r="B63" s="15" t="s">
        <v>7</v>
      </c>
      <c r="C63" s="39">
        <v>43</v>
      </c>
      <c r="D63" s="112">
        <f t="shared" si="12"/>
        <v>88000</v>
      </c>
      <c r="E63" s="16">
        <f t="shared" si="10"/>
        <v>88583.333333333328</v>
      </c>
      <c r="F63" s="16">
        <f t="shared" si="6"/>
        <v>828386.9492795585</v>
      </c>
      <c r="G63" s="17">
        <f t="shared" si="2"/>
        <v>0.1062305485094048</v>
      </c>
      <c r="H63" s="18">
        <f>($T$52+C63*$T$53)*$T$64</f>
        <v>511161.70101157128</v>
      </c>
      <c r="I63" s="19"/>
      <c r="J63" s="18">
        <f t="shared" si="3"/>
        <v>423161.70101157128</v>
      </c>
      <c r="K63" s="18">
        <f t="shared" si="4"/>
        <v>423161.70101157128</v>
      </c>
      <c r="L63" s="18">
        <f>SUM($J$21:J63)</f>
        <v>8455499.5443400778</v>
      </c>
      <c r="M63" s="18">
        <f>SUMSQ($J$21:J63)/C63</f>
        <v>53877858172.263016</v>
      </c>
      <c r="N63" s="18">
        <f>SUM($K$21:K63)/C63</f>
        <v>196639.52428697856</v>
      </c>
      <c r="O63" s="18">
        <f t="shared" si="5"/>
        <v>480.86556933133096</v>
      </c>
      <c r="P63" s="18">
        <f>AVERAGE($O$21:O63)</f>
        <v>255.5466435976212</v>
      </c>
      <c r="Q63" s="20">
        <f>SUM($J$21:J63)/N63</f>
        <v>43</v>
      </c>
      <c r="S63" s="49" t="s">
        <v>6</v>
      </c>
      <c r="T63" s="64">
        <v>0.60836548727212791</v>
      </c>
    </row>
    <row r="64" spans="1:27" x14ac:dyDescent="0.2">
      <c r="A64" s="15"/>
      <c r="B64" s="15" t="s">
        <v>8</v>
      </c>
      <c r="C64" s="39">
        <v>44</v>
      </c>
      <c r="D64" s="112">
        <f t="shared" si="12"/>
        <v>92000</v>
      </c>
      <c r="E64" s="16">
        <f t="shared" si="10"/>
        <v>88916.666666666672</v>
      </c>
      <c r="F64" s="16">
        <f t="shared" si="6"/>
        <v>846540.9310057282</v>
      </c>
      <c r="G64" s="17">
        <f t="shared" si="2"/>
        <v>0.10867755666663385</v>
      </c>
      <c r="H64" s="18">
        <f>($T$52+C64*$T$53)*$T$65</f>
        <v>521758.36671739141</v>
      </c>
      <c r="I64" s="19"/>
      <c r="J64" s="18">
        <f t="shared" si="3"/>
        <v>429758.36671739141</v>
      </c>
      <c r="K64" s="18">
        <f t="shared" si="4"/>
        <v>429758.36671739141</v>
      </c>
      <c r="L64" s="18">
        <f>SUM($J$21:J64)</f>
        <v>8885257.9110574685</v>
      </c>
      <c r="M64" s="18">
        <f>SUMSQ($J$21:J64)/C64</f>
        <v>56850912617.520676</v>
      </c>
      <c r="N64" s="18">
        <f>SUM($K$21:K64)/C64</f>
        <v>201937.67979676064</v>
      </c>
      <c r="O64" s="18">
        <f t="shared" si="5"/>
        <v>467.12865947542542</v>
      </c>
      <c r="P64" s="18">
        <f>AVERAGE($O$21:O64)</f>
        <v>260.3553257766622</v>
      </c>
      <c r="Q64" s="20">
        <f>SUM($J$21:J64)/N64</f>
        <v>44</v>
      </c>
      <c r="S64" s="49" t="s">
        <v>7</v>
      </c>
      <c r="T64" s="64">
        <v>0.61705668040295003</v>
      </c>
    </row>
    <row r="65" spans="1:20" x14ac:dyDescent="0.2">
      <c r="A65" s="15"/>
      <c r="B65" s="15" t="s">
        <v>9</v>
      </c>
      <c r="C65" s="39">
        <v>45</v>
      </c>
      <c r="D65" s="112">
        <f t="shared" si="12"/>
        <v>90000</v>
      </c>
      <c r="E65" s="16">
        <f t="shared" si="10"/>
        <v>89291.666666666672</v>
      </c>
      <c r="F65" s="16">
        <f t="shared" si="6"/>
        <v>864694.9127318979</v>
      </c>
      <c r="G65" s="17">
        <f t="shared" si="2"/>
        <v>0.10408295304485601</v>
      </c>
      <c r="H65" s="18">
        <f>($T$52+C65*$T$53)*$T$66</f>
        <v>507368.80376220925</v>
      </c>
      <c r="I65" s="19"/>
      <c r="J65" s="18">
        <f t="shared" si="3"/>
        <v>417368.80376220925</v>
      </c>
      <c r="K65" s="18">
        <f t="shared" si="4"/>
        <v>417368.80376220925</v>
      </c>
      <c r="L65" s="18">
        <f>SUM($J$21:J65)</f>
        <v>9302626.7148196772</v>
      </c>
      <c r="M65" s="18">
        <f>SUMSQ($J$21:J65)/C65</f>
        <v>59458597189.440155</v>
      </c>
      <c r="N65" s="18">
        <f>SUM($K$21:K65)/C65</f>
        <v>206725.03810710393</v>
      </c>
      <c r="O65" s="18">
        <f t="shared" si="5"/>
        <v>463.7431152913436</v>
      </c>
      <c r="P65" s="18">
        <f>AVERAGE($O$21:O65)</f>
        <v>264.875054432544</v>
      </c>
      <c r="Q65" s="20">
        <f>SUM($J$21:J65)/N65</f>
        <v>45</v>
      </c>
      <c r="S65" s="49" t="s">
        <v>8</v>
      </c>
      <c r="T65" s="64">
        <v>0.61634157027412639</v>
      </c>
    </row>
    <row r="66" spans="1:20" x14ac:dyDescent="0.2">
      <c r="A66" s="15"/>
      <c r="B66" s="15" t="s">
        <v>10</v>
      </c>
      <c r="C66" s="39">
        <v>46</v>
      </c>
      <c r="D66" s="112">
        <f t="shared" si="12"/>
        <v>88000</v>
      </c>
      <c r="E66" s="16">
        <f t="shared" si="10"/>
        <v>89708.333333333328</v>
      </c>
      <c r="F66" s="16">
        <f t="shared" si="6"/>
        <v>882848.89445806749</v>
      </c>
      <c r="G66" s="17">
        <f t="shared" si="2"/>
        <v>9.967730667434134E-2</v>
      </c>
      <c r="H66" s="18">
        <f>($T$52+C66*$T$53)*$T$67</f>
        <v>503145.54848046537</v>
      </c>
      <c r="I66" s="19"/>
      <c r="J66" s="18">
        <f t="shared" si="3"/>
        <v>415145.54848046537</v>
      </c>
      <c r="K66" s="18">
        <f t="shared" si="4"/>
        <v>415145.54848046537</v>
      </c>
      <c r="L66" s="18">
        <f>SUM($J$21:J66)</f>
        <v>9717772.2633001432</v>
      </c>
      <c r="M66" s="18">
        <f>SUMSQ($J$21:J66)/C66</f>
        <v>61912667390.172905</v>
      </c>
      <c r="N66" s="18">
        <f>SUM($K$21:K66)/C66</f>
        <v>211255.91876739441</v>
      </c>
      <c r="O66" s="18">
        <f t="shared" si="5"/>
        <v>471.75630509143798</v>
      </c>
      <c r="P66" s="18">
        <f>AVERAGE($O$21:O66)</f>
        <v>269.37247292512865</v>
      </c>
      <c r="Q66" s="20">
        <f>SUM($J$21:J66)/N66</f>
        <v>46</v>
      </c>
      <c r="S66" s="49" t="s">
        <v>9</v>
      </c>
      <c r="T66" s="64">
        <v>0.58676048198229769</v>
      </c>
    </row>
    <row r="67" spans="1:20" x14ac:dyDescent="0.2">
      <c r="A67" s="15"/>
      <c r="B67" s="15" t="s">
        <v>11</v>
      </c>
      <c r="C67" s="39">
        <v>47</v>
      </c>
      <c r="D67" s="112">
        <f t="shared" si="12"/>
        <v>87000</v>
      </c>
      <c r="E67" s="16">
        <f t="shared" si="10"/>
        <v>90020.833333333328</v>
      </c>
      <c r="F67" s="16">
        <f t="shared" si="6"/>
        <v>901002.87618423719</v>
      </c>
      <c r="G67" s="17">
        <f t="shared" si="2"/>
        <v>9.6559070231214475E-2</v>
      </c>
      <c r="H67" s="18">
        <f>($T$52+C67*$T$53)*$T$68</f>
        <v>491802.92778812558</v>
      </c>
      <c r="I67" s="19"/>
      <c r="J67" s="18">
        <f t="shared" si="3"/>
        <v>404802.92778812558</v>
      </c>
      <c r="K67" s="18">
        <f t="shared" si="4"/>
        <v>404802.92778812558</v>
      </c>
      <c r="L67" s="18">
        <f>SUM($J$21:J67)</f>
        <v>10122575.191088269</v>
      </c>
      <c r="M67" s="18">
        <f>SUMSQ($J$21:J67)/C67</f>
        <v>64081874687.101959</v>
      </c>
      <c r="N67" s="18">
        <f>SUM($K$21:K67)/C67</f>
        <v>215373.9402359206</v>
      </c>
      <c r="O67" s="18">
        <f t="shared" si="5"/>
        <v>465.2907215955467</v>
      </c>
      <c r="P67" s="18">
        <f>AVERAGE($O$21:O67)</f>
        <v>273.540946301095</v>
      </c>
      <c r="Q67" s="20">
        <f>SUM($J$21:J67)/N67</f>
        <v>47</v>
      </c>
      <c r="S67" s="49" t="s">
        <v>10</v>
      </c>
      <c r="T67" s="64">
        <v>0.56991128565587523</v>
      </c>
    </row>
    <row r="68" spans="1:20" x14ac:dyDescent="0.2">
      <c r="A68" s="15"/>
      <c r="B68" s="15" t="s">
        <v>12</v>
      </c>
      <c r="C68" s="39">
        <v>48</v>
      </c>
      <c r="D68" s="112">
        <f t="shared" si="12"/>
        <v>93000</v>
      </c>
      <c r="E68" s="16">
        <f t="shared" si="10"/>
        <v>90187.5</v>
      </c>
      <c r="F68" s="16">
        <f t="shared" si="6"/>
        <v>919156.85791040689</v>
      </c>
      <c r="G68" s="17">
        <f t="shared" si="2"/>
        <v>0.10117968353238899</v>
      </c>
      <c r="H68" s="18">
        <f>($T$52+C68*$T$53)*$T$69</f>
        <v>499586.78382819111</v>
      </c>
      <c r="I68" s="19"/>
      <c r="J68" s="18">
        <f t="shared" si="3"/>
        <v>406586.78382819111</v>
      </c>
      <c r="K68" s="18">
        <f t="shared" si="4"/>
        <v>406586.78382819111</v>
      </c>
      <c r="L68" s="18">
        <f>SUM($J$21:J68)</f>
        <v>10529161.97491646</v>
      </c>
      <c r="M68" s="18">
        <f>SUMSQ($J$21:J68)/C68</f>
        <v>66190852564.115501</v>
      </c>
      <c r="N68" s="18">
        <f>SUM($K$21:K68)/C68</f>
        <v>219357.54114409292</v>
      </c>
      <c r="O68" s="18">
        <f t="shared" si="5"/>
        <v>437.19009013783989</v>
      </c>
      <c r="P68" s="18">
        <f>AVERAGE($O$21:O68)</f>
        <v>276.9503034643605</v>
      </c>
      <c r="Q68" s="20">
        <f>SUM($J$21:J68)/N68</f>
        <v>48</v>
      </c>
      <c r="S68" s="49" t="s">
        <v>11</v>
      </c>
      <c r="T68" s="64">
        <v>0.545839464875983</v>
      </c>
    </row>
    <row r="69" spans="1:20" x14ac:dyDescent="0.2">
      <c r="A69" s="15" t="s">
        <v>62</v>
      </c>
      <c r="B69" s="15" t="s">
        <v>1</v>
      </c>
      <c r="C69" s="39">
        <v>49</v>
      </c>
      <c r="D69" s="113">
        <f>G4</f>
        <v>95000</v>
      </c>
      <c r="E69" s="16">
        <f t="shared" si="10"/>
        <v>90416.666666666672</v>
      </c>
      <c r="F69" s="16">
        <f t="shared" si="6"/>
        <v>937310.83963657659</v>
      </c>
      <c r="G69" s="17">
        <f t="shared" si="2"/>
        <v>0.10135378359310807</v>
      </c>
      <c r="H69" s="18">
        <f>($T$52+C69*$T$53)*$T$58</f>
        <v>571753.28824169899</v>
      </c>
      <c r="I69" s="19"/>
      <c r="J69" s="18">
        <f t="shared" si="3"/>
        <v>476753.28824169899</v>
      </c>
      <c r="K69" s="18">
        <f t="shared" si="4"/>
        <v>476753.28824169899</v>
      </c>
      <c r="L69" s="18">
        <f>SUM($J$21:J69)</f>
        <v>11005915.263158159</v>
      </c>
      <c r="M69" s="18">
        <f>SUMSQ($J$21:J69)/C69</f>
        <v>69478665733.200333</v>
      </c>
      <c r="N69" s="18">
        <f>SUM($K$21:K69)/C69</f>
        <v>224610.51557465631</v>
      </c>
      <c r="O69" s="18">
        <f t="shared" si="5"/>
        <v>501.84556657020948</v>
      </c>
      <c r="P69" s="18">
        <f>AVERAGE($O$21:O69)</f>
        <v>281.54000271141865</v>
      </c>
      <c r="Q69" s="20">
        <f>SUM($J$21:J69)/N69</f>
        <v>49</v>
      </c>
      <c r="S69" s="49" t="s">
        <v>12</v>
      </c>
      <c r="T69" s="64">
        <v>0.54352723316882157</v>
      </c>
    </row>
    <row r="70" spans="1:20" x14ac:dyDescent="0.2">
      <c r="A70" s="15"/>
      <c r="B70" s="15" t="s">
        <v>2</v>
      </c>
      <c r="C70" s="39">
        <v>50</v>
      </c>
      <c r="D70" s="113">
        <f t="shared" ref="D70:D80" si="13">G5</f>
        <v>91000</v>
      </c>
      <c r="E70" s="16">
        <f t="shared" si="10"/>
        <v>90750</v>
      </c>
      <c r="F70" s="16">
        <f t="shared" si="6"/>
        <v>955464.8213627463</v>
      </c>
      <c r="G70" s="17">
        <f t="shared" si="2"/>
        <v>9.5241601747524163E-2</v>
      </c>
      <c r="H70" s="18">
        <f>($T$52+C70*$T$53)*$T$59</f>
        <v>578607.24233024986</v>
      </c>
      <c r="I70" s="19"/>
      <c r="J70" s="18">
        <f t="shared" si="3"/>
        <v>487607.24233024986</v>
      </c>
      <c r="K70" s="18">
        <f t="shared" si="4"/>
        <v>487607.24233024986</v>
      </c>
      <c r="L70" s="18">
        <f>SUM($J$21:J70)</f>
        <v>11493522.505488409</v>
      </c>
      <c r="M70" s="18">
        <f>SUMSQ($J$21:J70)/C70</f>
        <v>72844308873.994553</v>
      </c>
      <c r="N70" s="18">
        <f>SUM($K$21:K70)/C70</f>
        <v>229870.45010976816</v>
      </c>
      <c r="O70" s="18">
        <f t="shared" si="5"/>
        <v>535.83213442884596</v>
      </c>
      <c r="P70" s="18">
        <f>AVERAGE($O$21:O70)</f>
        <v>286.62584534576717</v>
      </c>
      <c r="Q70" s="20">
        <f>SUM($J$21:J70)/N70</f>
        <v>50</v>
      </c>
      <c r="S70" s="36" t="s">
        <v>87</v>
      </c>
      <c r="T70" s="63">
        <v>0.59744857186819189</v>
      </c>
    </row>
    <row r="71" spans="1:20" x14ac:dyDescent="0.2">
      <c r="A71" s="15"/>
      <c r="B71" s="15" t="s">
        <v>3</v>
      </c>
      <c r="C71" s="39">
        <v>51</v>
      </c>
      <c r="D71" s="113">
        <f t="shared" si="13"/>
        <v>90000</v>
      </c>
      <c r="E71" s="16">
        <f t="shared" si="10"/>
        <v>91041.666666666672</v>
      </c>
      <c r="F71" s="16">
        <f t="shared" si="6"/>
        <v>973618.80308891588</v>
      </c>
      <c r="G71" s="17">
        <f t="shared" si="2"/>
        <v>9.24386420172503E-2</v>
      </c>
      <c r="H71" s="18">
        <f>($T$52+C71*$T$53)*$T$60</f>
        <v>594806.79162363522</v>
      </c>
      <c r="I71" s="19"/>
      <c r="J71" s="18">
        <f t="shared" si="3"/>
        <v>504806.79162363522</v>
      </c>
      <c r="K71" s="18">
        <f t="shared" si="4"/>
        <v>504806.79162363522</v>
      </c>
      <c r="L71" s="18">
        <f>SUM($J$21:J71)</f>
        <v>11998329.297112044</v>
      </c>
      <c r="M71" s="18">
        <f>SUMSQ($J$21:J71)/C71</f>
        <v>76412653736.648544</v>
      </c>
      <c r="N71" s="18">
        <f>SUM($K$21:K71)/C71</f>
        <v>235261.35876690282</v>
      </c>
      <c r="O71" s="18">
        <f t="shared" si="5"/>
        <v>560.89643513737246</v>
      </c>
      <c r="P71" s="18">
        <f>AVERAGE($O$21:O71)</f>
        <v>292.00370004756337</v>
      </c>
      <c r="Q71" s="20">
        <f>SUM($J$21:J71)/N71</f>
        <v>51</v>
      </c>
    </row>
    <row r="72" spans="1:20" x14ac:dyDescent="0.2">
      <c r="A72" s="15"/>
      <c r="B72" s="15" t="s">
        <v>4</v>
      </c>
      <c r="C72" s="39">
        <v>52</v>
      </c>
      <c r="D72" s="113">
        <f t="shared" si="13"/>
        <v>91000</v>
      </c>
      <c r="E72" s="16">
        <f t="shared" si="10"/>
        <v>91333.333333333328</v>
      </c>
      <c r="F72" s="16">
        <f t="shared" si="6"/>
        <v>991772.78481508559</v>
      </c>
      <c r="G72" s="17">
        <f t="shared" si="2"/>
        <v>9.1754887201272423E-2</v>
      </c>
      <c r="H72" s="18">
        <f>($T$52+C72*$T$53)*$T$61</f>
        <v>613123.70904276182</v>
      </c>
      <c r="I72" s="19"/>
      <c r="J72" s="18">
        <f t="shared" si="3"/>
        <v>522123.70904276182</v>
      </c>
      <c r="K72" s="18">
        <f t="shared" si="4"/>
        <v>522123.70904276182</v>
      </c>
      <c r="L72" s="18">
        <f>SUM($J$21:J72)</f>
        <v>12520453.006154805</v>
      </c>
      <c r="M72" s="18">
        <f>SUMSQ($J$21:J72)/C72</f>
        <v>80185740540.647049</v>
      </c>
      <c r="N72" s="18">
        <f>SUM($K$21:K72)/C72</f>
        <v>240777.94242605395</v>
      </c>
      <c r="O72" s="18">
        <f t="shared" si="5"/>
        <v>573.76231762940859</v>
      </c>
      <c r="P72" s="18">
        <f>AVERAGE($O$21:O72)</f>
        <v>297.42213500106038</v>
      </c>
      <c r="Q72" s="20">
        <f>SUM($J$21:J72)/N72</f>
        <v>52</v>
      </c>
    </row>
    <row r="73" spans="1:20" x14ac:dyDescent="0.2">
      <c r="A73" s="15"/>
      <c r="B73" s="15" t="s">
        <v>5</v>
      </c>
      <c r="C73" s="39">
        <v>53</v>
      </c>
      <c r="D73" s="113">
        <f t="shared" si="13"/>
        <v>89000</v>
      </c>
      <c r="E73" s="16">
        <f t="shared" si="10"/>
        <v>91875</v>
      </c>
      <c r="F73" s="16">
        <f t="shared" si="6"/>
        <v>1009926.7665412553</v>
      </c>
      <c r="G73" s="17">
        <f t="shared" si="2"/>
        <v>8.8125201696359207E-2</v>
      </c>
      <c r="H73" s="18">
        <f>($T$52+C73*$T$53)*$T$62</f>
        <v>643199.28290171642</v>
      </c>
      <c r="I73" s="19"/>
      <c r="J73" s="18">
        <f t="shared" si="3"/>
        <v>554199.28290171642</v>
      </c>
      <c r="K73" s="18">
        <f t="shared" si="4"/>
        <v>554199.28290171642</v>
      </c>
      <c r="L73" s="18">
        <f>SUM($J$21:J73)</f>
        <v>13074652.289056521</v>
      </c>
      <c r="M73" s="18">
        <f>SUMSQ($J$21:J73)/C73</f>
        <v>84467836854.38533</v>
      </c>
      <c r="N73" s="18">
        <f>SUM($K$21:K73)/C73</f>
        <v>246691.55262370795</v>
      </c>
      <c r="O73" s="18">
        <f t="shared" si="5"/>
        <v>622.6958234850747</v>
      </c>
      <c r="P73" s="18">
        <f>AVERAGE($O$21:O73)</f>
        <v>303.55937440641918</v>
      </c>
      <c r="Q73" s="20">
        <f>SUM($J$21:J73)/N73</f>
        <v>53</v>
      </c>
    </row>
    <row r="74" spans="1:20" x14ac:dyDescent="0.2">
      <c r="A74" s="15"/>
      <c r="B74" s="15" t="s">
        <v>6</v>
      </c>
      <c r="C74" s="39">
        <v>54</v>
      </c>
      <c r="D74" s="113">
        <f t="shared" si="13"/>
        <v>89000</v>
      </c>
      <c r="E74" s="16">
        <f t="shared" si="10"/>
        <v>92500</v>
      </c>
      <c r="F74" s="16">
        <f t="shared" si="6"/>
        <v>1028080.7482674249</v>
      </c>
      <c r="G74" s="17">
        <f t="shared" si="2"/>
        <v>8.6569075580869917E-2</v>
      </c>
      <c r="H74" s="18">
        <f>($T$52+C74*$T$53)*$T$63</f>
        <v>625448.84537480585</v>
      </c>
      <c r="I74" s="19"/>
      <c r="J74" s="18">
        <f t="shared" si="3"/>
        <v>536448.84537480585</v>
      </c>
      <c r="K74" s="18">
        <f t="shared" si="4"/>
        <v>536448.84537480585</v>
      </c>
      <c r="L74" s="18">
        <f>SUM($J$21:J74)</f>
        <v>13611101.134431327</v>
      </c>
      <c r="M74" s="18">
        <f>SUMSQ($J$21:J74)/C74</f>
        <v>88232828092.340454</v>
      </c>
      <c r="N74" s="18">
        <f>SUM($K$21:K74)/C74</f>
        <v>252057.42841539494</v>
      </c>
      <c r="O74" s="18">
        <f t="shared" si="5"/>
        <v>602.7515116570853</v>
      </c>
      <c r="P74" s="18">
        <f>AVERAGE($O$21:O74)</f>
        <v>309.09996954069078</v>
      </c>
      <c r="Q74" s="20">
        <f>SUM($J$21:J74)/N74</f>
        <v>54</v>
      </c>
    </row>
    <row r="75" spans="1:20" x14ac:dyDescent="0.2">
      <c r="A75" s="15"/>
      <c r="B75" s="15" t="s">
        <v>7</v>
      </c>
      <c r="C75" s="39">
        <v>55</v>
      </c>
      <c r="D75" s="113">
        <f t="shared" si="13"/>
        <v>92000</v>
      </c>
      <c r="E75" s="16"/>
      <c r="F75" s="16">
        <f t="shared" si="6"/>
        <v>1046234.7299935946</v>
      </c>
      <c r="G75" s="17">
        <f t="shared" si="2"/>
        <v>8.7934377785913551E-2</v>
      </c>
      <c r="H75" s="18">
        <f>($T$52+C75*$T$53)*$T$64</f>
        <v>645586.12941212417</v>
      </c>
      <c r="I75" s="19"/>
      <c r="J75" s="18">
        <f t="shared" si="3"/>
        <v>553586.12941212417</v>
      </c>
      <c r="K75" s="18">
        <f t="shared" si="4"/>
        <v>553586.12941212417</v>
      </c>
      <c r="L75" s="18">
        <f>SUM($J$21:J75)</f>
        <v>14164687.263843451</v>
      </c>
      <c r="M75" s="18">
        <f>SUMSQ($J$21:J75)/C75</f>
        <v>92200551266.616028</v>
      </c>
      <c r="N75" s="18">
        <f>SUM($K$21:K75)/C75</f>
        <v>257539.76843351728</v>
      </c>
      <c r="O75" s="18">
        <f t="shared" si="5"/>
        <v>601.72405370883064</v>
      </c>
      <c r="P75" s="18">
        <f>AVERAGE($O$21:O75)</f>
        <v>314.42040743465697</v>
      </c>
      <c r="Q75" s="20">
        <f>SUM($J$21:J75)/N75</f>
        <v>55</v>
      </c>
    </row>
    <row r="76" spans="1:20" x14ac:dyDescent="0.2">
      <c r="A76" s="15"/>
      <c r="B76" s="15" t="s">
        <v>8</v>
      </c>
      <c r="C76" s="39">
        <v>56</v>
      </c>
      <c r="D76" s="113">
        <f t="shared" si="13"/>
        <v>96000</v>
      </c>
      <c r="E76" s="16"/>
      <c r="F76" s="16">
        <f t="shared" si="6"/>
        <v>1064388.7117197644</v>
      </c>
      <c r="G76" s="17">
        <f t="shared" si="2"/>
        <v>9.0192613791337528E-2</v>
      </c>
      <c r="H76" s="18">
        <f>($T$52+C76*$T$53)*$T$65</f>
        <v>656027.00996341405</v>
      </c>
      <c r="I76" s="19"/>
      <c r="J76" s="18">
        <f t="shared" si="3"/>
        <v>560027.00996341405</v>
      </c>
      <c r="K76" s="18">
        <f t="shared" si="4"/>
        <v>560027.00996341405</v>
      </c>
      <c r="L76" s="18">
        <f>SUM($J$21:J76)</f>
        <v>14724714.273806864</v>
      </c>
      <c r="M76" s="18">
        <f>SUMSQ($J$21:J76)/C76</f>
        <v>96154653063.436493</v>
      </c>
      <c r="N76" s="18">
        <f>SUM($K$21:K76)/C76</f>
        <v>262941.32631797972</v>
      </c>
      <c r="O76" s="18">
        <f t="shared" si="5"/>
        <v>583.36146871188964</v>
      </c>
      <c r="P76" s="18">
        <f>AVERAGE($O$21:O76)</f>
        <v>319.22292638603614</v>
      </c>
      <c r="Q76" s="20">
        <f>SUM($J$21:J76)/N76</f>
        <v>56</v>
      </c>
    </row>
    <row r="77" spans="1:20" x14ac:dyDescent="0.2">
      <c r="A77" s="15"/>
      <c r="B77" s="15" t="s">
        <v>9</v>
      </c>
      <c r="C77" s="39">
        <v>57</v>
      </c>
      <c r="D77" s="113">
        <f t="shared" si="13"/>
        <v>93000</v>
      </c>
      <c r="E77" s="16"/>
      <c r="F77" s="16">
        <f t="shared" si="6"/>
        <v>1082542.693445934</v>
      </c>
      <c r="G77" s="17">
        <f t="shared" si="2"/>
        <v>8.5908851967735123E-2</v>
      </c>
      <c r="H77" s="18">
        <f>($T$52+C77*$T$53)*$T$66</f>
        <v>635193.27257275092</v>
      </c>
      <c r="I77" s="19"/>
      <c r="J77" s="18">
        <f t="shared" si="3"/>
        <v>542193.27257275092</v>
      </c>
      <c r="K77" s="18">
        <f t="shared" si="4"/>
        <v>542193.27257275092</v>
      </c>
      <c r="L77" s="18">
        <f>SUM($J$21:J77)</f>
        <v>15266907.546379615</v>
      </c>
      <c r="M77" s="18">
        <f>SUMSQ($J$21:J77)/C77</f>
        <v>99625159936.41391</v>
      </c>
      <c r="N77" s="18">
        <f>SUM($K$21:K77)/C77</f>
        <v>267840.48326981778</v>
      </c>
      <c r="O77" s="18">
        <f t="shared" si="5"/>
        <v>583.00351889543117</v>
      </c>
      <c r="P77" s="18">
        <f>AVERAGE($O$21:O77)</f>
        <v>323.85065607918341</v>
      </c>
      <c r="Q77" s="20">
        <f>SUM($J$21:J77)/N77</f>
        <v>57.000000000000007</v>
      </c>
    </row>
    <row r="78" spans="1:20" x14ac:dyDescent="0.2">
      <c r="A78" s="15"/>
      <c r="B78" s="15" t="s">
        <v>10</v>
      </c>
      <c r="C78" s="39">
        <v>58</v>
      </c>
      <c r="D78" s="113">
        <f t="shared" si="13"/>
        <v>92000</v>
      </c>
      <c r="E78" s="16"/>
      <c r="F78" s="16">
        <f t="shared" si="6"/>
        <v>1100696.6751721038</v>
      </c>
      <c r="G78" s="17">
        <f t="shared" si="2"/>
        <v>8.3583426819759374E-2</v>
      </c>
      <c r="H78" s="18">
        <f>($T$52+C78*$T$53)*$T$67</f>
        <v>627299.457264481</v>
      </c>
      <c r="I78" s="19"/>
      <c r="J78" s="18">
        <f t="shared" si="3"/>
        <v>535299.457264481</v>
      </c>
      <c r="K78" s="18">
        <f t="shared" si="4"/>
        <v>535299.457264481</v>
      </c>
      <c r="L78" s="18">
        <f>SUM($J$21:J78)</f>
        <v>15802207.003644096</v>
      </c>
      <c r="M78" s="18">
        <f>SUMSQ($J$21:J78)/C78</f>
        <v>102847924574.53862</v>
      </c>
      <c r="N78" s="18">
        <f>SUM($K$21:K78)/C78</f>
        <v>272451.84489041544</v>
      </c>
      <c r="O78" s="18">
        <f t="shared" si="5"/>
        <v>581.84723615704456</v>
      </c>
      <c r="P78" s="18">
        <f>AVERAGE($O$21:O78)</f>
        <v>328.29887297707756</v>
      </c>
      <c r="Q78" s="20">
        <f>SUM($J$21:J78)/N78</f>
        <v>58</v>
      </c>
    </row>
    <row r="79" spans="1:20" x14ac:dyDescent="0.2">
      <c r="A79" s="15"/>
      <c r="B79" s="15" t="s">
        <v>11</v>
      </c>
      <c r="C79" s="39">
        <v>59</v>
      </c>
      <c r="D79" s="113">
        <f t="shared" si="13"/>
        <v>96000</v>
      </c>
      <c r="E79" s="16"/>
      <c r="F79" s="16">
        <f t="shared" si="6"/>
        <v>1118850.6568982734</v>
      </c>
      <c r="G79" s="17">
        <f t="shared" si="2"/>
        <v>8.580233600267563E-2</v>
      </c>
      <c r="H79" s="18">
        <f>($T$52+C79*$T$53)*$T$68</f>
        <v>610712.84383749566</v>
      </c>
      <c r="I79" s="19"/>
      <c r="J79" s="18">
        <f t="shared" si="3"/>
        <v>514712.84383749566</v>
      </c>
      <c r="K79" s="18">
        <f t="shared" si="4"/>
        <v>514712.84383749566</v>
      </c>
      <c r="L79" s="18">
        <f>SUM($J$21:J79)</f>
        <v>16316919.847481592</v>
      </c>
      <c r="M79" s="18">
        <f>SUMSQ($J$21:J79)/C79</f>
        <v>105595066727.70377</v>
      </c>
      <c r="N79" s="18">
        <f>SUM($K$21:K79)/C79</f>
        <v>276557.96351663716</v>
      </c>
      <c r="O79" s="18">
        <f t="shared" si="5"/>
        <v>536.15921233072459</v>
      </c>
      <c r="P79" s="18">
        <f>AVERAGE($O$21:O79)</f>
        <v>331.82192957629189</v>
      </c>
      <c r="Q79" s="20">
        <f>SUM($J$21:J79)/N79</f>
        <v>59</v>
      </c>
    </row>
    <row r="80" spans="1:20" ht="13.5" thickBot="1" x14ac:dyDescent="0.25">
      <c r="A80" s="15"/>
      <c r="B80" s="22" t="s">
        <v>12</v>
      </c>
      <c r="C80" s="40">
        <v>60</v>
      </c>
      <c r="D80" s="113">
        <f t="shared" si="13"/>
        <v>99000</v>
      </c>
      <c r="E80" s="23"/>
      <c r="F80" s="16">
        <f t="shared" si="6"/>
        <v>1137004.638624443</v>
      </c>
      <c r="G80" s="24">
        <f t="shared" si="2"/>
        <v>8.7070884882027369E-2</v>
      </c>
      <c r="H80" s="18">
        <f>($T$52+C80*$T$53)*$T$69</f>
        <v>617992.98533165932</v>
      </c>
      <c r="I80" s="19"/>
      <c r="J80" s="25">
        <f t="shared" si="3"/>
        <v>518992.98533165932</v>
      </c>
      <c r="K80" s="25">
        <f t="shared" si="4"/>
        <v>518992.98533165932</v>
      </c>
      <c r="L80" s="25">
        <f>SUM($J$21:J80)</f>
        <v>16835912.832813252</v>
      </c>
      <c r="M80" s="25">
        <f>SUMSQ($J$21:J80)/C80</f>
        <v>108324377595.96651</v>
      </c>
      <c r="N80" s="18">
        <f>SUM($K$21:K80)/C80</f>
        <v>280598.54721355421</v>
      </c>
      <c r="O80" s="25">
        <f t="shared" si="5"/>
        <v>524.23533871884786</v>
      </c>
      <c r="P80" s="25">
        <f>AVERAGE($O$21:O80)</f>
        <v>335.02881972866788</v>
      </c>
      <c r="Q80" s="26">
        <f>SUM($J$21:J80)/N80</f>
        <v>60</v>
      </c>
    </row>
    <row r="81" spans="1:18" ht="13.5" thickBot="1" x14ac:dyDescent="0.25">
      <c r="A81" s="47" t="s">
        <v>63</v>
      </c>
      <c r="B81" s="15" t="s">
        <v>1</v>
      </c>
      <c r="C81" s="41">
        <v>61</v>
      </c>
      <c r="F81" s="28" t="s">
        <v>47</v>
      </c>
      <c r="G81" s="29"/>
      <c r="H81" s="57">
        <f>($T$52+C81*$T$53)*$T$58</f>
        <v>704638.96468143864</v>
      </c>
      <c r="I81" s="30"/>
      <c r="J81" s="30"/>
      <c r="K81" s="30"/>
      <c r="L81" s="30"/>
      <c r="M81" s="34" t="s">
        <v>54</v>
      </c>
      <c r="N81" s="35">
        <f>N80*1.25</f>
        <v>350748.18401694275</v>
      </c>
      <c r="O81" s="30"/>
      <c r="P81" s="30"/>
      <c r="Q81" s="31"/>
      <c r="R81" s="32"/>
    </row>
    <row r="82" spans="1:18" x14ac:dyDescent="0.2">
      <c r="A82" s="27"/>
      <c r="B82" s="15" t="s">
        <v>2</v>
      </c>
      <c r="C82" s="42">
        <v>62</v>
      </c>
      <c r="G82" s="29"/>
      <c r="H82" s="57">
        <f>($T$52+C82*$T$53)*$T$59</f>
        <v>710530.78449367045</v>
      </c>
      <c r="I82" s="30"/>
      <c r="J82" s="30"/>
      <c r="K82" s="30"/>
      <c r="L82" s="30"/>
      <c r="M82" s="30"/>
      <c r="N82" s="30"/>
      <c r="O82" s="30"/>
      <c r="P82" s="30"/>
      <c r="Q82" s="31"/>
      <c r="R82" s="32"/>
    </row>
    <row r="83" spans="1:18" x14ac:dyDescent="0.2">
      <c r="A83" s="27"/>
      <c r="B83" s="15" t="s">
        <v>3</v>
      </c>
      <c r="C83" s="42">
        <v>63</v>
      </c>
      <c r="G83" s="29"/>
      <c r="H83" s="57">
        <f>($T$52+C83*$T$53)*$T$60</f>
        <v>727895.16162814456</v>
      </c>
      <c r="I83" s="30"/>
      <c r="J83" s="30"/>
      <c r="K83" s="30"/>
      <c r="L83" s="30"/>
      <c r="M83" s="30"/>
      <c r="N83" s="30"/>
      <c r="O83" s="30"/>
      <c r="P83" s="30"/>
      <c r="Q83" s="31"/>
      <c r="R83" s="32"/>
    </row>
    <row r="84" spans="1:18" x14ac:dyDescent="0.2">
      <c r="A84" s="27"/>
      <c r="B84" s="15" t="s">
        <v>4</v>
      </c>
      <c r="C84" s="42">
        <v>64</v>
      </c>
      <c r="G84" s="29"/>
      <c r="H84" s="57">
        <f>($T$52+C84*$T$53)*$T$61</f>
        <v>747799.35387105541</v>
      </c>
      <c r="I84" s="30"/>
      <c r="J84" s="30"/>
      <c r="K84" s="30"/>
      <c r="L84" s="30"/>
      <c r="M84" s="30"/>
      <c r="N84" s="30"/>
      <c r="O84" s="30"/>
      <c r="P84" s="30"/>
      <c r="Q84" s="31"/>
      <c r="R84" s="32"/>
    </row>
    <row r="85" spans="1:18" x14ac:dyDescent="0.2">
      <c r="A85" s="27"/>
      <c r="B85" s="15" t="s">
        <v>5</v>
      </c>
      <c r="C85" s="42">
        <v>65</v>
      </c>
      <c r="G85" s="29"/>
      <c r="H85" s="57">
        <f>($T$52+C85*$T$53)*$T$62</f>
        <v>781941.55707360758</v>
      </c>
      <c r="I85" s="30"/>
      <c r="J85" s="30"/>
      <c r="K85" s="30"/>
      <c r="L85" s="30"/>
      <c r="M85" s="30"/>
      <c r="N85" s="30"/>
      <c r="O85" s="30"/>
      <c r="P85" s="30"/>
      <c r="Q85" s="31"/>
      <c r="R85" s="32"/>
    </row>
    <row r="86" spans="1:18" x14ac:dyDescent="0.2">
      <c r="A86" s="27"/>
      <c r="B86" s="15" t="s">
        <v>6</v>
      </c>
      <c r="C86" s="42">
        <v>66</v>
      </c>
      <c r="G86" s="29"/>
      <c r="H86" s="57">
        <f>($T$52+C86*$T$53)*$T$63</f>
        <v>757979.91664005222</v>
      </c>
      <c r="I86" s="30"/>
      <c r="J86" s="30"/>
      <c r="K86" s="30"/>
      <c r="L86" s="30"/>
      <c r="M86" s="30"/>
      <c r="N86" s="30"/>
      <c r="O86" s="30"/>
      <c r="P86" s="30"/>
      <c r="Q86" s="31"/>
      <c r="R86" s="32"/>
    </row>
    <row r="87" spans="1:18" x14ac:dyDescent="0.2">
      <c r="A87" s="27"/>
      <c r="B87" s="15" t="s">
        <v>7</v>
      </c>
      <c r="C87" s="42">
        <v>67</v>
      </c>
      <c r="G87" s="29"/>
      <c r="H87" s="57">
        <f>($T$52+C87*$T$53)*$T$64</f>
        <v>780010.55781267723</v>
      </c>
      <c r="I87" s="30"/>
      <c r="J87" s="30"/>
      <c r="K87" s="30"/>
      <c r="L87" s="30"/>
      <c r="M87" s="30"/>
      <c r="N87" s="30"/>
      <c r="O87" s="30"/>
      <c r="P87" s="30"/>
      <c r="Q87" s="31"/>
      <c r="R87" s="32"/>
    </row>
    <row r="88" spans="1:18" x14ac:dyDescent="0.2">
      <c r="A88" s="27"/>
      <c r="B88" s="15" t="s">
        <v>8</v>
      </c>
      <c r="C88" s="42">
        <v>68</v>
      </c>
      <c r="G88" s="29"/>
      <c r="H88" s="57">
        <f>($T$52+C88*$T$53)*$T$65</f>
        <v>790295.65320943668</v>
      </c>
      <c r="I88" s="30"/>
      <c r="J88" s="30"/>
      <c r="K88" s="30"/>
      <c r="L88" s="30"/>
      <c r="M88" s="30"/>
      <c r="N88" s="30"/>
      <c r="O88" s="30"/>
      <c r="P88" s="30"/>
      <c r="Q88" s="31"/>
      <c r="R88" s="32"/>
    </row>
    <row r="89" spans="1:18" x14ac:dyDescent="0.2">
      <c r="A89" s="27"/>
      <c r="B89" s="15" t="s">
        <v>9</v>
      </c>
      <c r="C89" s="42">
        <v>69</v>
      </c>
      <c r="G89" s="29"/>
      <c r="H89" s="57">
        <f>($T$52+C89*$T$53)*$T$66</f>
        <v>763017.74138329271</v>
      </c>
      <c r="I89" s="30"/>
      <c r="J89" s="30"/>
      <c r="K89" s="30"/>
      <c r="L89" s="30"/>
      <c r="M89" s="30"/>
      <c r="N89" s="30"/>
      <c r="O89" s="30"/>
      <c r="P89" s="30"/>
      <c r="Q89" s="31"/>
      <c r="R89" s="32"/>
    </row>
    <row r="90" spans="1:18" x14ac:dyDescent="0.2">
      <c r="A90" s="27"/>
      <c r="B90" s="15" t="s">
        <v>10</v>
      </c>
      <c r="C90" s="42">
        <v>70</v>
      </c>
      <c r="G90" s="29"/>
      <c r="H90" s="57">
        <f>($T$52+C90*$T$53)*$T$67</f>
        <v>751453.36604849633</v>
      </c>
      <c r="I90" s="30"/>
      <c r="J90" s="30"/>
      <c r="K90" s="30"/>
      <c r="L90" s="30"/>
      <c r="M90" s="30"/>
      <c r="N90" s="30"/>
      <c r="O90" s="30"/>
      <c r="P90" s="30"/>
      <c r="Q90" s="31"/>
      <c r="R90" s="32"/>
    </row>
    <row r="91" spans="1:18" x14ac:dyDescent="0.2">
      <c r="A91" s="27"/>
      <c r="B91" s="15" t="s">
        <v>11</v>
      </c>
      <c r="C91" s="42">
        <v>71</v>
      </c>
      <c r="H91" s="57">
        <f>($T$52+C91*$T$53)*$T$68</f>
        <v>729622.75988686562</v>
      </c>
      <c r="I91" s="30"/>
      <c r="J91" s="30"/>
      <c r="K91" s="30"/>
      <c r="L91" s="30"/>
      <c r="M91" s="30"/>
      <c r="N91" s="30"/>
      <c r="O91" s="30"/>
      <c r="P91" s="30"/>
      <c r="Q91" s="31"/>
      <c r="R91" s="32"/>
    </row>
    <row r="92" spans="1:18" x14ac:dyDescent="0.2">
      <c r="A92" s="27"/>
      <c r="B92" s="22" t="s">
        <v>12</v>
      </c>
      <c r="C92" s="43">
        <v>72</v>
      </c>
      <c r="H92" s="57">
        <f>($T$52+C92*$T$53)*$T$69</f>
        <v>736399.18683512753</v>
      </c>
      <c r="I92" s="30"/>
      <c r="J92" s="30"/>
      <c r="K92" s="30"/>
      <c r="L92" s="30"/>
      <c r="M92" s="30"/>
      <c r="N92" s="30"/>
      <c r="O92" s="30"/>
      <c r="P92" s="30"/>
      <c r="Q92" s="31"/>
      <c r="R92" s="32"/>
    </row>
    <row r="93" spans="1:18" x14ac:dyDescent="0.2">
      <c r="C93" s="44"/>
      <c r="I93" s="32"/>
      <c r="J93" s="32"/>
      <c r="K93" s="32"/>
      <c r="L93" s="32"/>
      <c r="M93" s="32"/>
      <c r="N93" s="32"/>
      <c r="O93" s="32"/>
      <c r="P93" s="32"/>
      <c r="Q93" s="33"/>
      <c r="R93" s="32"/>
    </row>
    <row r="94" spans="1:18" x14ac:dyDescent="0.2">
      <c r="C94" s="44"/>
      <c r="I94" s="32"/>
      <c r="J94" s="32"/>
      <c r="K94" s="32"/>
      <c r="L94" s="32"/>
      <c r="M94" s="32"/>
      <c r="N94" s="32"/>
      <c r="O94" s="32"/>
      <c r="P94" s="32"/>
      <c r="Q94" s="33"/>
      <c r="R94" s="32"/>
    </row>
    <row r="95" spans="1:18" x14ac:dyDescent="0.2">
      <c r="C95" s="44"/>
      <c r="I95" s="32"/>
      <c r="J95" s="32"/>
      <c r="K95" s="32"/>
      <c r="L95" s="32"/>
      <c r="M95" s="32"/>
      <c r="N95" s="32"/>
      <c r="O95" s="32"/>
      <c r="P95" s="32"/>
      <c r="Q95" s="33"/>
      <c r="R95" s="32"/>
    </row>
    <row r="96" spans="1:18" x14ac:dyDescent="0.2">
      <c r="C96" s="44"/>
      <c r="I96" s="32"/>
      <c r="J96" s="32"/>
      <c r="K96" s="32"/>
      <c r="L96" s="32"/>
      <c r="M96" s="32"/>
      <c r="N96" s="32"/>
      <c r="O96" s="32"/>
      <c r="P96" s="32"/>
      <c r="Q96" s="33"/>
      <c r="R96" s="32"/>
    </row>
    <row r="97" spans="9:18" x14ac:dyDescent="0.2">
      <c r="I97" s="32"/>
      <c r="J97" s="32"/>
      <c r="K97" s="32"/>
      <c r="L97" s="32"/>
      <c r="M97" s="32"/>
      <c r="N97" s="32"/>
      <c r="O97" s="32"/>
      <c r="P97" s="32"/>
      <c r="Q97" s="33"/>
      <c r="R97" s="32"/>
    </row>
    <row r="98" spans="9:18" x14ac:dyDescent="0.2">
      <c r="I98" s="32"/>
      <c r="J98" s="32"/>
      <c r="K98" s="32"/>
      <c r="L98" s="32"/>
      <c r="M98" s="32"/>
      <c r="N98" s="32"/>
      <c r="O98" s="32"/>
      <c r="P98" s="32"/>
      <c r="Q98" s="33"/>
      <c r="R98" s="32"/>
    </row>
    <row r="99" spans="9:18" x14ac:dyDescent="0.2">
      <c r="I99" s="32"/>
      <c r="J99" s="32"/>
      <c r="K99" s="32"/>
      <c r="L99" s="32"/>
      <c r="M99" s="32"/>
      <c r="N99" s="32"/>
      <c r="O99" s="32"/>
      <c r="P99" s="32"/>
      <c r="Q99" s="33"/>
      <c r="R99" s="32"/>
    </row>
    <row r="100" spans="9:18" x14ac:dyDescent="0.2">
      <c r="I100" s="32"/>
      <c r="J100" s="32"/>
      <c r="K100" s="32"/>
      <c r="L100" s="32"/>
      <c r="M100" s="32"/>
      <c r="N100" s="32"/>
      <c r="O100" s="32"/>
      <c r="P100" s="32"/>
      <c r="Q100" s="33"/>
      <c r="R100" s="32"/>
    </row>
    <row r="101" spans="9:18" x14ac:dyDescent="0.2">
      <c r="I101" s="32"/>
      <c r="J101" s="32"/>
      <c r="K101" s="32"/>
      <c r="L101" s="32"/>
      <c r="M101" s="32"/>
      <c r="N101" s="32"/>
      <c r="O101" s="32"/>
      <c r="P101" s="32"/>
      <c r="Q101" s="33"/>
      <c r="R101" s="32"/>
    </row>
    <row r="102" spans="9:18" x14ac:dyDescent="0.2">
      <c r="I102" s="32"/>
      <c r="J102" s="32"/>
      <c r="K102" s="32"/>
      <c r="L102" s="32"/>
      <c r="M102" s="32"/>
      <c r="N102" s="32"/>
      <c r="O102" s="32"/>
      <c r="P102" s="32"/>
      <c r="Q102" s="33"/>
      <c r="R102" s="32"/>
    </row>
    <row r="103" spans="9:18" x14ac:dyDescent="0.2">
      <c r="I103" s="32"/>
      <c r="J103" s="32"/>
      <c r="K103" s="32"/>
      <c r="L103" s="32"/>
      <c r="M103" s="32"/>
      <c r="N103" s="32"/>
      <c r="O103" s="32"/>
      <c r="P103" s="32"/>
      <c r="Q103" s="33"/>
      <c r="R103" s="32"/>
    </row>
    <row r="104" spans="9:18" x14ac:dyDescent="0.2">
      <c r="I104" s="32"/>
      <c r="J104" s="32"/>
      <c r="K104" s="32"/>
      <c r="L104" s="32"/>
      <c r="M104" s="32"/>
      <c r="N104" s="32"/>
      <c r="O104" s="32"/>
      <c r="P104" s="32"/>
      <c r="Q104" s="33"/>
      <c r="R104" s="32"/>
    </row>
    <row r="105" spans="9:18" x14ac:dyDescent="0.2">
      <c r="I105" s="32"/>
      <c r="J105" s="32"/>
      <c r="K105" s="32"/>
      <c r="L105" s="32"/>
      <c r="M105" s="32"/>
      <c r="N105" s="32"/>
      <c r="O105" s="32"/>
      <c r="P105" s="32"/>
      <c r="Q105" s="33"/>
      <c r="R105" s="32"/>
    </row>
    <row r="106" spans="9:18" x14ac:dyDescent="0.2">
      <c r="I106" s="32"/>
      <c r="J106" s="32"/>
      <c r="K106" s="32"/>
      <c r="L106" s="32"/>
      <c r="M106" s="32"/>
      <c r="N106" s="32"/>
      <c r="O106" s="32"/>
      <c r="P106" s="32"/>
      <c r="Q106" s="33"/>
      <c r="R106" s="32"/>
    </row>
    <row r="107" spans="9:18" x14ac:dyDescent="0.2">
      <c r="I107" s="32"/>
      <c r="J107" s="32"/>
      <c r="K107" s="32"/>
      <c r="L107" s="32"/>
      <c r="M107" s="32"/>
      <c r="N107" s="32"/>
      <c r="O107" s="32"/>
      <c r="P107" s="32"/>
      <c r="Q107" s="33"/>
      <c r="R107" s="32"/>
    </row>
    <row r="108" spans="9:18" x14ac:dyDescent="0.2">
      <c r="I108" s="32"/>
      <c r="J108" s="32"/>
      <c r="K108" s="32"/>
      <c r="L108" s="32"/>
      <c r="M108" s="32"/>
      <c r="N108" s="32"/>
      <c r="O108" s="32"/>
      <c r="P108" s="32"/>
      <c r="Q108" s="33"/>
      <c r="R108" s="32"/>
    </row>
    <row r="109" spans="9:18" x14ac:dyDescent="0.2">
      <c r="I109" s="32"/>
      <c r="J109" s="32"/>
      <c r="K109" s="32"/>
      <c r="L109" s="32"/>
      <c r="M109" s="32"/>
      <c r="N109" s="32"/>
      <c r="O109" s="32"/>
      <c r="P109" s="32"/>
      <c r="Q109" s="33"/>
      <c r="R109" s="32"/>
    </row>
    <row r="110" spans="9:18" x14ac:dyDescent="0.2">
      <c r="I110" s="32"/>
      <c r="J110" s="32"/>
      <c r="K110" s="32"/>
      <c r="L110" s="32"/>
      <c r="M110" s="32"/>
      <c r="N110" s="32"/>
      <c r="O110" s="32"/>
      <c r="P110" s="32"/>
      <c r="Q110" s="33"/>
      <c r="R110" s="32"/>
    </row>
    <row r="111" spans="9:18" x14ac:dyDescent="0.2">
      <c r="I111" s="32"/>
      <c r="J111" s="32"/>
      <c r="K111" s="32"/>
      <c r="L111" s="32"/>
      <c r="M111" s="32"/>
      <c r="N111" s="32"/>
      <c r="O111" s="32"/>
      <c r="P111" s="32"/>
      <c r="Q111" s="33"/>
      <c r="R111" s="32"/>
    </row>
    <row r="112" spans="9:18" x14ac:dyDescent="0.2">
      <c r="I112" s="32"/>
      <c r="J112" s="32"/>
      <c r="K112" s="32"/>
      <c r="L112" s="32"/>
      <c r="M112" s="32"/>
      <c r="N112" s="32"/>
      <c r="O112" s="32"/>
      <c r="P112" s="32"/>
      <c r="Q112" s="33"/>
      <c r="R112" s="32"/>
    </row>
    <row r="113" spans="9:18" x14ac:dyDescent="0.2">
      <c r="I113" s="32"/>
      <c r="J113" s="32"/>
      <c r="K113" s="32"/>
      <c r="L113" s="32"/>
      <c r="M113" s="32"/>
      <c r="N113" s="32"/>
      <c r="O113" s="32"/>
      <c r="P113" s="32"/>
      <c r="Q113" s="33"/>
      <c r="R113" s="32"/>
    </row>
    <row r="114" spans="9:18" x14ac:dyDescent="0.2">
      <c r="I114" s="32"/>
      <c r="J114" s="32"/>
      <c r="K114" s="32"/>
      <c r="L114" s="32"/>
      <c r="M114" s="32"/>
      <c r="N114" s="32"/>
      <c r="O114" s="32"/>
      <c r="P114" s="32"/>
      <c r="Q114" s="33"/>
      <c r="R114" s="32"/>
    </row>
    <row r="115" spans="9:18" x14ac:dyDescent="0.2">
      <c r="I115" s="32"/>
      <c r="J115" s="32"/>
      <c r="K115" s="32"/>
      <c r="L115" s="32"/>
      <c r="M115" s="32"/>
      <c r="N115" s="32"/>
      <c r="O115" s="32"/>
      <c r="P115" s="32"/>
      <c r="Q115" s="33"/>
      <c r="R115" s="32"/>
    </row>
  </sheetData>
  <mergeCells count="1">
    <mergeCell ref="K8:N8"/>
  </mergeCells>
  <pageMargins left="0.75" right="0.75" top="0.51" bottom="0.54" header="0.5" footer="0.42"/>
  <pageSetup paperSize="9" scale="41" orientation="landscape" r:id="rId2"/>
  <headerFooter alignWithMargins="0">
    <oddFooter>&amp;LCR - &amp;D &amp;T&amp;R&amp;F - &amp;A</oddFooter>
  </headerFooter>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ACEB2-0C45-4297-B863-2E4D79676FDB}">
  <dimension ref="A1:AA115"/>
  <sheetViews>
    <sheetView workbookViewId="0">
      <selection activeCell="M11" sqref="M11"/>
    </sheetView>
  </sheetViews>
  <sheetFormatPr baseColWidth="10" defaultColWidth="8.85546875" defaultRowHeight="12.75" x14ac:dyDescent="0.2"/>
  <cols>
    <col min="1" max="2" width="8.42578125" customWidth="1"/>
    <col min="3" max="3" width="17" style="2" customWidth="1"/>
    <col min="4" max="4" width="12.85546875" style="2" customWidth="1"/>
    <col min="5" max="5" width="15.140625" style="2" customWidth="1"/>
    <col min="6" max="6" width="14.42578125" style="2" customWidth="1"/>
    <col min="7" max="7" width="16.5703125" style="2" customWidth="1"/>
    <col min="8" max="8" width="8.42578125" customWidth="1"/>
    <col min="9" max="9" width="3.140625" customWidth="1"/>
    <col min="10" max="10" width="8.5703125" customWidth="1"/>
    <col min="11" max="11" width="10.5703125" customWidth="1"/>
    <col min="12" max="12" width="15.7109375" customWidth="1"/>
    <col min="13" max="13" width="16.140625" customWidth="1"/>
    <col min="14" max="14" width="17.140625" customWidth="1"/>
    <col min="15" max="16" width="8.5703125" customWidth="1"/>
    <col min="17" max="17" width="8.5703125" style="3" customWidth="1"/>
    <col min="19" max="19" width="19.5703125" bestFit="1" customWidth="1"/>
    <col min="20" max="20" width="33" bestFit="1" customWidth="1"/>
    <col min="21" max="21" width="32.7109375" bestFit="1" customWidth="1"/>
  </cols>
  <sheetData>
    <row r="1" spans="1:15" ht="13.5" thickBot="1" x14ac:dyDescent="0.25">
      <c r="A1" s="1" t="s">
        <v>56</v>
      </c>
      <c r="B1" s="36"/>
    </row>
    <row r="2" spans="1:15" ht="39" thickBot="1" x14ac:dyDescent="0.25">
      <c r="K2" s="298" t="s">
        <v>648</v>
      </c>
      <c r="L2" s="299">
        <f>'Potenciales clientes '!O12</f>
        <v>5328212.6659617461</v>
      </c>
    </row>
    <row r="3" spans="1:15" x14ac:dyDescent="0.2">
      <c r="B3" s="4" t="s">
        <v>0</v>
      </c>
      <c r="C3" s="5" t="s">
        <v>58</v>
      </c>
      <c r="D3" s="5" t="s">
        <v>59</v>
      </c>
      <c r="E3" s="5" t="s">
        <v>60</v>
      </c>
      <c r="F3" s="5" t="s">
        <v>61</v>
      </c>
      <c r="G3" s="6" t="s">
        <v>62</v>
      </c>
      <c r="L3" s="297">
        <f>L2/12</f>
        <v>444017.72216347884</v>
      </c>
      <c r="M3">
        <f>1/12</f>
        <v>8.3333333333333329E-2</v>
      </c>
      <c r="N3" s="297">
        <f>L2*M3</f>
        <v>444017.72216347884</v>
      </c>
    </row>
    <row r="4" spans="1:15" x14ac:dyDescent="0.2">
      <c r="B4" s="7" t="s">
        <v>1</v>
      </c>
      <c r="C4" s="31">
        <f>'Previsión Centro'!C4/Hoja1!$L$10</f>
        <v>1418.1320150508591</v>
      </c>
      <c r="D4" s="31">
        <f>'Previsión Centro'!D4/Hoja1!$L$10</f>
        <v>10352.363709871272</v>
      </c>
      <c r="E4" s="31">
        <f>'Previsión Centro'!E4/Hoja1!$L$10</f>
        <v>11203.242918901788</v>
      </c>
      <c r="F4" s="31">
        <f>'Previsión Centro'!F4/Hoja1!$L$10</f>
        <v>12905.001336962818</v>
      </c>
      <c r="G4" s="31">
        <f>'Previsión Centro'!G4/Hoja1!$L$10</f>
        <v>13472.254142983162</v>
      </c>
      <c r="K4" s="21" t="s">
        <v>649</v>
      </c>
      <c r="L4" s="21" t="s">
        <v>24</v>
      </c>
      <c r="M4" s="63">
        <f>L3/L10</f>
        <v>62967.574704998675</v>
      </c>
    </row>
    <row r="5" spans="1:15" ht="13.5" thickBot="1" x14ac:dyDescent="0.25">
      <c r="B5" s="7" t="s">
        <v>2</v>
      </c>
      <c r="C5" s="31">
        <f>'Previsión Centro'!C5/Hoja1!$L$10</f>
        <v>4538.0224481627492</v>
      </c>
      <c r="D5" s="31">
        <f>'Previsión Centro'!D5/Hoja1!$L$10</f>
        <v>10210.550508366186</v>
      </c>
      <c r="E5" s="31">
        <f>'Previsión Centro'!E5/Hoja1!$L$10</f>
        <v>10777.803314386529</v>
      </c>
      <c r="F5" s="31">
        <f>'Previsión Centro'!F5/Hoja1!$L$10</f>
        <v>12337.748530942474</v>
      </c>
      <c r="G5" s="31">
        <f>'Previsión Centro'!G5/Hoja1!$L$10</f>
        <v>12905.001336962818</v>
      </c>
    </row>
    <row r="6" spans="1:15" ht="13.5" thickBot="1" x14ac:dyDescent="0.25">
      <c r="B6" s="7" t="s">
        <v>3</v>
      </c>
      <c r="C6" s="31">
        <f>'Previsión Centro'!C6/Hoja1!$L$10</f>
        <v>5530.7148586983503</v>
      </c>
      <c r="D6" s="31">
        <f>'Previsión Centro'!D6/Hoja1!$L$10</f>
        <v>10352.363709871272</v>
      </c>
      <c r="E6" s="31">
        <f>'Previsión Centro'!E6/Hoja1!$L$10</f>
        <v>10352.363709871272</v>
      </c>
      <c r="F6" s="31">
        <f>'Previsión Centro'!F6/Hoja1!$L$10</f>
        <v>12054.122127932304</v>
      </c>
      <c r="G6" s="31">
        <f>'Previsión Centro'!G6/Hoja1!$L$10</f>
        <v>12763.188135457733</v>
      </c>
      <c r="K6" s="59" t="s">
        <v>650</v>
      </c>
      <c r="L6" s="65"/>
      <c r="M6" s="65"/>
      <c r="N6" s="65"/>
      <c r="O6" s="301"/>
    </row>
    <row r="7" spans="1:15" ht="13.5" thickBot="1" x14ac:dyDescent="0.25">
      <c r="B7" s="7" t="s">
        <v>4</v>
      </c>
      <c r="C7" s="31">
        <f>'Previsión Centro'!C7/Hoja1!$L$10</f>
        <v>5956.1544632136083</v>
      </c>
      <c r="D7" s="31">
        <f>'Previsión Centro'!D7/Hoja1!$L$10</f>
        <v>10210.550508366186</v>
      </c>
      <c r="E7" s="31">
        <f>'Previsión Centro'!E7/Hoja1!$L$10</f>
        <v>10210.550508366186</v>
      </c>
      <c r="F7" s="31">
        <f>'Previsión Centro'!F7/Hoja1!$L$10</f>
        <v>12195.935329437389</v>
      </c>
      <c r="G7" s="31">
        <f>'Previsión Centro'!G7/Hoja1!$L$10</f>
        <v>12905.001336962818</v>
      </c>
    </row>
    <row r="8" spans="1:15" ht="13.5" thickBot="1" x14ac:dyDescent="0.25">
      <c r="B8" s="7" t="s">
        <v>5</v>
      </c>
      <c r="C8" s="31">
        <f>'Previsión Centro'!C8/Hoja1!$L$10</f>
        <v>6381.5940677288663</v>
      </c>
      <c r="D8" s="31">
        <f>'Previsión Centro'!D8/Hoja1!$L$10</f>
        <v>10068.7373068611</v>
      </c>
      <c r="E8" s="31">
        <f>'Previsión Centro'!E8/Hoja1!$L$10</f>
        <v>10635.990112881444</v>
      </c>
      <c r="F8" s="31">
        <f>'Previsión Centro'!F8/Hoja1!$L$10</f>
        <v>12266.841930189932</v>
      </c>
      <c r="G8" s="31">
        <f>'Previsión Centro'!G8/Hoja1!$L$10</f>
        <v>12621.374933952646</v>
      </c>
      <c r="K8" s="339" t="s">
        <v>90</v>
      </c>
      <c r="L8" s="340"/>
      <c r="M8" s="340"/>
      <c r="N8" s="341"/>
    </row>
    <row r="9" spans="1:15" x14ac:dyDescent="0.2">
      <c r="B9" s="7" t="s">
        <v>6</v>
      </c>
      <c r="C9" s="31">
        <f>'Previsión Centro'!C9/Hoja1!$L$10</f>
        <v>6948.8468737492094</v>
      </c>
      <c r="D9" s="31">
        <f>'Previsión Centro'!D9/Hoja1!$L$10</f>
        <v>10352.363709871272</v>
      </c>
      <c r="E9" s="31">
        <f>'Previsión Centro'!E9/Hoja1!$L$10</f>
        <v>10919.616515891616</v>
      </c>
      <c r="F9" s="31">
        <f>'Previsión Centro'!F9/Hoja1!$L$10</f>
        <v>12408.655131695017</v>
      </c>
      <c r="G9" s="31">
        <f>'Previsión Centro'!G9/Hoja1!$L$10</f>
        <v>12621.374933952646</v>
      </c>
    </row>
    <row r="10" spans="1:15" x14ac:dyDescent="0.2">
      <c r="B10" s="7" t="s">
        <v>7</v>
      </c>
      <c r="C10" s="31">
        <f>'Previsión Centro'!C10/Hoja1!$L$10</f>
        <v>7516.0996797695534</v>
      </c>
      <c r="D10" s="31">
        <f>'Previsión Centro'!D10/Hoja1!$L$10</f>
        <v>10919.616515891616</v>
      </c>
      <c r="E10" s="31">
        <f>'Previsión Centro'!E10/Hoja1!$L$10</f>
        <v>11203.242918901788</v>
      </c>
      <c r="F10" s="31">
        <f>'Previsión Centro'!F10/Hoja1!$L$10</f>
        <v>12479.561732447561</v>
      </c>
      <c r="G10" s="31">
        <f>'Previsión Centro'!G10/Hoja1!$L$10</f>
        <v>13046.814538467905</v>
      </c>
      <c r="L10">
        <f>'Base producto'!H78</f>
        <v>7.0515296840268888</v>
      </c>
    </row>
    <row r="11" spans="1:15" x14ac:dyDescent="0.2">
      <c r="B11" s="7" t="s">
        <v>8</v>
      </c>
      <c r="C11" s="31">
        <f>'Previsión Centro'!C11/Hoja1!$L$10</f>
        <v>8012.445885037353</v>
      </c>
      <c r="D11" s="31">
        <f>'Previsión Centro'!D11/Hoja1!$L$10</f>
        <v>11203.242918901788</v>
      </c>
      <c r="E11" s="31">
        <f>'Previsión Centro'!E11/Hoja1!$L$10</f>
        <v>11486.86932191196</v>
      </c>
      <c r="F11" s="31">
        <f>'Previsión Centro'!F11/Hoja1!$L$10</f>
        <v>13046.814538467905</v>
      </c>
      <c r="G11" s="31">
        <f>'Previsión Centro'!G11/Hoja1!$L$10</f>
        <v>13614.067344488249</v>
      </c>
    </row>
    <row r="12" spans="1:15" x14ac:dyDescent="0.2">
      <c r="B12" s="7" t="s">
        <v>9</v>
      </c>
      <c r="C12" s="31">
        <f>'Previsión Centro'!C12/Hoja1!$L$10</f>
        <v>8792.4184933153265</v>
      </c>
      <c r="D12" s="31">
        <f>'Previsión Centro'!D12/Hoja1!$L$10</f>
        <v>11486.86932191196</v>
      </c>
      <c r="E12" s="31">
        <f>'Previsión Centro'!E12/Hoja1!$L$10</f>
        <v>11770.495724922132</v>
      </c>
      <c r="F12" s="31">
        <f>'Previsión Centro'!F12/Hoja1!$L$10</f>
        <v>12763.188135457733</v>
      </c>
      <c r="G12" s="31">
        <f>'Previsión Centro'!G12/Hoja1!$L$10</f>
        <v>13188.62773997299</v>
      </c>
    </row>
    <row r="13" spans="1:15" x14ac:dyDescent="0.2">
      <c r="B13" s="7" t="s">
        <v>10</v>
      </c>
      <c r="C13" s="31">
        <f>'Previsión Centro'!C13/Hoja1!$L$10</f>
        <v>9501.4845008407556</v>
      </c>
      <c r="D13" s="31">
        <f>'Previsión Centro'!D13/Hoja1!$L$10</f>
        <v>11912.308926427217</v>
      </c>
      <c r="E13" s="31">
        <f>'Previsión Centro'!E13/Hoja1!$L$10</f>
        <v>12054.122127932304</v>
      </c>
      <c r="F13" s="31">
        <f>'Previsión Centro'!F13/Hoja1!$L$10</f>
        <v>12479.561732447561</v>
      </c>
      <c r="G13" s="31">
        <f>'Previsión Centro'!G13/Hoja1!$L$10</f>
        <v>13046.814538467905</v>
      </c>
    </row>
    <row r="14" spans="1:15" x14ac:dyDescent="0.2">
      <c r="B14" s="7" t="s">
        <v>11</v>
      </c>
      <c r="C14" s="31">
        <f>'Previsión Centro'!C14/Hoja1!$L$10</f>
        <v>10068.7373068611</v>
      </c>
      <c r="D14" s="31">
        <f>'Previsión Centro'!D14/Hoja1!$L$10</f>
        <v>11770.495724922132</v>
      </c>
      <c r="E14" s="31">
        <f>'Previsión Centro'!E14/Hoja1!$L$10</f>
        <v>12054.122127932304</v>
      </c>
      <c r="F14" s="31">
        <f>'Previsión Centro'!F14/Hoja1!$L$10</f>
        <v>12337.748530942474</v>
      </c>
      <c r="G14" s="31">
        <f>'Previsión Centro'!G14/Hoja1!$L$10</f>
        <v>13614.067344488249</v>
      </c>
    </row>
    <row r="15" spans="1:15" x14ac:dyDescent="0.2">
      <c r="B15" s="7" t="s">
        <v>12</v>
      </c>
      <c r="C15" s="31">
        <f>'Previsión Centro'!C15/Hoja1!$L$10</f>
        <v>10210.550508366186</v>
      </c>
      <c r="D15" s="31">
        <f>'Previsión Centro'!D15/Hoja1!$L$10</f>
        <v>11628.682523417045</v>
      </c>
      <c r="E15" s="31">
        <f>'Previsión Centro'!E15/Hoja1!$L$10</f>
        <v>12337.748530942474</v>
      </c>
      <c r="F15" s="31">
        <f>'Previsión Centro'!F15/Hoja1!$L$10</f>
        <v>13188.62773997299</v>
      </c>
      <c r="G15" s="31">
        <f>'Previsión Centro'!G15/Hoja1!$L$10</f>
        <v>14039.506949003506</v>
      </c>
    </row>
    <row r="16" spans="1:15" x14ac:dyDescent="0.2">
      <c r="B16" s="4" t="s">
        <v>13</v>
      </c>
      <c r="C16" s="9">
        <f>SUM(C4:C15)</f>
        <v>84875.201100793929</v>
      </c>
      <c r="D16" s="9">
        <f>SUM(D4:D15)</f>
        <v>130468.14538467902</v>
      </c>
      <c r="E16" s="9">
        <f>SUM(E4:E15)</f>
        <v>135006.16783284181</v>
      </c>
      <c r="F16" s="9">
        <f>SUM(F4:F15)</f>
        <v>150463.80679689615</v>
      </c>
      <c r="G16" s="10">
        <f>SUM(G4:G15)</f>
        <v>157838.09327516062</v>
      </c>
      <c r="H16" s="60"/>
    </row>
    <row r="17" spans="1:17" x14ac:dyDescent="0.2">
      <c r="B17" s="45"/>
      <c r="C17" s="8"/>
      <c r="D17" s="8"/>
      <c r="E17" s="8"/>
      <c r="F17" s="8"/>
      <c r="G17" s="8"/>
    </row>
    <row r="18" spans="1:17" x14ac:dyDescent="0.2">
      <c r="A18" s="21" t="s">
        <v>57</v>
      </c>
      <c r="B18" s="45"/>
      <c r="C18" s="46"/>
      <c r="D18" s="8"/>
      <c r="E18" s="8"/>
      <c r="F18" s="8"/>
      <c r="G18" s="8"/>
    </row>
    <row r="19" spans="1:17" ht="8.25" customHeight="1" x14ac:dyDescent="0.2"/>
    <row r="20" spans="1:17" s="253" customFormat="1" ht="61.5" customHeight="1" x14ac:dyDescent="0.3">
      <c r="A20" s="11" t="s">
        <v>14</v>
      </c>
      <c r="B20" s="11" t="s">
        <v>15</v>
      </c>
      <c r="C20" s="38" t="s">
        <v>55</v>
      </c>
      <c r="D20" s="37" t="s">
        <v>48</v>
      </c>
      <c r="E20" s="11" t="s">
        <v>49</v>
      </c>
      <c r="F20" s="50" t="s">
        <v>50</v>
      </c>
      <c r="G20" s="50" t="s">
        <v>51</v>
      </c>
      <c r="H20" s="51" t="s">
        <v>16</v>
      </c>
      <c r="I20" s="12"/>
      <c r="J20" s="11" t="s">
        <v>52</v>
      </c>
      <c r="K20" s="11" t="s">
        <v>53</v>
      </c>
      <c r="L20" s="11" t="s">
        <v>17</v>
      </c>
      <c r="M20" s="11" t="s">
        <v>18</v>
      </c>
      <c r="N20" s="11" t="s">
        <v>19</v>
      </c>
      <c r="O20" s="11" t="s">
        <v>20</v>
      </c>
      <c r="P20" s="11" t="s">
        <v>21</v>
      </c>
      <c r="Q20" s="13" t="s">
        <v>22</v>
      </c>
    </row>
    <row r="21" spans="1:17" x14ac:dyDescent="0.2">
      <c r="A21" s="15" t="s">
        <v>58</v>
      </c>
      <c r="B21" s="15" t="s">
        <v>1</v>
      </c>
      <c r="C21" s="39">
        <v>1</v>
      </c>
      <c r="D21" s="8">
        <f>C4</f>
        <v>1418.1320150508591</v>
      </c>
      <c r="E21" s="16"/>
      <c r="F21" s="16">
        <f>$T$52+C21*$T$53</f>
        <v>65919.716780432253</v>
      </c>
      <c r="G21" s="17">
        <f>D21/F21</f>
        <v>2.151301741441675E-2</v>
      </c>
      <c r="H21" s="18">
        <f>($T$52+C21*$T$53)*$T$58</f>
        <v>40210.582482740851</v>
      </c>
      <c r="I21" s="19"/>
      <c r="J21" s="18">
        <f>H21-D21</f>
        <v>38792.450467689989</v>
      </c>
      <c r="K21" s="18">
        <f>ABS(J21)</f>
        <v>38792.450467689989</v>
      </c>
      <c r="L21" s="18">
        <f>SUM($J$21:J21)</f>
        <v>38792.450467689989</v>
      </c>
      <c r="M21" s="18">
        <f>SUMSQ($J$21:J21)/C21</f>
        <v>1504854213.2881813</v>
      </c>
      <c r="N21" s="18">
        <f>SUM($K$21:K21)/C21</f>
        <v>38792.450467689989</v>
      </c>
      <c r="O21" s="18">
        <f>K21/D21*100</f>
        <v>2735.4611598905872</v>
      </c>
      <c r="P21" s="18">
        <f>AVERAGE($O$21:O21)</f>
        <v>2735.4611598905872</v>
      </c>
      <c r="Q21" s="20">
        <f>SUM($J$21:J21)/N21</f>
        <v>1</v>
      </c>
    </row>
    <row r="22" spans="1:17" x14ac:dyDescent="0.2">
      <c r="A22" s="15"/>
      <c r="B22" s="15" t="s">
        <v>2</v>
      </c>
      <c r="C22" s="39">
        <v>2</v>
      </c>
      <c r="D22" s="8">
        <f t="shared" ref="D22:D32" si="0">C5</f>
        <v>4538.0224481627492</v>
      </c>
      <c r="E22" s="16"/>
      <c r="F22" s="16">
        <f>$T$52+C22*$T$53</f>
        <v>84073.698506601926</v>
      </c>
      <c r="G22" s="17">
        <f t="shared" ref="G22:G80" si="1">D22/F22</f>
        <v>5.3976719577840372E-2</v>
      </c>
      <c r="H22" s="18">
        <f>($T$52+C22*$T$53)*$T$59</f>
        <v>50913.073676567372</v>
      </c>
      <c r="I22" s="19"/>
      <c r="J22" s="18">
        <f t="shared" ref="J22:J80" si="2">H22-D22</f>
        <v>46375.05122840462</v>
      </c>
      <c r="K22" s="18">
        <f t="shared" ref="K22:K80" si="3">ABS(J22)</f>
        <v>46375.05122840462</v>
      </c>
      <c r="L22" s="18">
        <f>SUM($J$21:J22)</f>
        <v>85167.501696094609</v>
      </c>
      <c r="M22" s="18">
        <f>SUMSQ($J$21:J22)/C22</f>
        <v>1827749794.8626671</v>
      </c>
      <c r="N22" s="18">
        <f>SUM($K$21:K22)/C22</f>
        <v>42583.750848047304</v>
      </c>
      <c r="O22" s="18">
        <f t="shared" ref="O22:O80" si="4">K22/D22*100</f>
        <v>1021.9220322980088</v>
      </c>
      <c r="P22" s="18">
        <f>AVERAGE($O$21:O22)</f>
        <v>1878.6915960942979</v>
      </c>
      <c r="Q22" s="20">
        <f>SUM($J$21:J22)/N22</f>
        <v>2</v>
      </c>
    </row>
    <row r="23" spans="1:17" x14ac:dyDescent="0.2">
      <c r="A23" s="15"/>
      <c r="B23" s="15" t="s">
        <v>3</v>
      </c>
      <c r="C23" s="39">
        <v>3</v>
      </c>
      <c r="D23" s="8">
        <f t="shared" si="0"/>
        <v>5530.7148586983503</v>
      </c>
      <c r="E23" s="16"/>
      <c r="F23" s="16">
        <f t="shared" ref="F23:F80" si="5">$T$52+C23*$T$53</f>
        <v>102227.6802327716</v>
      </c>
      <c r="G23" s="17">
        <f t="shared" si="1"/>
        <v>5.4101930574037845E-2</v>
      </c>
      <c r="H23" s="18">
        <f>($T$52+C23*$T$53)*$T$60</f>
        <v>62453.311605598377</v>
      </c>
      <c r="I23" s="19"/>
      <c r="J23" s="18">
        <f t="shared" si="2"/>
        <v>56922.596746900024</v>
      </c>
      <c r="K23" s="18">
        <f t="shared" si="3"/>
        <v>56922.596746900024</v>
      </c>
      <c r="L23" s="18">
        <f>SUM($J$21:J23)</f>
        <v>142090.09844299464</v>
      </c>
      <c r="M23" s="18">
        <f>SUMSQ($J$21:J23)/C23</f>
        <v>2298560536.7118425</v>
      </c>
      <c r="N23" s="18">
        <f>SUM($K$21:K23)/C23</f>
        <v>47363.366147664878</v>
      </c>
      <c r="O23" s="18">
        <f t="shared" si="4"/>
        <v>1029.2086683401485</v>
      </c>
      <c r="P23" s="18">
        <f>AVERAGE($O$21:O23)</f>
        <v>1595.530620176248</v>
      </c>
      <c r="Q23" s="20">
        <f>SUM($J$21:J23)/N23</f>
        <v>3</v>
      </c>
    </row>
    <row r="24" spans="1:17" x14ac:dyDescent="0.2">
      <c r="A24" s="15"/>
      <c r="B24" s="15" t="s">
        <v>4</v>
      </c>
      <c r="C24" s="39">
        <v>4</v>
      </c>
      <c r="D24" s="8">
        <f t="shared" si="0"/>
        <v>5956.1544632136083</v>
      </c>
      <c r="E24" s="16">
        <f t="shared" ref="E24:E30" si="6">(D21+D27+2*SUM(D22:D26))/(2*6)</f>
        <v>5637.0747598271655</v>
      </c>
      <c r="F24" s="16">
        <f>$T$52+C24*$T$53</f>
        <v>120381.66195894127</v>
      </c>
      <c r="G24" s="17">
        <f t="shared" si="1"/>
        <v>4.9477257302238287E-2</v>
      </c>
      <c r="H24" s="18">
        <f>($T$52+C24*$T$53)*$T$61</f>
        <v>74421.129729587774</v>
      </c>
      <c r="I24" s="19"/>
      <c r="J24" s="18">
        <f t="shared" si="2"/>
        <v>68464.975266374167</v>
      </c>
      <c r="K24" s="18">
        <f t="shared" si="3"/>
        <v>68464.975266374167</v>
      </c>
      <c r="L24" s="18">
        <f>SUM($J$21:J24)</f>
        <v>210555.07370936882</v>
      </c>
      <c r="M24" s="18">
        <f>SUMSQ($J$21:J24)/C24</f>
        <v>2895783612.0901885</v>
      </c>
      <c r="N24" s="18">
        <f>SUM($K$21:K24)/C24</f>
        <v>52638.768427342206</v>
      </c>
      <c r="O24" s="18">
        <f t="shared" si="4"/>
        <v>1149.4828700166768</v>
      </c>
      <c r="P24" s="18">
        <f>AVERAGE($O$21:O24)</f>
        <v>1484.0186826363552</v>
      </c>
      <c r="Q24" s="20">
        <f>SUM($J$21:J24)/N24</f>
        <v>4</v>
      </c>
    </row>
    <row r="25" spans="1:17" x14ac:dyDescent="0.2">
      <c r="A25" s="15"/>
      <c r="B25" s="15" t="s">
        <v>5</v>
      </c>
      <c r="C25" s="39">
        <v>5</v>
      </c>
      <c r="D25" s="8">
        <f t="shared" si="0"/>
        <v>6381.5940677288663</v>
      </c>
      <c r="E25" s="16">
        <f>(D22+D28+2*SUM(D23:D27))/(2*6)</f>
        <v>6434.774018293273</v>
      </c>
      <c r="F25" s="16">
        <f t="shared" si="5"/>
        <v>138535.64368511096</v>
      </c>
      <c r="G25" s="17">
        <f t="shared" si="1"/>
        <v>4.606463649336423E-2</v>
      </c>
      <c r="H25" s="18">
        <f>($T$52+C25*$T$53)*$T$62</f>
        <v>88230.186214151705</v>
      </c>
      <c r="I25" s="19"/>
      <c r="J25" s="18">
        <f t="shared" si="2"/>
        <v>81848.592146422845</v>
      </c>
      <c r="K25" s="18">
        <f t="shared" si="3"/>
        <v>81848.592146422845</v>
      </c>
      <c r="L25" s="18">
        <f>SUM($J$21:J25)</f>
        <v>292403.66585579165</v>
      </c>
      <c r="M25" s="18">
        <f>SUMSQ($J$21:J25)/C25</f>
        <v>3656465296.9424453</v>
      </c>
      <c r="N25" s="18">
        <f>SUM($K$21:K25)/C25</f>
        <v>58480.733171158332</v>
      </c>
      <c r="O25" s="18">
        <f t="shared" si="4"/>
        <v>1282.5728380362461</v>
      </c>
      <c r="P25" s="18">
        <f>AVERAGE($O$21:O25)</f>
        <v>1443.7295137163333</v>
      </c>
      <c r="Q25" s="20">
        <f>SUM($J$21:J25)/N25</f>
        <v>5</v>
      </c>
    </row>
    <row r="26" spans="1:17" x14ac:dyDescent="0.2">
      <c r="A26" s="15"/>
      <c r="B26" s="15" t="s">
        <v>6</v>
      </c>
      <c r="C26" s="39">
        <v>6</v>
      </c>
      <c r="D26" s="8">
        <f t="shared" si="0"/>
        <v>6948.8468737492094</v>
      </c>
      <c r="E26" s="16">
        <f t="shared" si="6"/>
        <v>6996.117940917572</v>
      </c>
      <c r="F26" s="16">
        <f t="shared" si="5"/>
        <v>156689.62541128061</v>
      </c>
      <c r="G26" s="17">
        <f t="shared" si="1"/>
        <v>4.4347842784803408E-2</v>
      </c>
      <c r="H26" s="18">
        <f>($T$52+C26*$T$53)*$T$63</f>
        <v>95324.560313820926</v>
      </c>
      <c r="I26" s="19"/>
      <c r="J26" s="18">
        <f t="shared" si="2"/>
        <v>88375.713440071719</v>
      </c>
      <c r="K26" s="18">
        <f t="shared" si="3"/>
        <v>88375.713440071719</v>
      </c>
      <c r="L26" s="18">
        <f>SUM($J$21:J26)</f>
        <v>380779.37929586339</v>
      </c>
      <c r="M26" s="18">
        <f>SUMSQ($J$21:J26)/C26</f>
        <v>4348765535.1256495</v>
      </c>
      <c r="N26" s="18">
        <f>SUM($K$21:K26)/C26</f>
        <v>63463.2298826439</v>
      </c>
      <c r="O26" s="18">
        <f t="shared" si="4"/>
        <v>1271.8040136116731</v>
      </c>
      <c r="P26" s="18">
        <f>AVERAGE($O$21:O26)</f>
        <v>1415.07526369889</v>
      </c>
      <c r="Q26" s="20">
        <f>SUM($J$21:J26)/N26</f>
        <v>6</v>
      </c>
    </row>
    <row r="27" spans="1:17" x14ac:dyDescent="0.2">
      <c r="A27" s="15"/>
      <c r="B27" s="15" t="s">
        <v>7</v>
      </c>
      <c r="C27" s="39">
        <v>7</v>
      </c>
      <c r="D27" s="8">
        <f t="shared" si="0"/>
        <v>7516.0996797695534</v>
      </c>
      <c r="E27" s="16">
        <f t="shared" si="6"/>
        <v>7563.3707469379151</v>
      </c>
      <c r="F27" s="16">
        <f t="shared" si="5"/>
        <v>174843.60713745031</v>
      </c>
      <c r="G27" s="17">
        <f t="shared" si="1"/>
        <v>4.2987557868563647E-2</v>
      </c>
      <c r="H27" s="18">
        <f>($T$52+C27*$T$53)*$T$64</f>
        <v>107888.41580991262</v>
      </c>
      <c r="I27" s="19"/>
      <c r="J27" s="18">
        <f t="shared" si="2"/>
        <v>100372.31613014307</v>
      </c>
      <c r="K27" s="18">
        <f t="shared" si="3"/>
        <v>100372.31613014307</v>
      </c>
      <c r="L27" s="18">
        <f>SUM($J$21:J27)</f>
        <v>481151.69542600645</v>
      </c>
      <c r="M27" s="18">
        <f>SUMSQ($J$21:J27)/C27</f>
        <v>5166742150.8690395</v>
      </c>
      <c r="N27" s="18">
        <f>SUM($K$21:K27)/C27</f>
        <v>68735.956489429489</v>
      </c>
      <c r="O27" s="18">
        <f t="shared" si="4"/>
        <v>1335.4308804645939</v>
      </c>
      <c r="P27" s="18">
        <f>AVERAGE($O$21:O27)</f>
        <v>1403.6974946654191</v>
      </c>
      <c r="Q27" s="20">
        <f>SUM($J$21:J27)/N27</f>
        <v>7</v>
      </c>
    </row>
    <row r="28" spans="1:17" x14ac:dyDescent="0.2">
      <c r="A28" s="15"/>
      <c r="B28" s="15" t="s">
        <v>8</v>
      </c>
      <c r="C28" s="39">
        <v>8</v>
      </c>
      <c r="D28" s="8">
        <f t="shared" si="0"/>
        <v>8012.445885037353</v>
      </c>
      <c r="E28" s="16">
        <f t="shared" si="6"/>
        <v>8166.0768533345299</v>
      </c>
      <c r="F28" s="16">
        <f t="shared" si="5"/>
        <v>192997.58886361995</v>
      </c>
      <c r="G28" s="17">
        <f t="shared" si="1"/>
        <v>4.1515782306996991E-2</v>
      </c>
      <c r="H28" s="18">
        <f>($T$52+C28*$T$53)*$T$65</f>
        <v>118952.43697932377</v>
      </c>
      <c r="I28" s="19"/>
      <c r="J28" s="18">
        <f t="shared" si="2"/>
        <v>110939.99109428642</v>
      </c>
      <c r="K28" s="18">
        <f t="shared" si="3"/>
        <v>110939.99109428642</v>
      </c>
      <c r="L28" s="18">
        <f>SUM($J$21:J28)</f>
        <v>592091.68652029289</v>
      </c>
      <c r="M28" s="18">
        <f>SUMSQ($J$21:J28)/C28</f>
        <v>6059359585.0104532</v>
      </c>
      <c r="N28" s="18">
        <f>SUM($K$21:K28)/C28</f>
        <v>74011.460815036611</v>
      </c>
      <c r="O28" s="18">
        <f t="shared" si="4"/>
        <v>1384.5958236230788</v>
      </c>
      <c r="P28" s="18">
        <f>AVERAGE($O$21:O28)</f>
        <v>1401.3097857851265</v>
      </c>
      <c r="Q28" s="20">
        <f>SUM($J$21:J28)/N28</f>
        <v>8</v>
      </c>
    </row>
    <row r="29" spans="1:17" x14ac:dyDescent="0.2">
      <c r="A29" s="15"/>
      <c r="B29" s="15" t="s">
        <v>9</v>
      </c>
      <c r="C29" s="39">
        <v>9</v>
      </c>
      <c r="D29" s="8">
        <f t="shared" si="0"/>
        <v>8792.4184933153265</v>
      </c>
      <c r="E29" s="16">
        <f t="shared" si="6"/>
        <v>8745.1474261469648</v>
      </c>
      <c r="F29" s="16">
        <f t="shared" si="5"/>
        <v>211151.57058978966</v>
      </c>
      <c r="G29" s="17">
        <f t="shared" si="1"/>
        <v>4.1640317752580758E-2</v>
      </c>
      <c r="H29" s="18">
        <f>($T$52+C29*$T$53)*$T$66</f>
        <v>123895.39733058414</v>
      </c>
      <c r="I29" s="19"/>
      <c r="J29" s="18">
        <f t="shared" si="2"/>
        <v>115102.97883726881</v>
      </c>
      <c r="K29" s="18">
        <f t="shared" si="3"/>
        <v>115102.97883726881</v>
      </c>
      <c r="L29" s="18">
        <f>SUM($J$21:J29)</f>
        <v>707194.66535756167</v>
      </c>
      <c r="M29" s="18">
        <f>SUMSQ($J$21:J29)/C29</f>
        <v>6858174713.0329313</v>
      </c>
      <c r="N29" s="18">
        <f>SUM($K$21:K29)/C29</f>
        <v>78577.185039729069</v>
      </c>
      <c r="O29" s="18">
        <f t="shared" si="4"/>
        <v>1309.1162451466448</v>
      </c>
      <c r="P29" s="18">
        <f>AVERAGE($O$21:O29)</f>
        <v>1391.0660590475172</v>
      </c>
      <c r="Q29" s="20">
        <f>SUM($J$21:J29)/N29</f>
        <v>9</v>
      </c>
    </row>
    <row r="30" spans="1:17" x14ac:dyDescent="0.2">
      <c r="A30" s="15"/>
      <c r="B30" s="15" t="s">
        <v>10</v>
      </c>
      <c r="C30" s="39">
        <v>10</v>
      </c>
      <c r="D30" s="8">
        <f t="shared" si="0"/>
        <v>9501.4845008407556</v>
      </c>
      <c r="E30" s="16">
        <f t="shared" si="6"/>
        <v>9253.3113982068553</v>
      </c>
      <c r="F30" s="16">
        <f>$T$52+C30*$T$53</f>
        <v>229305.5523159593</v>
      </c>
      <c r="G30" s="17">
        <f t="shared" si="1"/>
        <v>4.1435911188703767E-2</v>
      </c>
      <c r="H30" s="18">
        <f>($T$52+C30*$T$53)*$T$67</f>
        <v>130683.82212841892</v>
      </c>
      <c r="I30" s="19"/>
      <c r="J30" s="18">
        <f t="shared" si="2"/>
        <v>121182.33762757816</v>
      </c>
      <c r="K30" s="18">
        <f t="shared" si="3"/>
        <v>121182.33762757816</v>
      </c>
      <c r="L30" s="18">
        <f>SUM($J$21:J30)</f>
        <v>828377.00298513984</v>
      </c>
      <c r="M30" s="18">
        <f>SUMSQ($J$21:J30)/C30</f>
        <v>7640873137.0180721</v>
      </c>
      <c r="N30" s="18">
        <f>SUM($K$21:K30)/C30</f>
        <v>82837.700298513984</v>
      </c>
      <c r="O30" s="18">
        <f t="shared" si="4"/>
        <v>1275.4042551651285</v>
      </c>
      <c r="P30" s="18">
        <f>AVERAGE($O$21:O30)</f>
        <v>1379.4998786592785</v>
      </c>
      <c r="Q30" s="20">
        <f>SUM($J$21:J30)/N30</f>
        <v>10</v>
      </c>
    </row>
    <row r="31" spans="1:17" x14ac:dyDescent="0.2">
      <c r="A31" s="15"/>
      <c r="B31" s="15" t="s">
        <v>11</v>
      </c>
      <c r="C31" s="39">
        <v>11</v>
      </c>
      <c r="D31" s="8">
        <f t="shared" si="0"/>
        <v>10068.7373068611</v>
      </c>
      <c r="E31" s="16">
        <f>(D28+D34+2*SUM(D29:D33))/(2*6)</f>
        <v>9672.8421193260674</v>
      </c>
      <c r="F31" s="16">
        <f t="shared" si="5"/>
        <v>247459.534042129</v>
      </c>
      <c r="G31" s="17">
        <f t="shared" si="1"/>
        <v>4.0688419404955871E-2</v>
      </c>
      <c r="H31" s="18">
        <f>($T$52+C31*$T$53)*$T$68</f>
        <v>135073.17964001579</v>
      </c>
      <c r="I31" s="19"/>
      <c r="J31" s="18">
        <f t="shared" si="2"/>
        <v>125004.44233315469</v>
      </c>
      <c r="K31" s="18">
        <f t="shared" si="3"/>
        <v>125004.44233315469</v>
      </c>
      <c r="L31" s="18">
        <f>SUM($J$21:J31)</f>
        <v>953381.44531829457</v>
      </c>
      <c r="M31" s="18">
        <f>SUMSQ($J$21:J31)/C31</f>
        <v>8366803815.7457924</v>
      </c>
      <c r="N31" s="18">
        <f>SUM($K$21:K31)/C31</f>
        <v>86671.040483481323</v>
      </c>
      <c r="O31" s="18">
        <f t="shared" si="4"/>
        <v>1241.5106137288278</v>
      </c>
      <c r="P31" s="18">
        <f>AVERAGE($O$21:O31)</f>
        <v>1366.9554000292376</v>
      </c>
      <c r="Q31" s="20">
        <f>SUM($J$21:J31)/N31</f>
        <v>11</v>
      </c>
    </row>
    <row r="32" spans="1:17" x14ac:dyDescent="0.2">
      <c r="A32" s="15"/>
      <c r="B32" s="15" t="s">
        <v>12</v>
      </c>
      <c r="C32" s="39">
        <v>12</v>
      </c>
      <c r="D32" s="8">
        <f t="shared" si="0"/>
        <v>10210.550508366186</v>
      </c>
      <c r="E32" s="16">
        <f t="shared" ref="E32:E38" si="7">(D29+D35+2*SUM(D30:D34))/(2*6)</f>
        <v>9986.0129393164661</v>
      </c>
      <c r="F32" s="16">
        <f t="shared" si="5"/>
        <v>265613.51576829865</v>
      </c>
      <c r="G32" s="17">
        <f t="shared" si="1"/>
        <v>3.8441381564607982E-2</v>
      </c>
      <c r="H32" s="18">
        <f>($T$52+C32*$T$53)*$T$69</f>
        <v>144368.17931778653</v>
      </c>
      <c r="I32" s="19"/>
      <c r="J32" s="18">
        <f t="shared" si="2"/>
        <v>134157.62880942033</v>
      </c>
      <c r="K32" s="18">
        <f t="shared" si="3"/>
        <v>134157.62880942033</v>
      </c>
      <c r="L32" s="18">
        <f>SUM($J$21:J32)</f>
        <v>1087539.0741277148</v>
      </c>
      <c r="M32" s="18">
        <f>SUMSQ($J$21:J32)/C32</f>
        <v>9169425945.0808277</v>
      </c>
      <c r="N32" s="18">
        <f>SUM($K$21:K32)/C32</f>
        <v>90628.256177309566</v>
      </c>
      <c r="O32" s="18">
        <f t="shared" si="4"/>
        <v>1313.9118081781783</v>
      </c>
      <c r="P32" s="18">
        <f>AVERAGE($O$21:O32)</f>
        <v>1362.5351007083159</v>
      </c>
      <c r="Q32" s="20">
        <f>SUM($J$21:J32)/N32</f>
        <v>12</v>
      </c>
    </row>
    <row r="33" spans="1:24" x14ac:dyDescent="0.2">
      <c r="A33" s="15" t="s">
        <v>59</v>
      </c>
      <c r="B33" s="15" t="s">
        <v>1</v>
      </c>
      <c r="C33" s="39">
        <v>13</v>
      </c>
      <c r="D33" s="112">
        <f>D4</f>
        <v>10352.363709871272</v>
      </c>
      <c r="E33" s="16">
        <f t="shared" si="7"/>
        <v>10175.097207989915</v>
      </c>
      <c r="F33" s="16">
        <f t="shared" si="5"/>
        <v>283767.49749446835</v>
      </c>
      <c r="G33" s="17">
        <f>D33/F33</f>
        <v>3.6481851520268192E-2</v>
      </c>
      <c r="H33" s="18">
        <f>($T$52+C33*$T$53)*$T$58</f>
        <v>173096.2589224804</v>
      </c>
      <c r="I33" s="19"/>
      <c r="J33" s="18">
        <f t="shared" si="2"/>
        <v>162743.89521260912</v>
      </c>
      <c r="K33" s="18">
        <f t="shared" si="3"/>
        <v>162743.89521260912</v>
      </c>
      <c r="L33" s="18">
        <f>SUM($J$21:J33)</f>
        <v>1250282.9693403239</v>
      </c>
      <c r="M33" s="18">
        <f>SUMSQ($J$21:J33)/C33</f>
        <v>10501437443.84174</v>
      </c>
      <c r="N33" s="18">
        <f>SUM($K$21:K33)/C33</f>
        <v>96175.613026178762</v>
      </c>
      <c r="O33" s="18">
        <f t="shared" si="4"/>
        <v>1572.0457643642119</v>
      </c>
      <c r="P33" s="18">
        <f>AVERAGE($O$21:O33)</f>
        <v>1378.6513056049234</v>
      </c>
      <c r="Q33" s="20">
        <f>SUM($J$21:J33)/N33</f>
        <v>13</v>
      </c>
    </row>
    <row r="34" spans="1:24" x14ac:dyDescent="0.2">
      <c r="A34" s="15"/>
      <c r="B34" s="15" t="s">
        <v>2</v>
      </c>
      <c r="C34" s="39">
        <v>14</v>
      </c>
      <c r="D34" s="112">
        <f t="shared" ref="D34:D44" si="8">D5</f>
        <v>10210.550508366186</v>
      </c>
      <c r="E34" s="16">
        <f t="shared" si="7"/>
        <v>10234.186041950366</v>
      </c>
      <c r="F34" s="16">
        <f t="shared" si="5"/>
        <v>301921.47922063799</v>
      </c>
      <c r="G34" s="17">
        <f t="shared" si="1"/>
        <v>3.3818562808857089E-2</v>
      </c>
      <c r="H34" s="18">
        <f>($T$52+C34*$T$53)*$T$59</f>
        <v>182836.61583998799</v>
      </c>
      <c r="I34" s="19"/>
      <c r="J34" s="18">
        <f t="shared" si="2"/>
        <v>172626.06533162179</v>
      </c>
      <c r="K34" s="18">
        <f t="shared" si="3"/>
        <v>172626.06533162179</v>
      </c>
      <c r="L34" s="18">
        <f>SUM($J$21:J34)</f>
        <v>1422909.0346719457</v>
      </c>
      <c r="M34" s="18">
        <f>SUMSQ($J$21:J34)/C34</f>
        <v>11879888942.987141</v>
      </c>
      <c r="N34" s="18">
        <f>SUM($K$21:K34)/C34</f>
        <v>101636.35961942469</v>
      </c>
      <c r="O34" s="18">
        <f t="shared" si="4"/>
        <v>1690.6636443370778</v>
      </c>
      <c r="P34" s="18">
        <f>AVERAGE($O$21:O34)</f>
        <v>1400.9379012286486</v>
      </c>
      <c r="Q34" s="20">
        <f>SUM($J$21:J34)/N34</f>
        <v>14</v>
      </c>
    </row>
    <row r="35" spans="1:24" x14ac:dyDescent="0.2">
      <c r="A35" s="15"/>
      <c r="B35" s="15" t="s">
        <v>3</v>
      </c>
      <c r="C35" s="39">
        <v>15</v>
      </c>
      <c r="D35" s="112">
        <f t="shared" si="8"/>
        <v>10352.363709871272</v>
      </c>
      <c r="E35" s="16">
        <f t="shared" si="7"/>
        <v>10246.003808742456</v>
      </c>
      <c r="F35" s="16">
        <f t="shared" si="5"/>
        <v>320075.46094680764</v>
      </c>
      <c r="G35" s="17">
        <f t="shared" si="1"/>
        <v>3.2343509493818083E-2</v>
      </c>
      <c r="H35" s="18">
        <f>($T$52+C35*$T$53)*$T$60</f>
        <v>195541.68161010757</v>
      </c>
      <c r="I35" s="19"/>
      <c r="J35" s="18">
        <f t="shared" si="2"/>
        <v>185189.31790023629</v>
      </c>
      <c r="K35" s="18">
        <f t="shared" si="3"/>
        <v>185189.31790023629</v>
      </c>
      <c r="L35" s="18">
        <f>SUM($J$21:J35)</f>
        <v>1608098.352572182</v>
      </c>
      <c r="M35" s="18">
        <f>SUMSQ($J$21:J35)/C35</f>
        <v>13374235244.41165</v>
      </c>
      <c r="N35" s="18">
        <f>SUM($K$21:K35)/C35</f>
        <v>107206.55683814547</v>
      </c>
      <c r="O35" s="18">
        <f t="shared" si="4"/>
        <v>1788.8602360797374</v>
      </c>
      <c r="P35" s="18">
        <f>AVERAGE($O$21:O35)</f>
        <v>1426.7993902187213</v>
      </c>
      <c r="Q35" s="20">
        <f>SUM($J$21:J35)/N35</f>
        <v>15</v>
      </c>
    </row>
    <row r="36" spans="1:24" x14ac:dyDescent="0.2">
      <c r="A36" s="15"/>
      <c r="B36" s="15" t="s">
        <v>4</v>
      </c>
      <c r="C36" s="39">
        <v>16</v>
      </c>
      <c r="D36" s="112">
        <f t="shared" si="8"/>
        <v>10210.550508366186</v>
      </c>
      <c r="E36" s="16">
        <f t="shared" si="7"/>
        <v>10305.09264270291</v>
      </c>
      <c r="F36" s="16">
        <f t="shared" si="5"/>
        <v>338229.44267297734</v>
      </c>
      <c r="G36" s="17">
        <f t="shared" si="1"/>
        <v>3.0188236800657312E-2</v>
      </c>
      <c r="H36" s="18">
        <f>($T$52+C36*$T$53)*$T$61</f>
        <v>209096.77455788129</v>
      </c>
      <c r="I36" s="19"/>
      <c r="J36" s="18">
        <f t="shared" si="2"/>
        <v>198886.22404951509</v>
      </c>
      <c r="K36" s="18">
        <f t="shared" si="3"/>
        <v>198886.22404951509</v>
      </c>
      <c r="L36" s="18">
        <f>SUM($J$21:J36)</f>
        <v>1806984.5766216971</v>
      </c>
      <c r="M36" s="18">
        <f>SUMSQ($J$21:J36)/C36</f>
        <v>15010578673.928041</v>
      </c>
      <c r="N36" s="18">
        <f>SUM($K$21:K36)/C36</f>
        <v>112936.53603885607</v>
      </c>
      <c r="O36" s="18">
        <f t="shared" si="4"/>
        <v>1947.8501564294143</v>
      </c>
      <c r="P36" s="18">
        <f>AVERAGE($O$21:O36)</f>
        <v>1459.3650631068895</v>
      </c>
      <c r="Q36" s="20">
        <f>SUM($J$21:J36)/N36</f>
        <v>16</v>
      </c>
    </row>
    <row r="37" spans="1:24" ht="13.5" thickBot="1" x14ac:dyDescent="0.25">
      <c r="A37" s="15"/>
      <c r="B37" s="15" t="s">
        <v>5</v>
      </c>
      <c r="C37" s="39">
        <v>17</v>
      </c>
      <c r="D37" s="112">
        <f t="shared" si="8"/>
        <v>10068.7373068611</v>
      </c>
      <c r="E37" s="16">
        <f t="shared" si="7"/>
        <v>10435.088077415905</v>
      </c>
      <c r="F37" s="16">
        <f t="shared" si="5"/>
        <v>356383.42439914704</v>
      </c>
      <c r="G37" s="17">
        <f t="shared" si="1"/>
        <v>2.8252540992434544E-2</v>
      </c>
      <c r="H37" s="18">
        <f>($T$52+C37*$T$53)*$T$62</f>
        <v>226972.46038604289</v>
      </c>
      <c r="I37" s="19"/>
      <c r="J37" s="18">
        <f t="shared" si="2"/>
        <v>216903.7230791818</v>
      </c>
      <c r="K37" s="18">
        <f t="shared" si="3"/>
        <v>216903.7230791818</v>
      </c>
      <c r="L37" s="18">
        <f>SUM($J$21:J37)</f>
        <v>2023888.2997008788</v>
      </c>
      <c r="M37" s="18">
        <f>SUMSQ($J$21:J37)/C37</f>
        <v>16895087286.379944</v>
      </c>
      <c r="N37" s="18">
        <f>SUM($K$21:K37)/C37</f>
        <v>119052.25292358111</v>
      </c>
      <c r="O37" s="18">
        <f t="shared" si="4"/>
        <v>2154.2296364349277</v>
      </c>
      <c r="P37" s="18">
        <f>AVERAGE($O$21:O37)</f>
        <v>1500.2394497732446</v>
      </c>
      <c r="Q37" s="20">
        <f>SUM($J$21:J37)/N37</f>
        <v>17</v>
      </c>
    </row>
    <row r="38" spans="1:24" x14ac:dyDescent="0.2">
      <c r="A38" s="15"/>
      <c r="B38" s="15" t="s">
        <v>6</v>
      </c>
      <c r="C38" s="39">
        <v>18</v>
      </c>
      <c r="D38" s="112">
        <f t="shared" si="8"/>
        <v>10352.363709871272</v>
      </c>
      <c r="E38" s="16">
        <f t="shared" si="7"/>
        <v>10612.354579297264</v>
      </c>
      <c r="F38" s="16">
        <f t="shared" si="5"/>
        <v>374537.40612531669</v>
      </c>
      <c r="G38" s="17">
        <f t="shared" si="1"/>
        <v>2.7640399972245946E-2</v>
      </c>
      <c r="H38" s="18">
        <f>($T$52+C38*$T$53)*$T$63</f>
        <v>227855.63157906715</v>
      </c>
      <c r="I38" s="19"/>
      <c r="J38" s="18">
        <f t="shared" si="2"/>
        <v>217503.26786919587</v>
      </c>
      <c r="K38" s="18">
        <f t="shared" si="3"/>
        <v>217503.26786919587</v>
      </c>
      <c r="L38" s="18">
        <f>SUM($J$21:J38)</f>
        <v>2241391.5675700745</v>
      </c>
      <c r="M38" s="18">
        <f>SUMSQ($J$21:J38)/C38</f>
        <v>18584675300.124344</v>
      </c>
      <c r="N38" s="18">
        <f>SUM($K$21:K38)/C38</f>
        <v>124521.75375389302</v>
      </c>
      <c r="O38" s="18">
        <f t="shared" si="4"/>
        <v>2101.0010270582006</v>
      </c>
      <c r="P38" s="18">
        <f>AVERAGE($O$21:O38)</f>
        <v>1533.6150929557423</v>
      </c>
      <c r="Q38" s="20">
        <f>SUM($J$21:J38)/N38</f>
        <v>18</v>
      </c>
      <c r="S38" s="303" t="s">
        <v>651</v>
      </c>
      <c r="T38" s="303"/>
    </row>
    <row r="39" spans="1:24" x14ac:dyDescent="0.2">
      <c r="A39" s="15"/>
      <c r="B39" s="15" t="s">
        <v>7</v>
      </c>
      <c r="C39" s="39">
        <v>19</v>
      </c>
      <c r="D39" s="112">
        <f t="shared" si="8"/>
        <v>10919.616515891616</v>
      </c>
      <c r="E39" s="16">
        <f t="shared" ref="E39:E74" si="9">(D33+D45+2*SUM(D34:D44))/(2*12)</f>
        <v>10907.798749099524</v>
      </c>
      <c r="F39" s="16">
        <f t="shared" si="5"/>
        <v>392691.38785148633</v>
      </c>
      <c r="G39" s="17">
        <f t="shared" si="1"/>
        <v>2.7807119925994793E-2</v>
      </c>
      <c r="H39" s="18">
        <f>($T$52+C39*$T$53)*$T$64</f>
        <v>242312.8442104655</v>
      </c>
      <c r="I39" s="19"/>
      <c r="J39" s="18">
        <f t="shared" si="2"/>
        <v>231393.22769457387</v>
      </c>
      <c r="K39" s="18">
        <f t="shared" si="3"/>
        <v>231393.22769457387</v>
      </c>
      <c r="L39" s="18">
        <f>SUM($J$21:J39)</f>
        <v>2472784.7952646483</v>
      </c>
      <c r="M39" s="18">
        <f>SUMSQ($J$21:J39)/C39</f>
        <v>20424577959.218479</v>
      </c>
      <c r="N39" s="18">
        <f>SUM($K$21:K39)/C39</f>
        <v>130146.56817182359</v>
      </c>
      <c r="O39" s="18">
        <f t="shared" si="4"/>
        <v>2119.0600178845202</v>
      </c>
      <c r="P39" s="18">
        <f>AVERAGE($O$21:O39)</f>
        <v>1564.4279837414674</v>
      </c>
      <c r="Q39" s="20">
        <f>SUM($J$21:J39)/N39</f>
        <v>19</v>
      </c>
      <c r="S39" s="52" t="s">
        <v>652</v>
      </c>
      <c r="T39" s="52">
        <v>0.98936815761433405</v>
      </c>
    </row>
    <row r="40" spans="1:24" x14ac:dyDescent="0.2">
      <c r="A40" s="15"/>
      <c r="B40" s="15" t="s">
        <v>8</v>
      </c>
      <c r="C40" s="39">
        <v>20</v>
      </c>
      <c r="D40" s="112">
        <f t="shared" si="8"/>
        <v>11203.242918901788</v>
      </c>
      <c r="E40" s="16">
        <f t="shared" si="9"/>
        <v>10966.887583059977</v>
      </c>
      <c r="F40" s="16">
        <f>$T$52+C40*$T$53</f>
        <v>410845.36957765603</v>
      </c>
      <c r="G40" s="17">
        <f t="shared" si="1"/>
        <v>2.7268757903779185E-2</v>
      </c>
      <c r="H40" s="18">
        <f>($T$52+C40*$T$53)*$T$65</f>
        <v>253221.08022534632</v>
      </c>
      <c r="I40" s="19"/>
      <c r="J40" s="18">
        <f t="shared" si="2"/>
        <v>242017.83730644453</v>
      </c>
      <c r="K40" s="18">
        <f t="shared" si="3"/>
        <v>242017.83730644453</v>
      </c>
      <c r="L40" s="18">
        <f>SUM($J$21:J40)</f>
        <v>2714802.6325710928</v>
      </c>
      <c r="M40" s="18">
        <f>SUMSQ($J$21:J40)/C40</f>
        <v>22331980739.981987</v>
      </c>
      <c r="N40" s="18">
        <f>SUM($K$21:K40)/C40</f>
        <v>135740.13162855463</v>
      </c>
      <c r="O40" s="18">
        <f t="shared" si="4"/>
        <v>2160.2480554814983</v>
      </c>
      <c r="P40" s="18">
        <f>AVERAGE($O$21:O40)</f>
        <v>1594.218987328469</v>
      </c>
      <c r="Q40" s="20">
        <f>SUM($J$21:J40)/N40</f>
        <v>20</v>
      </c>
      <c r="S40" s="52" t="s">
        <v>653</v>
      </c>
      <c r="T40" s="52">
        <v>0.97884935130118178</v>
      </c>
    </row>
    <row r="41" spans="1:24" x14ac:dyDescent="0.2">
      <c r="A41" s="15"/>
      <c r="B41" s="15" t="s">
        <v>9</v>
      </c>
      <c r="C41" s="39">
        <v>21</v>
      </c>
      <c r="D41" s="112">
        <f t="shared" si="8"/>
        <v>11486.86932191196</v>
      </c>
      <c r="E41" s="16">
        <f t="shared" si="9"/>
        <v>10990.523116644159</v>
      </c>
      <c r="F41" s="16">
        <f t="shared" si="5"/>
        <v>428999.35130382574</v>
      </c>
      <c r="G41" s="17">
        <f t="shared" si="1"/>
        <v>2.6775959653553727E-2</v>
      </c>
      <c r="H41" s="18">
        <f>($T$52+C41*$T$53)*$T$66</f>
        <v>251719.86614112585</v>
      </c>
      <c r="I41" s="19"/>
      <c r="J41" s="18">
        <f t="shared" si="2"/>
        <v>240232.99681921391</v>
      </c>
      <c r="K41" s="18">
        <f t="shared" si="3"/>
        <v>240232.99681921391</v>
      </c>
      <c r="L41" s="18">
        <f>SUM($J$21:J41)</f>
        <v>2955035.6293903068</v>
      </c>
      <c r="M41" s="18">
        <f>SUMSQ($J$21:J41)/C41</f>
        <v>24016738455.256199</v>
      </c>
      <c r="N41" s="18">
        <f>SUM($K$21:K41)/C41</f>
        <v>140715.98235191937</v>
      </c>
      <c r="O41" s="18">
        <f t="shared" si="4"/>
        <v>2091.3705038931157</v>
      </c>
      <c r="P41" s="18">
        <f>AVERAGE($O$21:O41)</f>
        <v>1617.8928690696425</v>
      </c>
      <c r="Q41" s="20">
        <f>SUM($J$21:J41)/N41</f>
        <v>21</v>
      </c>
      <c r="S41" s="52" t="s">
        <v>654</v>
      </c>
      <c r="T41" s="52">
        <v>0.97356168912647734</v>
      </c>
    </row>
    <row r="42" spans="1:24" x14ac:dyDescent="0.2">
      <c r="A42" s="15"/>
      <c r="B42" s="15" t="s">
        <v>10</v>
      </c>
      <c r="C42" s="39">
        <v>22</v>
      </c>
      <c r="D42" s="112">
        <f t="shared" si="8"/>
        <v>11912.308926427217</v>
      </c>
      <c r="E42" s="16">
        <f t="shared" si="9"/>
        <v>10990.523116644159</v>
      </c>
      <c r="F42" s="16">
        <f t="shared" si="5"/>
        <v>447153.33302999538</v>
      </c>
      <c r="G42" s="17">
        <f t="shared" si="1"/>
        <v>2.6640322337993464E-2</v>
      </c>
      <c r="H42" s="18">
        <f>($T$52+C42*$T$53)*$T$67</f>
        <v>254837.7309124344</v>
      </c>
      <c r="I42" s="19"/>
      <c r="J42" s="18">
        <f t="shared" si="2"/>
        <v>242925.42198600719</v>
      </c>
      <c r="K42" s="18">
        <f t="shared" si="3"/>
        <v>242925.42198600719</v>
      </c>
      <c r="L42" s="18">
        <f>SUM($J$21:J42)</f>
        <v>3197961.0513763139</v>
      </c>
      <c r="M42" s="18">
        <f>SUMSQ($J$21:J42)/C42</f>
        <v>25607466736.702721</v>
      </c>
      <c r="N42" s="18">
        <f>SUM($K$21:K42)/C42</f>
        <v>145361.86597165064</v>
      </c>
      <c r="O42" s="18">
        <f t="shared" si="4"/>
        <v>2039.2807430227235</v>
      </c>
      <c r="P42" s="18">
        <f>AVERAGE($O$21:O42)</f>
        <v>1637.0468633402372</v>
      </c>
      <c r="Q42" s="20">
        <f>SUM($J$21:J42)/N42</f>
        <v>22</v>
      </c>
      <c r="S42" s="52" t="s">
        <v>655</v>
      </c>
      <c r="T42" s="52">
        <v>5581.6787831205456</v>
      </c>
    </row>
    <row r="43" spans="1:24" ht="13.5" thickBot="1" x14ac:dyDescent="0.25">
      <c r="A43" s="15"/>
      <c r="B43" s="15" t="s">
        <v>11</v>
      </c>
      <c r="C43" s="39">
        <v>23</v>
      </c>
      <c r="D43" s="112">
        <f t="shared" si="8"/>
        <v>11770.495724922132</v>
      </c>
      <c r="E43" s="16">
        <f t="shared" si="9"/>
        <v>11014.158650228339</v>
      </c>
      <c r="F43" s="16">
        <f t="shared" si="5"/>
        <v>465307.31475616503</v>
      </c>
      <c r="G43" s="17">
        <f t="shared" si="1"/>
        <v>2.5296175993042843E-2</v>
      </c>
      <c r="H43" s="18">
        <f>($T$52+C43*$T$53)*$T$68</f>
        <v>253983.09568938572</v>
      </c>
      <c r="I43" s="19"/>
      <c r="J43" s="18">
        <f t="shared" si="2"/>
        <v>242212.59996446359</v>
      </c>
      <c r="K43" s="18">
        <f t="shared" si="3"/>
        <v>242212.59996446359</v>
      </c>
      <c r="L43" s="18">
        <f>SUM($J$21:J43)</f>
        <v>3440173.6513407775</v>
      </c>
      <c r="M43" s="18">
        <f>SUMSQ($J$21:J43)/C43</f>
        <v>27044835295.174137</v>
      </c>
      <c r="N43" s="18">
        <f>SUM($K$21:K43)/C43</f>
        <v>149572.76744959902</v>
      </c>
      <c r="O43" s="18">
        <f t="shared" si="4"/>
        <v>2057.7943837286084</v>
      </c>
      <c r="P43" s="18">
        <f>AVERAGE($O$21:O43)</f>
        <v>1655.3402337919056</v>
      </c>
      <c r="Q43" s="20">
        <f>SUM($J$21:J43)/N43</f>
        <v>23</v>
      </c>
      <c r="S43" s="53" t="s">
        <v>656</v>
      </c>
      <c r="T43" s="53">
        <v>6</v>
      </c>
    </row>
    <row r="44" spans="1:24" x14ac:dyDescent="0.2">
      <c r="A44" s="15"/>
      <c r="B44" s="15" t="s">
        <v>12</v>
      </c>
      <c r="C44" s="39">
        <v>24</v>
      </c>
      <c r="D44" s="112">
        <f t="shared" si="8"/>
        <v>11628.682523417045</v>
      </c>
      <c r="E44" s="16">
        <f>(D38+D50+2*SUM(D39:D49))/(2*12)</f>
        <v>11061.429717396701</v>
      </c>
      <c r="F44" s="16">
        <f t="shared" si="5"/>
        <v>483461.29648233473</v>
      </c>
      <c r="G44" s="17">
        <f t="shared" si="1"/>
        <v>2.4052975094443672E-2</v>
      </c>
      <c r="H44" s="18">
        <f>($T$52+C44*$T$53)*$T$69</f>
        <v>262774.38082125474</v>
      </c>
      <c r="I44" s="19"/>
      <c r="J44" s="18">
        <f t="shared" si="2"/>
        <v>251145.69829783769</v>
      </c>
      <c r="K44" s="18">
        <f t="shared" si="3"/>
        <v>251145.69829783769</v>
      </c>
      <c r="L44" s="18">
        <f>SUM($J$21:J44)</f>
        <v>3691319.3496386153</v>
      </c>
      <c r="M44" s="18">
        <f>SUMSQ($J$21:J44)/C44</f>
        <v>28546057231.771404</v>
      </c>
      <c r="N44" s="18">
        <f>SUM($K$21:K44)/C44</f>
        <v>153804.97290160897</v>
      </c>
      <c r="O44" s="18">
        <f t="shared" si="4"/>
        <v>2159.7089592230045</v>
      </c>
      <c r="P44" s="18">
        <f>AVERAGE($O$21:O44)</f>
        <v>1676.3555973515347</v>
      </c>
      <c r="Q44" s="20">
        <f>SUM($J$21:J44)/N44</f>
        <v>24</v>
      </c>
    </row>
    <row r="45" spans="1:24" ht="13.5" thickBot="1" x14ac:dyDescent="0.25">
      <c r="A45" s="15" t="s">
        <v>60</v>
      </c>
      <c r="B45" s="15" t="s">
        <v>1</v>
      </c>
      <c r="C45" s="39">
        <v>25</v>
      </c>
      <c r="D45" s="112">
        <f>E4</f>
        <v>11203.242918901788</v>
      </c>
      <c r="E45" s="16">
        <f t="shared" si="9"/>
        <v>11096.883017772974</v>
      </c>
      <c r="F45" s="16">
        <f t="shared" si="5"/>
        <v>501615.27820850443</v>
      </c>
      <c r="G45" s="17">
        <f t="shared" si="1"/>
        <v>2.23343335133524E-2</v>
      </c>
      <c r="H45" s="18">
        <f>($T$52+C45*$T$53)*$T$58</f>
        <v>305981.93536221993</v>
      </c>
      <c r="I45" s="19"/>
      <c r="J45" s="18">
        <f t="shared" si="2"/>
        <v>294778.69244331814</v>
      </c>
      <c r="K45" s="18">
        <f t="shared" si="3"/>
        <v>294778.69244331814</v>
      </c>
      <c r="L45" s="18">
        <f>SUM($J$21:J45)</f>
        <v>3986098.0420819335</v>
      </c>
      <c r="M45" s="18">
        <f>SUMSQ($J$21:J45)/C45</f>
        <v>30879994043.24424</v>
      </c>
      <c r="N45" s="18">
        <f>SUM($K$21:K45)/C45</f>
        <v>159443.92168327735</v>
      </c>
      <c r="O45" s="18">
        <f t="shared" si="4"/>
        <v>2631.1907594717604</v>
      </c>
      <c r="P45" s="18">
        <f>AVERAGE($O$21:O45)</f>
        <v>1714.5490038363437</v>
      </c>
      <c r="Q45" s="20">
        <f>SUM($J$21:J45)/N45</f>
        <v>24.999999999999996</v>
      </c>
      <c r="S45" t="s">
        <v>657</v>
      </c>
    </row>
    <row r="46" spans="1:24" x14ac:dyDescent="0.2">
      <c r="A46" s="15"/>
      <c r="B46" s="15" t="s">
        <v>2</v>
      </c>
      <c r="C46" s="39">
        <v>26</v>
      </c>
      <c r="D46" s="112">
        <f t="shared" ref="D46:D56" si="10">E5</f>
        <v>10777.803314386529</v>
      </c>
      <c r="E46" s="16">
        <f t="shared" si="9"/>
        <v>11120.51855135715</v>
      </c>
      <c r="F46" s="16">
        <f t="shared" si="5"/>
        <v>519769.25993467408</v>
      </c>
      <c r="G46" s="17">
        <f t="shared" si="1"/>
        <v>2.0735745926454194E-2</v>
      </c>
      <c r="H46" s="18">
        <f>($T$52+C46*$T$53)*$T$59</f>
        <v>314760.15800340858</v>
      </c>
      <c r="I46" s="19"/>
      <c r="J46" s="18">
        <f t="shared" si="2"/>
        <v>303982.35468902206</v>
      </c>
      <c r="K46" s="18">
        <f t="shared" si="3"/>
        <v>303982.35468902206</v>
      </c>
      <c r="L46" s="18">
        <f>SUM($J$21:J46)</f>
        <v>4290080.396770956</v>
      </c>
      <c r="M46" s="18">
        <f>SUMSQ($J$21:J46)/C46</f>
        <v>33246350886.284172</v>
      </c>
      <c r="N46" s="18">
        <f>SUM($K$21:K46)/C46</f>
        <v>165003.09218349832</v>
      </c>
      <c r="O46" s="18">
        <f t="shared" si="4"/>
        <v>2820.4481546184597</v>
      </c>
      <c r="P46" s="18">
        <f>AVERAGE($O$21:O46)</f>
        <v>1757.0835865587328</v>
      </c>
      <c r="Q46" s="20">
        <f>SUM($J$21:J46)/N46</f>
        <v>26</v>
      </c>
      <c r="S46" s="302"/>
      <c r="T46" s="302" t="s">
        <v>661</v>
      </c>
      <c r="U46" s="302" t="s">
        <v>662</v>
      </c>
      <c r="V46" s="302" t="s">
        <v>663</v>
      </c>
      <c r="W46" s="302" t="s">
        <v>36</v>
      </c>
      <c r="X46" s="302" t="s">
        <v>664</v>
      </c>
    </row>
    <row r="47" spans="1:24" x14ac:dyDescent="0.2">
      <c r="A47" s="15"/>
      <c r="B47" s="15" t="s">
        <v>3</v>
      </c>
      <c r="C47" s="39">
        <v>27</v>
      </c>
      <c r="D47" s="112">
        <f t="shared" si="10"/>
        <v>10352.363709871272</v>
      </c>
      <c r="E47" s="16">
        <f t="shared" si="9"/>
        <v>11144.154084941334</v>
      </c>
      <c r="F47" s="16">
        <f t="shared" si="5"/>
        <v>537923.24166084372</v>
      </c>
      <c r="G47" s="17">
        <f t="shared" si="1"/>
        <v>1.9245057487957275E-2</v>
      </c>
      <c r="H47" s="18">
        <f>($T$52+C47*$T$53)*$T$60</f>
        <v>328630.05161461682</v>
      </c>
      <c r="I47" s="19"/>
      <c r="J47" s="18">
        <f t="shared" si="2"/>
        <v>318277.68790474557</v>
      </c>
      <c r="K47" s="18">
        <f t="shared" si="3"/>
        <v>318277.68790474557</v>
      </c>
      <c r="L47" s="18">
        <f>SUM($J$21:J47)</f>
        <v>4608358.0846757013</v>
      </c>
      <c r="M47" s="18">
        <f>SUMSQ($J$21:J47)/C47</f>
        <v>35766881839.310333</v>
      </c>
      <c r="N47" s="18">
        <f>SUM($K$21:K47)/C47</f>
        <v>170679.92906206302</v>
      </c>
      <c r="O47" s="18">
        <f t="shared" si="4"/>
        <v>3074.4446082517252</v>
      </c>
      <c r="P47" s="18">
        <f>AVERAGE($O$21:O47)</f>
        <v>1805.8747355103251</v>
      </c>
      <c r="Q47" s="20">
        <f>SUM($J$21:J47)/N47</f>
        <v>27</v>
      </c>
      <c r="S47" s="52" t="s">
        <v>658</v>
      </c>
      <c r="T47" s="52">
        <v>1</v>
      </c>
      <c r="U47" s="52">
        <v>5767423418.996789</v>
      </c>
      <c r="V47" s="52">
        <v>5767423418.996789</v>
      </c>
      <c r="W47" s="52">
        <v>185.11949496014802</v>
      </c>
      <c r="X47" s="52">
        <v>1.6895321791703292E-4</v>
      </c>
    </row>
    <row r="48" spans="1:24" x14ac:dyDescent="0.2">
      <c r="A48" s="15"/>
      <c r="B48" s="15" t="s">
        <v>4</v>
      </c>
      <c r="C48" s="39">
        <v>28</v>
      </c>
      <c r="D48" s="112">
        <f t="shared" si="10"/>
        <v>10210.550508366186</v>
      </c>
      <c r="E48" s="16">
        <f t="shared" si="9"/>
        <v>11161.880735129469</v>
      </c>
      <c r="F48" s="16">
        <f t="shared" si="5"/>
        <v>556077.22338701342</v>
      </c>
      <c r="G48" s="17">
        <f t="shared" si="1"/>
        <v>1.836174919406822E-2</v>
      </c>
      <c r="H48" s="18">
        <f>($T$52+C48*$T$53)*$T$61</f>
        <v>343772.41938617482</v>
      </c>
      <c r="I48" s="19"/>
      <c r="J48" s="18">
        <f t="shared" si="2"/>
        <v>333561.86887780862</v>
      </c>
      <c r="K48" s="18">
        <f t="shared" si="3"/>
        <v>333561.86887780862</v>
      </c>
      <c r="L48" s="18">
        <f>SUM($J$21:J48)</f>
        <v>4941919.9535535099</v>
      </c>
      <c r="M48" s="18">
        <f>SUMSQ($J$21:J48)/C48</f>
        <v>38463190358.236977</v>
      </c>
      <c r="N48" s="18">
        <f>SUM($K$21:K48)/C48</f>
        <v>176497.14119833964</v>
      </c>
      <c r="O48" s="18">
        <f t="shared" si="4"/>
        <v>3266.8353053491005</v>
      </c>
      <c r="P48" s="18">
        <f>AVERAGE($O$21:O48)</f>
        <v>1858.051898718853</v>
      </c>
      <c r="Q48" s="20">
        <f>SUM($J$21:J48)/N48</f>
        <v>28</v>
      </c>
      <c r="S48" s="52" t="s">
        <v>659</v>
      </c>
      <c r="T48" s="52">
        <v>4</v>
      </c>
      <c r="U48" s="52">
        <v>124620552.1517522</v>
      </c>
      <c r="V48" s="52">
        <v>31155138.037938051</v>
      </c>
      <c r="W48" s="52"/>
      <c r="X48" s="52"/>
    </row>
    <row r="49" spans="1:27" ht="13.5" thickBot="1" x14ac:dyDescent="0.25">
      <c r="A49" s="15"/>
      <c r="B49" s="15" t="s">
        <v>5</v>
      </c>
      <c r="C49" s="39">
        <v>29</v>
      </c>
      <c r="D49" s="112">
        <f t="shared" si="10"/>
        <v>10635.990112881444</v>
      </c>
      <c r="E49" s="16">
        <f t="shared" si="9"/>
        <v>11179.607385317606</v>
      </c>
      <c r="F49" s="16">
        <f t="shared" si="5"/>
        <v>574231.20511318312</v>
      </c>
      <c r="G49" s="17">
        <f t="shared" si="1"/>
        <v>1.8522138849603357E-2</v>
      </c>
      <c r="H49" s="18">
        <f>($T$52+C49*$T$53)*$T$62</f>
        <v>365714.73455793411</v>
      </c>
      <c r="I49" s="19"/>
      <c r="J49" s="18">
        <f t="shared" si="2"/>
        <v>355078.74444505264</v>
      </c>
      <c r="K49" s="18">
        <f t="shared" si="3"/>
        <v>355078.74444505264</v>
      </c>
      <c r="L49" s="18">
        <f>SUM($J$21:J49)</f>
        <v>5296998.6979985628</v>
      </c>
      <c r="M49" s="18">
        <f>SUMSQ($J$21:J49)/C49</f>
        <v>41484491199.562424</v>
      </c>
      <c r="N49" s="18">
        <f>SUM($K$21:K49)/C49</f>
        <v>182655.12751719181</v>
      </c>
      <c r="O49" s="18">
        <f t="shared" si="4"/>
        <v>3338.4644088283821</v>
      </c>
      <c r="P49" s="18">
        <f>AVERAGE($O$21:O49)</f>
        <v>1909.100605964009</v>
      </c>
      <c r="Q49" s="20">
        <f>SUM($J$21:J49)/N49</f>
        <v>29.000000000000004</v>
      </c>
      <c r="S49" s="53" t="s">
        <v>13</v>
      </c>
      <c r="T49" s="53">
        <v>5</v>
      </c>
      <c r="U49" s="53">
        <v>5892043971.1485415</v>
      </c>
      <c r="V49" s="53"/>
      <c r="W49" s="53"/>
      <c r="X49" s="53"/>
    </row>
    <row r="50" spans="1:27" ht="13.5" thickBot="1" x14ac:dyDescent="0.25">
      <c r="A50" s="15"/>
      <c r="B50" s="15" t="s">
        <v>6</v>
      </c>
      <c r="C50" s="39">
        <v>30</v>
      </c>
      <c r="D50" s="112">
        <f t="shared" si="10"/>
        <v>10919.616515891616</v>
      </c>
      <c r="E50" s="16">
        <f t="shared" si="9"/>
        <v>11220.969569089924</v>
      </c>
      <c r="F50" s="16">
        <f t="shared" si="5"/>
        <v>592385.18683935271</v>
      </c>
      <c r="G50" s="17">
        <f t="shared" si="1"/>
        <v>1.843330447567872E-2</v>
      </c>
      <c r="H50" s="18">
        <f>($T$52+C50*$T$53)*$T$63</f>
        <v>360386.70284431335</v>
      </c>
      <c r="I50" s="19"/>
      <c r="J50" s="18">
        <f t="shared" si="2"/>
        <v>349467.08632842172</v>
      </c>
      <c r="K50" s="18">
        <f t="shared" si="3"/>
        <v>349467.08632842172</v>
      </c>
      <c r="L50" s="18">
        <f>SUM($J$21:J50)</f>
        <v>5646465.7843269845</v>
      </c>
      <c r="M50" s="18">
        <f>SUMSQ($J$21:J50)/C50</f>
        <v>44172582973.806229</v>
      </c>
      <c r="N50" s="18">
        <f>SUM($K$21:K50)/C50</f>
        <v>188215.5261442328</v>
      </c>
      <c r="O50" s="18">
        <f t="shared" si="4"/>
        <v>3200.3604322535757</v>
      </c>
      <c r="P50" s="18">
        <f>AVERAGE($O$21:O50)</f>
        <v>1952.1426001736613</v>
      </c>
      <c r="Q50" s="20">
        <f>SUM($J$21:J50)/N50</f>
        <v>30.000000000000004</v>
      </c>
    </row>
    <row r="51" spans="1:27" x14ac:dyDescent="0.2">
      <c r="A51" s="15"/>
      <c r="B51" s="15" t="s">
        <v>7</v>
      </c>
      <c r="C51" s="39">
        <v>31</v>
      </c>
      <c r="D51" s="112">
        <f t="shared" si="10"/>
        <v>11203.242918901788</v>
      </c>
      <c r="E51" s="16">
        <f t="shared" si="9"/>
        <v>11321.420586822693</v>
      </c>
      <c r="F51" s="16">
        <f t="shared" si="5"/>
        <v>610539.16856552241</v>
      </c>
      <c r="G51" s="17">
        <f t="shared" si="1"/>
        <v>1.8349752965438889E-2</v>
      </c>
      <c r="H51" s="18">
        <f>($T$52+C51*$T$53)*$T$64</f>
        <v>376737.27261101839</v>
      </c>
      <c r="I51" s="19"/>
      <c r="J51" s="18">
        <f t="shared" si="2"/>
        <v>365534.0296921166</v>
      </c>
      <c r="K51" s="18">
        <f t="shared" si="3"/>
        <v>365534.0296921166</v>
      </c>
      <c r="L51" s="18">
        <f>SUM($J$21:J51)</f>
        <v>6011999.8140191007</v>
      </c>
      <c r="M51" s="18">
        <f>SUMSQ($J$21:J51)/C51</f>
        <v>47057826325.06916</v>
      </c>
      <c r="N51" s="18">
        <f>SUM($K$21:K51)/C51</f>
        <v>193935.47787158389</v>
      </c>
      <c r="O51" s="18">
        <f t="shared" si="4"/>
        <v>3262.7519758176286</v>
      </c>
      <c r="P51" s="18">
        <f>AVERAGE($O$21:O51)</f>
        <v>1994.4203219686281</v>
      </c>
      <c r="Q51" s="20">
        <f>SUM($J$21:J51)/N51</f>
        <v>31</v>
      </c>
      <c r="S51" s="302"/>
      <c r="T51" s="302" t="s">
        <v>665</v>
      </c>
      <c r="U51" s="302" t="s">
        <v>655</v>
      </c>
      <c r="V51" s="302" t="s">
        <v>666</v>
      </c>
      <c r="W51" s="302" t="s">
        <v>667</v>
      </c>
      <c r="X51" s="302" t="s">
        <v>668</v>
      </c>
      <c r="Y51" s="302" t="s">
        <v>669</v>
      </c>
      <c r="Z51" s="302" t="s">
        <v>670</v>
      </c>
      <c r="AA51" s="302" t="s">
        <v>671</v>
      </c>
    </row>
    <row r="52" spans="1:27" x14ac:dyDescent="0.2">
      <c r="A52" s="15"/>
      <c r="B52" s="15" t="s">
        <v>8</v>
      </c>
      <c r="C52" s="39">
        <v>32</v>
      </c>
      <c r="D52" s="112">
        <f t="shared" si="10"/>
        <v>11486.86932191196</v>
      </c>
      <c r="E52" s="16">
        <f t="shared" si="9"/>
        <v>11457.324904931733</v>
      </c>
      <c r="F52" s="16">
        <f t="shared" si="5"/>
        <v>628693.15029169212</v>
      </c>
      <c r="G52" s="17">
        <f t="shared" si="1"/>
        <v>1.8271026679044372E-2</v>
      </c>
      <c r="H52" s="18">
        <f>($T$52+C52*$T$53)*$T$65</f>
        <v>387489.72347136884</v>
      </c>
      <c r="I52" s="19"/>
      <c r="J52" s="18">
        <f t="shared" si="2"/>
        <v>376002.85414945689</v>
      </c>
      <c r="K52" s="18">
        <f t="shared" si="3"/>
        <v>376002.85414945689</v>
      </c>
      <c r="L52" s="18">
        <f>SUM($J$21:J52)</f>
        <v>6388002.6681685578</v>
      </c>
      <c r="M52" s="18">
        <f>SUMSQ($J$21:J52)/C52</f>
        <v>50005336325.177559</v>
      </c>
      <c r="N52" s="18">
        <f>SUM($K$21:K52)/C52</f>
        <v>199625.08338026743</v>
      </c>
      <c r="O52" s="18">
        <f t="shared" si="4"/>
        <v>3273.3275152021333</v>
      </c>
      <c r="P52" s="18">
        <f>AVERAGE($O$21:O52)</f>
        <v>2034.3861717571749</v>
      </c>
      <c r="Q52" s="20">
        <f>SUM($J$21:J52)/N52</f>
        <v>32</v>
      </c>
      <c r="S52" s="52" t="s">
        <v>660</v>
      </c>
      <c r="T52" s="52">
        <v>47765.735054262579</v>
      </c>
      <c r="U52" s="52">
        <v>8967.1582844241293</v>
      </c>
      <c r="V52" s="52">
        <v>5.326741598531969</v>
      </c>
      <c r="W52" s="52">
        <v>5.9783573363793602E-3</v>
      </c>
      <c r="X52" s="52">
        <v>22868.912327939364</v>
      </c>
      <c r="Y52" s="52">
        <v>72662.55778058579</v>
      </c>
      <c r="Z52" s="52">
        <v>22868.912327939364</v>
      </c>
      <c r="AA52" s="52">
        <v>72662.55778058579</v>
      </c>
    </row>
    <row r="53" spans="1:27" ht="13.5" thickBot="1" x14ac:dyDescent="0.25">
      <c r="A53" s="15"/>
      <c r="B53" s="15" t="s">
        <v>9</v>
      </c>
      <c r="C53" s="39">
        <v>33</v>
      </c>
      <c r="D53" s="112">
        <f t="shared" si="10"/>
        <v>11770.495724922132</v>
      </c>
      <c r="E53" s="16">
        <f t="shared" si="9"/>
        <v>11593.229223040775</v>
      </c>
      <c r="F53" s="16">
        <f t="shared" si="5"/>
        <v>646847.13201786182</v>
      </c>
      <c r="G53" s="17">
        <f t="shared" si="1"/>
        <v>1.8196719351918075E-2</v>
      </c>
      <c r="H53" s="18">
        <f>($T$52+C53*$T$53)*$T$66</f>
        <v>379544.33495166752</v>
      </c>
      <c r="I53" s="19"/>
      <c r="J53" s="18">
        <f t="shared" si="2"/>
        <v>367773.83922674542</v>
      </c>
      <c r="K53" s="18">
        <f t="shared" si="3"/>
        <v>367773.83922674542</v>
      </c>
      <c r="L53" s="18">
        <f>SUM($J$21:J53)</f>
        <v>6755776.5073953029</v>
      </c>
      <c r="M53" s="18">
        <f>SUMSQ($J$21:J53)/C53</f>
        <v>52588738158.34127</v>
      </c>
      <c r="N53" s="18">
        <f>SUM($K$21:K53)/C53</f>
        <v>204720.50022410008</v>
      </c>
      <c r="O53" s="18">
        <f t="shared" si="4"/>
        <v>3124.5399329107563</v>
      </c>
      <c r="P53" s="18">
        <f>AVERAGE($O$21:O53)</f>
        <v>2067.4211342163744</v>
      </c>
      <c r="Q53" s="20">
        <f>SUM($J$21:J53)/N53</f>
        <v>33</v>
      </c>
      <c r="S53" s="53" t="s">
        <v>672</v>
      </c>
      <c r="T53" s="53">
        <v>18153.981726169673</v>
      </c>
      <c r="U53" s="53">
        <v>1334.2764339400919</v>
      </c>
      <c r="V53" s="53">
        <v>13.605862521727468</v>
      </c>
      <c r="W53" s="53">
        <v>1.6895321791703276E-4</v>
      </c>
      <c r="X53" s="53">
        <v>14449.436452175938</v>
      </c>
      <c r="Y53" s="53">
        <v>21858.527000163409</v>
      </c>
      <c r="Z53" s="53">
        <v>14449.436452175938</v>
      </c>
      <c r="AA53" s="53">
        <v>21858.527000163409</v>
      </c>
    </row>
    <row r="54" spans="1:27" x14ac:dyDescent="0.2">
      <c r="A54" s="15"/>
      <c r="B54" s="15" t="s">
        <v>10</v>
      </c>
      <c r="C54" s="39">
        <v>34</v>
      </c>
      <c r="D54" s="112">
        <f t="shared" si="10"/>
        <v>12054.122127932304</v>
      </c>
      <c r="E54" s="16">
        <f t="shared" si="9"/>
        <v>11746.860191337952</v>
      </c>
      <c r="F54" s="16">
        <f t="shared" si="5"/>
        <v>665001.11374403152</v>
      </c>
      <c r="G54" s="17">
        <f t="shared" si="1"/>
        <v>1.812646908223391E-2</v>
      </c>
      <c r="H54" s="18">
        <f>($T$52+C54*$T$53)*$T$67</f>
        <v>378991.63969644991</v>
      </c>
      <c r="I54" s="19"/>
      <c r="J54" s="18">
        <f t="shared" si="2"/>
        <v>366937.51756851759</v>
      </c>
      <c r="K54" s="18">
        <f t="shared" si="3"/>
        <v>366937.51756851759</v>
      </c>
      <c r="L54" s="18">
        <f>SUM($J$21:J54)</f>
        <v>7122714.0249638204</v>
      </c>
      <c r="M54" s="18">
        <f>SUMSQ($J$21:J54)/C54</f>
        <v>55002102971.312004</v>
      </c>
      <c r="N54" s="18">
        <f>SUM($K$21:K54)/C54</f>
        <v>209491.58896952413</v>
      </c>
      <c r="O54" s="18">
        <f t="shared" si="4"/>
        <v>3044.0832909618111</v>
      </c>
      <c r="P54" s="18">
        <f>AVERAGE($O$21:O54)</f>
        <v>2096.1464917677113</v>
      </c>
      <c r="Q54" s="20">
        <f>SUM($J$21:J54)/N54</f>
        <v>34</v>
      </c>
    </row>
    <row r="55" spans="1:27" x14ac:dyDescent="0.2">
      <c r="A55" s="15"/>
      <c r="B55" s="15" t="s">
        <v>11</v>
      </c>
      <c r="C55" s="39">
        <v>35</v>
      </c>
      <c r="D55" s="112">
        <f t="shared" si="10"/>
        <v>12054.122127932304</v>
      </c>
      <c r="E55" s="16">
        <f t="shared" si="9"/>
        <v>11897.536717937104</v>
      </c>
      <c r="F55" s="16">
        <f t="shared" si="5"/>
        <v>683155.09547020111</v>
      </c>
      <c r="G55" s="17">
        <f t="shared" si="1"/>
        <v>1.7644781116117867E-2</v>
      </c>
      <c r="H55" s="18">
        <f>($T$52+C55*$T$53)*$T$68</f>
        <v>372893.01173875568</v>
      </c>
      <c r="I55" s="19"/>
      <c r="J55" s="18">
        <f t="shared" si="2"/>
        <v>360838.88961082336</v>
      </c>
      <c r="K55" s="18">
        <f t="shared" si="3"/>
        <v>360838.88961082336</v>
      </c>
      <c r="L55" s="18">
        <f>SUM($J$21:J55)</f>
        <v>7483552.9145746436</v>
      </c>
      <c r="M55" s="18">
        <f>SUMSQ($J$21:J55)/C55</f>
        <v>57150748722.290863</v>
      </c>
      <c r="N55" s="18">
        <f>SUM($K$21:K55)/C55</f>
        <v>213815.79755927552</v>
      </c>
      <c r="O55" s="18">
        <f t="shared" si="4"/>
        <v>2993.4895779317912</v>
      </c>
      <c r="P55" s="18">
        <f>AVERAGE($O$21:O55)</f>
        <v>2121.7848656581132</v>
      </c>
      <c r="Q55" s="20">
        <f>SUM($J$21:J55)/N55</f>
        <v>35</v>
      </c>
      <c r="S55" s="62" t="s">
        <v>85</v>
      </c>
      <c r="T55" t="s">
        <v>88</v>
      </c>
    </row>
    <row r="56" spans="1:27" x14ac:dyDescent="0.2">
      <c r="A56" s="15"/>
      <c r="B56" s="15" t="s">
        <v>12</v>
      </c>
      <c r="C56" s="39">
        <v>36</v>
      </c>
      <c r="D56" s="112">
        <f t="shared" si="10"/>
        <v>12337.748530942474</v>
      </c>
      <c r="E56" s="16">
        <f t="shared" si="9"/>
        <v>12027.532152650097</v>
      </c>
      <c r="F56" s="16">
        <f t="shared" si="5"/>
        <v>701309.07719637081</v>
      </c>
      <c r="G56" s="17">
        <f t="shared" si="1"/>
        <v>1.7592455212850223E-2</v>
      </c>
      <c r="H56" s="18">
        <f>($T$52+C56*$T$53)*$T$69</f>
        <v>381180.5823247229</v>
      </c>
      <c r="I56" s="19"/>
      <c r="J56" s="18">
        <f t="shared" si="2"/>
        <v>368842.83379378042</v>
      </c>
      <c r="K56" s="18">
        <f t="shared" si="3"/>
        <v>368842.83379378042</v>
      </c>
      <c r="L56" s="18">
        <f>SUM($J$21:J56)</f>
        <v>7852395.7483684244</v>
      </c>
      <c r="M56" s="18">
        <f>SUMSQ($J$21:J56)/C56</f>
        <v>59342256703.366852</v>
      </c>
      <c r="N56" s="18">
        <f>SUM($K$21:K56)/C56</f>
        <v>218122.10412134512</v>
      </c>
      <c r="O56" s="18">
        <f t="shared" si="4"/>
        <v>2989.5473462499294</v>
      </c>
      <c r="P56" s="18">
        <f>AVERAGE($O$21:O56)</f>
        <v>2145.889379007886</v>
      </c>
      <c r="Q56" s="20">
        <f>SUM($J$21:J56)/N56</f>
        <v>36</v>
      </c>
    </row>
    <row r="57" spans="1:27" x14ac:dyDescent="0.2">
      <c r="A57" s="15" t="s">
        <v>61</v>
      </c>
      <c r="B57" s="15" t="s">
        <v>1</v>
      </c>
      <c r="C57" s="39">
        <v>37</v>
      </c>
      <c r="D57" s="112">
        <f>F4</f>
        <v>12905.001336962818</v>
      </c>
      <c r="E57" s="16">
        <f t="shared" si="9"/>
        <v>12142.75537887298</v>
      </c>
      <c r="F57" s="16">
        <f t="shared" si="5"/>
        <v>719463.05892254051</v>
      </c>
      <c r="G57" s="17">
        <f t="shared" si="1"/>
        <v>1.7936989504769289E-2</v>
      </c>
      <c r="H57" s="18">
        <f>($T$52+C57*$T$53)*$T$58</f>
        <v>438867.61180195952</v>
      </c>
      <c r="I57" s="19"/>
      <c r="J57" s="18">
        <f t="shared" si="2"/>
        <v>425962.61046499672</v>
      </c>
      <c r="K57" s="18">
        <f t="shared" si="3"/>
        <v>425962.61046499672</v>
      </c>
      <c r="L57" s="18">
        <f>SUM($J$21:J57)</f>
        <v>8278358.358833421</v>
      </c>
      <c r="M57" s="18">
        <f>SUMSQ($J$21:J57)/C57</f>
        <v>62642307752.30706</v>
      </c>
      <c r="N57" s="18">
        <f>SUM($K$21:K57)/C57</f>
        <v>223739.41510360598</v>
      </c>
      <c r="O57" s="18">
        <f t="shared" si="4"/>
        <v>3300.7560351423158</v>
      </c>
      <c r="P57" s="18">
        <f>AVERAGE($O$21:O57)</f>
        <v>2177.1019913358436</v>
      </c>
      <c r="Q57" s="20">
        <f>SUM($J$21:J57)/N57</f>
        <v>37</v>
      </c>
      <c r="S57" s="345" t="s">
        <v>86</v>
      </c>
      <c r="T57" s="345" t="s">
        <v>89</v>
      </c>
      <c r="U57" s="62"/>
      <c r="V57" s="62"/>
      <c r="W57" s="62"/>
      <c r="X57" s="62"/>
      <c r="Y57" s="62"/>
      <c r="Z57" s="62"/>
      <c r="AA57" s="62"/>
    </row>
    <row r="58" spans="1:27" x14ac:dyDescent="0.2">
      <c r="A58" s="15"/>
      <c r="B58" s="15" t="s">
        <v>2</v>
      </c>
      <c r="C58" s="39">
        <v>38</v>
      </c>
      <c r="D58" s="112">
        <f t="shared" ref="D58:D68" si="11">F5</f>
        <v>12337.748530942474</v>
      </c>
      <c r="E58" s="16">
        <f t="shared" si="9"/>
        <v>12260.933046793885</v>
      </c>
      <c r="F58" s="16">
        <f t="shared" si="5"/>
        <v>737617.0406487101</v>
      </c>
      <c r="G58" s="17">
        <f t="shared" si="1"/>
        <v>1.6726496069141551E-2</v>
      </c>
      <c r="H58" s="18">
        <f>($T$52+C58*$T$53)*$T$59</f>
        <v>446683.70016682916</v>
      </c>
      <c r="I58" s="19"/>
      <c r="J58" s="18">
        <f t="shared" si="2"/>
        <v>434345.95163588668</v>
      </c>
      <c r="K58" s="18">
        <f t="shared" si="3"/>
        <v>434345.95163588668</v>
      </c>
      <c r="L58" s="18">
        <f>SUM($J$21:J58)</f>
        <v>8712704.310469307</v>
      </c>
      <c r="M58" s="18">
        <f>SUMSQ($J$21:J58)/C58</f>
        <v>65958468224.680138</v>
      </c>
      <c r="N58" s="18">
        <f>SUM($K$21:K58)/C58</f>
        <v>229281.69238077124</v>
      </c>
      <c r="O58" s="18">
        <f t="shared" si="4"/>
        <v>3520.4636449394975</v>
      </c>
      <c r="P58" s="18">
        <f>AVERAGE($O$21:O58)</f>
        <v>2212.4536137990981</v>
      </c>
      <c r="Q58" s="20">
        <f>SUM($J$21:J58)/N58</f>
        <v>38</v>
      </c>
      <c r="S58" s="49" t="s">
        <v>1</v>
      </c>
      <c r="T58" s="64">
        <v>0.60999325310628527</v>
      </c>
    </row>
    <row r="59" spans="1:27" x14ac:dyDescent="0.2">
      <c r="A59" s="15"/>
      <c r="B59" s="15" t="s">
        <v>3</v>
      </c>
      <c r="C59" s="39">
        <v>39</v>
      </c>
      <c r="D59" s="112">
        <f t="shared" si="11"/>
        <v>12054.122127932304</v>
      </c>
      <c r="E59" s="16">
        <f t="shared" si="9"/>
        <v>12367.2929479227</v>
      </c>
      <c r="F59" s="16">
        <f t="shared" si="5"/>
        <v>755771.0223748798</v>
      </c>
      <c r="G59" s="17">
        <f t="shared" si="1"/>
        <v>1.5949436762015972E-2</v>
      </c>
      <c r="H59" s="18">
        <f>($T$52+C59*$T$53)*$T$60</f>
        <v>461718.42161912605</v>
      </c>
      <c r="I59" s="19"/>
      <c r="J59" s="18">
        <f t="shared" si="2"/>
        <v>449664.29949119373</v>
      </c>
      <c r="K59" s="18">
        <f t="shared" si="3"/>
        <v>449664.29949119373</v>
      </c>
      <c r="L59" s="18">
        <f>SUM($J$21:J59)</f>
        <v>9162368.6099605002</v>
      </c>
      <c r="M59" s="18">
        <f>SUMSQ($J$21:J59)/C59</f>
        <v>69451789096.788483</v>
      </c>
      <c r="N59" s="18">
        <f>SUM($K$21:K59)/C59</f>
        <v>234932.52846052565</v>
      </c>
      <c r="O59" s="18">
        <f t="shared" si="4"/>
        <v>3730.377830246246</v>
      </c>
      <c r="P59" s="18">
        <f>AVERAGE($O$21:O59)</f>
        <v>2251.3747475541531</v>
      </c>
      <c r="Q59" s="20">
        <f>SUM($J$21:J59)/N59</f>
        <v>39</v>
      </c>
      <c r="S59" s="49" t="s">
        <v>2</v>
      </c>
      <c r="T59" s="64">
        <v>0.605576709255504</v>
      </c>
    </row>
    <row r="60" spans="1:27" x14ac:dyDescent="0.2">
      <c r="A60" s="15"/>
      <c r="B60" s="15" t="s">
        <v>4</v>
      </c>
      <c r="C60" s="39">
        <v>40</v>
      </c>
      <c r="D60" s="112">
        <f t="shared" si="11"/>
        <v>12195.935329437389</v>
      </c>
      <c r="E60" s="16">
        <f t="shared" si="9"/>
        <v>12426.381781883152</v>
      </c>
      <c r="F60" s="16">
        <f t="shared" si="5"/>
        <v>773925.0041010495</v>
      </c>
      <c r="G60" s="17">
        <f t="shared" si="1"/>
        <v>1.5758549297168068E-2</v>
      </c>
      <c r="H60" s="18">
        <f>($T$52+C60*$T$53)*$T$61</f>
        <v>478448.06421446835</v>
      </c>
      <c r="I60" s="19"/>
      <c r="J60" s="18">
        <f t="shared" si="2"/>
        <v>466252.12888503098</v>
      </c>
      <c r="K60" s="18">
        <f t="shared" si="3"/>
        <v>466252.12888503098</v>
      </c>
      <c r="L60" s="18">
        <f>SUM($J$21:J60)</f>
        <v>9628620.7388455309</v>
      </c>
      <c r="M60" s="18">
        <f>SUMSQ($J$21:J60)/C60</f>
        <v>73150270561.614365</v>
      </c>
      <c r="N60" s="18">
        <f>SUM($K$21:K60)/C60</f>
        <v>240715.51847113826</v>
      </c>
      <c r="O60" s="18">
        <f t="shared" si="4"/>
        <v>3823.0124733413099</v>
      </c>
      <c r="P60" s="18">
        <f>AVERAGE($O$21:O60)</f>
        <v>2290.6656906988319</v>
      </c>
      <c r="Q60" s="20">
        <f>SUM($J$21:J60)/N60</f>
        <v>40</v>
      </c>
      <c r="S60" s="49" t="s">
        <v>3</v>
      </c>
      <c r="T60" s="64">
        <v>0.61092368978140454</v>
      </c>
    </row>
    <row r="61" spans="1:27" x14ac:dyDescent="0.2">
      <c r="A61" s="15"/>
      <c r="B61" s="15" t="s">
        <v>5</v>
      </c>
      <c r="C61" s="39">
        <v>41</v>
      </c>
      <c r="D61" s="112">
        <f t="shared" si="11"/>
        <v>12266.841930189932</v>
      </c>
      <c r="E61" s="16">
        <f t="shared" si="9"/>
        <v>12455.926198863381</v>
      </c>
      <c r="F61" s="16">
        <f t="shared" si="5"/>
        <v>792078.98582721921</v>
      </c>
      <c r="G61" s="17">
        <f t="shared" si="1"/>
        <v>1.5486892279283078E-2</v>
      </c>
      <c r="H61" s="18">
        <f>($T$52+C61*$T$53)*$T$62</f>
        <v>504457.00872982526</v>
      </c>
      <c r="I61" s="19"/>
      <c r="J61" s="18">
        <f t="shared" si="2"/>
        <v>492190.16679963534</v>
      </c>
      <c r="K61" s="18">
        <f t="shared" si="3"/>
        <v>492190.16679963534</v>
      </c>
      <c r="L61" s="18">
        <f>SUM($J$21:J61)</f>
        <v>10120810.905645166</v>
      </c>
      <c r="M61" s="18">
        <f>SUMSQ($J$21:J61)/C61</f>
        <v>77274682506.312866</v>
      </c>
      <c r="N61" s="18">
        <f>SUM($K$21:K61)/C61</f>
        <v>246849.04647915039</v>
      </c>
      <c r="O61" s="18">
        <f t="shared" si="4"/>
        <v>4012.3625102586984</v>
      </c>
      <c r="P61" s="18">
        <f>AVERAGE($O$21:O61)</f>
        <v>2332.6582960539504</v>
      </c>
      <c r="Q61" s="20">
        <f>SUM($J$21:J61)/N61</f>
        <v>41</v>
      </c>
      <c r="S61" s="49" t="s">
        <v>4</v>
      </c>
      <c r="T61" s="64">
        <v>0.61820985454554267</v>
      </c>
    </row>
    <row r="62" spans="1:27" x14ac:dyDescent="0.2">
      <c r="A62" s="15"/>
      <c r="B62" s="15" t="s">
        <v>6</v>
      </c>
      <c r="C62" s="39">
        <v>42</v>
      </c>
      <c r="D62" s="112">
        <f t="shared" si="11"/>
        <v>12408.655131695017</v>
      </c>
      <c r="E62" s="16">
        <f t="shared" si="9"/>
        <v>12503.197266031741</v>
      </c>
      <c r="F62" s="16">
        <f t="shared" si="5"/>
        <v>810232.96755338891</v>
      </c>
      <c r="G62" s="17">
        <f t="shared" si="1"/>
        <v>1.5314922532916275E-2</v>
      </c>
      <c r="H62" s="18">
        <f>($T$52+C62*$T$53)*$T$63</f>
        <v>492917.77410955966</v>
      </c>
      <c r="I62" s="19"/>
      <c r="J62" s="18">
        <f t="shared" si="2"/>
        <v>480509.11897786462</v>
      </c>
      <c r="K62" s="18">
        <f t="shared" si="3"/>
        <v>480509.11897786462</v>
      </c>
      <c r="L62" s="18">
        <f>SUM($J$21:J62)</f>
        <v>10601320.024623031</v>
      </c>
      <c r="M62" s="18">
        <f>SUMSQ($J$21:J62)/C62</f>
        <v>80932166575.707413</v>
      </c>
      <c r="N62" s="18">
        <f>SUM($K$21:K62)/C62</f>
        <v>252412.38153864359</v>
      </c>
      <c r="O62" s="18">
        <f t="shared" si="4"/>
        <v>3872.370646763452</v>
      </c>
      <c r="P62" s="18">
        <f>AVERAGE($O$21:O62)</f>
        <v>2369.3181139279864</v>
      </c>
      <c r="Q62" s="20">
        <f>SUM($J$21:J62)/N62</f>
        <v>42</v>
      </c>
      <c r="S62" s="49" t="s">
        <v>5</v>
      </c>
      <c r="T62" s="64">
        <v>0.63687715209738616</v>
      </c>
    </row>
    <row r="63" spans="1:27" x14ac:dyDescent="0.2">
      <c r="A63" s="15"/>
      <c r="B63" s="15" t="s">
        <v>7</v>
      </c>
      <c r="C63" s="39">
        <v>43</v>
      </c>
      <c r="D63" s="112">
        <f t="shared" si="11"/>
        <v>12479.561732447561</v>
      </c>
      <c r="E63" s="16">
        <f t="shared" si="9"/>
        <v>12562.286099992196</v>
      </c>
      <c r="F63" s="16">
        <f t="shared" si="5"/>
        <v>828386.9492795585</v>
      </c>
      <c r="G63" s="17">
        <f t="shared" si="1"/>
        <v>1.5064894181760028E-2</v>
      </c>
      <c r="H63" s="18">
        <f>($T$52+C63*$T$53)*$T$64</f>
        <v>511161.70101157128</v>
      </c>
      <c r="I63" s="19"/>
      <c r="J63" s="18">
        <f t="shared" si="2"/>
        <v>498682.13927912374</v>
      </c>
      <c r="K63" s="18">
        <f t="shared" si="3"/>
        <v>498682.13927912374</v>
      </c>
      <c r="L63" s="18">
        <f>SUM($J$21:J63)</f>
        <v>11100002.163902154</v>
      </c>
      <c r="M63" s="18">
        <f>SUMSQ($J$21:J63)/C63</f>
        <v>84833369121.2957</v>
      </c>
      <c r="N63" s="18">
        <f>SUM($K$21:K63)/C63</f>
        <v>258139.58520702683</v>
      </c>
      <c r="O63" s="18">
        <f t="shared" si="4"/>
        <v>3995.9908045690595</v>
      </c>
      <c r="P63" s="18">
        <f>AVERAGE($O$21:O63)</f>
        <v>2407.147711384755</v>
      </c>
      <c r="Q63" s="20">
        <f>SUM($J$21:J63)/N63</f>
        <v>43</v>
      </c>
      <c r="S63" s="49" t="s">
        <v>6</v>
      </c>
      <c r="T63" s="64">
        <v>0.60836548727212791</v>
      </c>
    </row>
    <row r="64" spans="1:27" x14ac:dyDescent="0.2">
      <c r="A64" s="15"/>
      <c r="B64" s="15" t="s">
        <v>8</v>
      </c>
      <c r="C64" s="39">
        <v>44</v>
      </c>
      <c r="D64" s="112">
        <f t="shared" si="11"/>
        <v>13046.814538467905</v>
      </c>
      <c r="E64" s="16">
        <f t="shared" si="9"/>
        <v>12609.557167160558</v>
      </c>
      <c r="F64" s="16">
        <f t="shared" si="5"/>
        <v>846540.9310057282</v>
      </c>
      <c r="G64" s="17">
        <f t="shared" si="1"/>
        <v>1.541191224264574E-2</v>
      </c>
      <c r="H64" s="18">
        <f>($T$52+C64*$T$53)*$T$65</f>
        <v>521758.36671739141</v>
      </c>
      <c r="I64" s="19"/>
      <c r="J64" s="18">
        <f t="shared" si="2"/>
        <v>508711.55217892351</v>
      </c>
      <c r="K64" s="18">
        <f t="shared" si="3"/>
        <v>508711.55217892351</v>
      </c>
      <c r="L64" s="18">
        <f>SUM($J$21:J64)</f>
        <v>11608713.716081077</v>
      </c>
      <c r="M64" s="18">
        <f>SUMSQ($J$21:J64)/C64</f>
        <v>88786870807.636459</v>
      </c>
      <c r="N64" s="18">
        <f>SUM($K$21:K64)/C64</f>
        <v>263834.40263820632</v>
      </c>
      <c r="O64" s="18">
        <f t="shared" si="4"/>
        <v>3899.1245769533398</v>
      </c>
      <c r="P64" s="18">
        <f>AVERAGE($O$21:O64)</f>
        <v>2441.0562765113141</v>
      </c>
      <c r="Q64" s="20">
        <f>SUM($J$21:J64)/N64</f>
        <v>44</v>
      </c>
      <c r="S64" s="49" t="s">
        <v>7</v>
      </c>
      <c r="T64" s="64">
        <v>0.61705668040295003</v>
      </c>
    </row>
    <row r="65" spans="1:20" x14ac:dyDescent="0.2">
      <c r="A65" s="15"/>
      <c r="B65" s="15" t="s">
        <v>9</v>
      </c>
      <c r="C65" s="39">
        <v>45</v>
      </c>
      <c r="D65" s="112">
        <f t="shared" si="11"/>
        <v>12763.188135457733</v>
      </c>
      <c r="E65" s="16">
        <f t="shared" si="9"/>
        <v>12662.737117724961</v>
      </c>
      <c r="F65" s="16">
        <f t="shared" si="5"/>
        <v>864694.9127318979</v>
      </c>
      <c r="G65" s="17">
        <f t="shared" si="1"/>
        <v>1.4760336793394562E-2</v>
      </c>
      <c r="H65" s="18">
        <f>($T$52+C65*$T$53)*$T$66</f>
        <v>507368.80376220925</v>
      </c>
      <c r="I65" s="19"/>
      <c r="J65" s="18">
        <f t="shared" si="2"/>
        <v>494605.6156267515</v>
      </c>
      <c r="K65" s="18">
        <f t="shared" si="3"/>
        <v>494605.6156267515</v>
      </c>
      <c r="L65" s="18">
        <f>SUM($J$21:J65)</f>
        <v>12103319.33170783</v>
      </c>
      <c r="M65" s="18">
        <f>SUMSQ($J$21:J65)/C65</f>
        <v>92250156234.34494</v>
      </c>
      <c r="N65" s="18">
        <f>SUM($K$21:K65)/C65</f>
        <v>268962.65181572956</v>
      </c>
      <c r="O65" s="18">
        <f t="shared" si="4"/>
        <v>3875.2513116427017</v>
      </c>
      <c r="P65" s="18">
        <f>AVERAGE($O$21:O65)</f>
        <v>2472.9272772920112</v>
      </c>
      <c r="Q65" s="20">
        <f>SUM($J$21:J65)/N65</f>
        <v>45</v>
      </c>
      <c r="S65" s="49" t="s">
        <v>8</v>
      </c>
      <c r="T65" s="64">
        <v>0.61634157027412639</v>
      </c>
    </row>
    <row r="66" spans="1:20" x14ac:dyDescent="0.2">
      <c r="A66" s="15"/>
      <c r="B66" s="15" t="s">
        <v>10</v>
      </c>
      <c r="C66" s="39">
        <v>46</v>
      </c>
      <c r="D66" s="112">
        <f t="shared" si="11"/>
        <v>12479.561732447561</v>
      </c>
      <c r="E66" s="16">
        <f t="shared" si="9"/>
        <v>12721.825951685416</v>
      </c>
      <c r="F66" s="16">
        <f t="shared" si="5"/>
        <v>882848.89445806749</v>
      </c>
      <c r="G66" s="17">
        <f t="shared" si="1"/>
        <v>1.4135557976892614E-2</v>
      </c>
      <c r="H66" s="18">
        <f>($T$52+C66*$T$53)*$T$67</f>
        <v>503145.54848046537</v>
      </c>
      <c r="I66" s="19"/>
      <c r="J66" s="18">
        <f t="shared" si="2"/>
        <v>490665.98674801784</v>
      </c>
      <c r="K66" s="18">
        <f t="shared" si="3"/>
        <v>490665.98674801784</v>
      </c>
      <c r="L66" s="18">
        <f>SUM($J$21:J66)</f>
        <v>12593985.318455847</v>
      </c>
      <c r="M66" s="18">
        <f>SUMSQ($J$21:J66)/C66</f>
        <v>95478481328.194107</v>
      </c>
      <c r="N66" s="18">
        <f>SUM($K$21:K66)/C66</f>
        <v>273782.28953164886</v>
      </c>
      <c r="O66" s="18">
        <f t="shared" si="4"/>
        <v>3931.7565573818088</v>
      </c>
      <c r="P66" s="18">
        <f>AVERAGE($O$21:O66)</f>
        <v>2504.6409572939638</v>
      </c>
      <c r="Q66" s="20">
        <f>SUM($J$21:J66)/N66</f>
        <v>46</v>
      </c>
      <c r="S66" s="49" t="s">
        <v>9</v>
      </c>
      <c r="T66" s="64">
        <v>0.58676048198229769</v>
      </c>
    </row>
    <row r="67" spans="1:20" x14ac:dyDescent="0.2">
      <c r="A67" s="15"/>
      <c r="B67" s="15" t="s">
        <v>11</v>
      </c>
      <c r="C67" s="39">
        <v>47</v>
      </c>
      <c r="D67" s="112">
        <f t="shared" si="11"/>
        <v>12337.748530942474</v>
      </c>
      <c r="E67" s="16">
        <f t="shared" si="9"/>
        <v>12766.142577155755</v>
      </c>
      <c r="F67" s="16">
        <f t="shared" si="5"/>
        <v>901002.87618423719</v>
      </c>
      <c r="G67" s="17">
        <f t="shared" si="1"/>
        <v>1.3693350883842961E-2</v>
      </c>
      <c r="H67" s="18">
        <f>($T$52+C67*$T$53)*$T$68</f>
        <v>491802.92778812558</v>
      </c>
      <c r="I67" s="19"/>
      <c r="J67" s="18">
        <f t="shared" si="2"/>
        <v>479465.1792571831</v>
      </c>
      <c r="K67" s="18">
        <f t="shared" si="3"/>
        <v>479465.1792571831</v>
      </c>
      <c r="L67" s="18">
        <f>SUM($J$21:J67)</f>
        <v>13073450.497713029</v>
      </c>
      <c r="M67" s="18">
        <f>SUMSQ($J$21:J67)/C67</f>
        <v>98338234025.894714</v>
      </c>
      <c r="N67" s="18">
        <f>SUM($K$21:K67)/C67</f>
        <v>278158.52122793678</v>
      </c>
      <c r="O67" s="18">
        <f t="shared" si="4"/>
        <v>3886.1643034359772</v>
      </c>
      <c r="P67" s="18">
        <f>AVERAGE($O$21:O67)</f>
        <v>2534.035071041666</v>
      </c>
      <c r="Q67" s="20">
        <f>SUM($J$21:J67)/N67</f>
        <v>47</v>
      </c>
      <c r="S67" s="49" t="s">
        <v>10</v>
      </c>
      <c r="T67" s="64">
        <v>0.56991128565587523</v>
      </c>
    </row>
    <row r="68" spans="1:20" x14ac:dyDescent="0.2">
      <c r="A68" s="15"/>
      <c r="B68" s="15" t="s">
        <v>12</v>
      </c>
      <c r="C68" s="39">
        <v>48</v>
      </c>
      <c r="D68" s="112">
        <f t="shared" si="11"/>
        <v>13188.62773997299</v>
      </c>
      <c r="E68" s="16">
        <f t="shared" si="9"/>
        <v>12789.778110739935</v>
      </c>
      <c r="F68" s="16">
        <f t="shared" si="5"/>
        <v>919156.85791040689</v>
      </c>
      <c r="G68" s="17">
        <f t="shared" si="1"/>
        <v>1.4348614848999502E-2</v>
      </c>
      <c r="H68" s="18">
        <f>($T$52+C68*$T$53)*$T$69</f>
        <v>499586.78382819111</v>
      </c>
      <c r="I68" s="19"/>
      <c r="J68" s="18">
        <f t="shared" si="2"/>
        <v>486398.15608821809</v>
      </c>
      <c r="K68" s="18">
        <f t="shared" si="3"/>
        <v>486398.15608821809</v>
      </c>
      <c r="L68" s="18">
        <f>SUM($J$21:J68)</f>
        <v>13559848.653801247</v>
      </c>
      <c r="M68" s="18">
        <f>SUMSQ($J$21:J68)/C68</f>
        <v>101218336780.48064</v>
      </c>
      <c r="N68" s="18">
        <f>SUM($K$21:K68)/C68</f>
        <v>282496.84695419268</v>
      </c>
      <c r="O68" s="18">
        <f t="shared" si="4"/>
        <v>3688.0118665720579</v>
      </c>
      <c r="P68" s="18">
        <f>AVERAGE($O$21:O68)</f>
        <v>2558.0762542818825</v>
      </c>
      <c r="Q68" s="20">
        <f>SUM($J$21:J68)/N68</f>
        <v>48</v>
      </c>
      <c r="S68" s="49" t="s">
        <v>11</v>
      </c>
      <c r="T68" s="64">
        <v>0.545839464875983</v>
      </c>
    </row>
    <row r="69" spans="1:20" x14ac:dyDescent="0.2">
      <c r="A69" s="15" t="s">
        <v>62</v>
      </c>
      <c r="B69" s="15" t="s">
        <v>1</v>
      </c>
      <c r="C69" s="39">
        <v>49</v>
      </c>
      <c r="D69" s="113">
        <f>G4</f>
        <v>13472.254142983162</v>
      </c>
      <c r="E69" s="16">
        <f t="shared" si="9"/>
        <v>12822.276969418182</v>
      </c>
      <c r="F69" s="16">
        <f t="shared" si="5"/>
        <v>937310.83963657659</v>
      </c>
      <c r="G69" s="17">
        <f t="shared" si="1"/>
        <v>1.4373304535992304E-2</v>
      </c>
      <c r="H69" s="18">
        <f>($T$52+C69*$T$53)*$T$58</f>
        <v>571753.28824169899</v>
      </c>
      <c r="I69" s="19"/>
      <c r="J69" s="18">
        <f t="shared" si="2"/>
        <v>558281.03409871587</v>
      </c>
      <c r="K69" s="18">
        <f t="shared" si="3"/>
        <v>558281.03409871587</v>
      </c>
      <c r="L69" s="18">
        <f>SUM($J$21:J69)</f>
        <v>14118129.687899964</v>
      </c>
      <c r="M69" s="18">
        <f>SUMSQ($J$21:J69)/C69</f>
        <v>105513426091.78372</v>
      </c>
      <c r="N69" s="18">
        <f>SUM($K$21:K69)/C69</f>
        <v>288125.09567142784</v>
      </c>
      <c r="O69" s="18">
        <f t="shared" si="4"/>
        <v>4143.9318778698134</v>
      </c>
      <c r="P69" s="18">
        <f>AVERAGE($O$21:O69)</f>
        <v>2590.4406547632684</v>
      </c>
      <c r="Q69" s="20">
        <f>SUM($J$21:J69)/N69</f>
        <v>49</v>
      </c>
      <c r="S69" s="49" t="s">
        <v>12</v>
      </c>
      <c r="T69" s="64">
        <v>0.54352723316882157</v>
      </c>
    </row>
    <row r="70" spans="1:20" x14ac:dyDescent="0.2">
      <c r="A70" s="15"/>
      <c r="B70" s="15" t="s">
        <v>2</v>
      </c>
      <c r="C70" s="39">
        <v>50</v>
      </c>
      <c r="D70" s="113">
        <f t="shared" ref="D70:D80" si="12">G5</f>
        <v>12905.001336962818</v>
      </c>
      <c r="E70" s="16">
        <f t="shared" si="9"/>
        <v>12869.548036586544</v>
      </c>
      <c r="F70" s="16">
        <f t="shared" si="5"/>
        <v>955464.8213627463</v>
      </c>
      <c r="G70" s="17">
        <f t="shared" si="1"/>
        <v>1.3506516460288786E-2</v>
      </c>
      <c r="H70" s="18">
        <f>($T$52+C70*$T$53)*$T$59</f>
        <v>578607.24233024986</v>
      </c>
      <c r="I70" s="19"/>
      <c r="J70" s="18">
        <f t="shared" si="2"/>
        <v>565702.24099328707</v>
      </c>
      <c r="K70" s="18">
        <f t="shared" si="3"/>
        <v>565702.24099328707</v>
      </c>
      <c r="L70" s="18">
        <f>SUM($J$21:J70)</f>
        <v>14683831.928893251</v>
      </c>
      <c r="M70" s="18">
        <f>SUMSQ($J$21:J70)/C70</f>
        <v>109803538079.24458</v>
      </c>
      <c r="N70" s="18">
        <f>SUM($K$21:K70)/C70</f>
        <v>293676.63857786503</v>
      </c>
      <c r="O70" s="18">
        <f t="shared" si="4"/>
        <v>4383.5891699831836</v>
      </c>
      <c r="P70" s="18">
        <f>AVERAGE($O$21:O70)</f>
        <v>2626.3036250676669</v>
      </c>
      <c r="Q70" s="20">
        <f>SUM($J$21:J70)/N70</f>
        <v>50</v>
      </c>
      <c r="S70" s="36" t="s">
        <v>87</v>
      </c>
      <c r="T70" s="63">
        <v>0.59744857186819189</v>
      </c>
    </row>
    <row r="71" spans="1:20" x14ac:dyDescent="0.2">
      <c r="A71" s="15"/>
      <c r="B71" s="15" t="s">
        <v>3</v>
      </c>
      <c r="C71" s="39">
        <v>51</v>
      </c>
      <c r="D71" s="113">
        <f t="shared" si="12"/>
        <v>12763.188135457733</v>
      </c>
      <c r="E71" s="16">
        <f t="shared" si="9"/>
        <v>12910.910220358863</v>
      </c>
      <c r="F71" s="16">
        <f t="shared" si="5"/>
        <v>973618.80308891588</v>
      </c>
      <c r="G71" s="17">
        <f t="shared" si="1"/>
        <v>1.3109019767248818E-2</v>
      </c>
      <c r="H71" s="18">
        <f>($T$52+C71*$T$53)*$T$60</f>
        <v>594806.79162363522</v>
      </c>
      <c r="I71" s="19"/>
      <c r="J71" s="18">
        <f t="shared" si="2"/>
        <v>582043.60348817753</v>
      </c>
      <c r="K71" s="18">
        <f t="shared" si="3"/>
        <v>582043.60348817753</v>
      </c>
      <c r="L71" s="18">
        <f>SUM($J$21:J71)</f>
        <v>15265875.532381428</v>
      </c>
      <c r="M71" s="18">
        <f>SUMSQ($J$21:J71)/C71</f>
        <v>114293169810.26926</v>
      </c>
      <c r="N71" s="18">
        <f>SUM($K$21:K71)/C71</f>
        <v>299330.89279179269</v>
      </c>
      <c r="O71" s="18">
        <f t="shared" si="4"/>
        <v>4560.3308304387338</v>
      </c>
      <c r="P71" s="18">
        <f>AVERAGE($O$21:O71)</f>
        <v>2664.2257271337662</v>
      </c>
      <c r="Q71" s="20">
        <f>SUM($J$21:J71)/N71</f>
        <v>51.000000000000007</v>
      </c>
    </row>
    <row r="72" spans="1:20" x14ac:dyDescent="0.2">
      <c r="A72" s="15"/>
      <c r="B72" s="15" t="s">
        <v>4</v>
      </c>
      <c r="C72" s="39">
        <v>52</v>
      </c>
      <c r="D72" s="113">
        <f t="shared" si="12"/>
        <v>12905.001336962818</v>
      </c>
      <c r="E72" s="16">
        <f t="shared" si="9"/>
        <v>12952.272404131179</v>
      </c>
      <c r="F72" s="16">
        <f t="shared" si="5"/>
        <v>991772.78481508559</v>
      </c>
      <c r="G72" s="17">
        <f t="shared" si="1"/>
        <v>1.3012054307750473E-2</v>
      </c>
      <c r="H72" s="18">
        <f>($T$52+C72*$T$53)*$T$61</f>
        <v>613123.70904276182</v>
      </c>
      <c r="I72" s="19"/>
      <c r="J72" s="18">
        <f t="shared" si="2"/>
        <v>600218.70770579902</v>
      </c>
      <c r="K72" s="18">
        <f t="shared" si="3"/>
        <v>600218.70770579902</v>
      </c>
      <c r="L72" s="18">
        <f>SUM($J$21:J72)</f>
        <v>15866094.240087228</v>
      </c>
      <c r="M72" s="18">
        <f>SUMSQ($J$21:J72)/C72</f>
        <v>119023349180.84138</v>
      </c>
      <c r="N72" s="18">
        <f>SUM($K$21:K72)/C72</f>
        <v>305117.19692475436</v>
      </c>
      <c r="O72" s="18">
        <f t="shared" si="4"/>
        <v>4651.0549827425275</v>
      </c>
      <c r="P72" s="18">
        <f>AVERAGE($O$21:O72)</f>
        <v>2702.4339820493192</v>
      </c>
      <c r="Q72" s="20">
        <f>SUM($J$21:J72)/N72</f>
        <v>52.000000000000007</v>
      </c>
    </row>
    <row r="73" spans="1:20" x14ac:dyDescent="0.2">
      <c r="A73" s="15"/>
      <c r="B73" s="15" t="s">
        <v>5</v>
      </c>
      <c r="C73" s="39">
        <v>53</v>
      </c>
      <c r="D73" s="113">
        <f t="shared" si="12"/>
        <v>12621.374933952646</v>
      </c>
      <c r="E73" s="16">
        <f t="shared" si="9"/>
        <v>13029.087888279768</v>
      </c>
      <c r="F73" s="16">
        <f t="shared" si="5"/>
        <v>1009926.7665412553</v>
      </c>
      <c r="G73" s="17">
        <f t="shared" si="1"/>
        <v>1.2497316985842126E-2</v>
      </c>
      <c r="H73" s="18">
        <f>($T$52+C73*$T$53)*$T$62</f>
        <v>643199.28290171642</v>
      </c>
      <c r="I73" s="19"/>
      <c r="J73" s="18">
        <f t="shared" si="2"/>
        <v>630577.90796776372</v>
      </c>
      <c r="K73" s="18">
        <f t="shared" si="3"/>
        <v>630577.90796776372</v>
      </c>
      <c r="L73" s="18">
        <f>SUM($J$21:J73)</f>
        <v>16496672.148054991</v>
      </c>
      <c r="M73" s="18">
        <f>SUMSQ($J$21:J73)/C73</f>
        <v>124280050102.27838</v>
      </c>
      <c r="N73" s="18">
        <f>SUM($K$21:K73)/C73</f>
        <v>311257.96505764133</v>
      </c>
      <c r="O73" s="18">
        <f t="shared" si="4"/>
        <v>4996.1110518272608</v>
      </c>
      <c r="P73" s="18">
        <f>AVERAGE($O$21:O73)</f>
        <v>2745.7109078941862</v>
      </c>
      <c r="Q73" s="20">
        <f>SUM($J$21:J73)/N73</f>
        <v>53</v>
      </c>
    </row>
    <row r="74" spans="1:20" x14ac:dyDescent="0.2">
      <c r="A74" s="15"/>
      <c r="B74" s="15" t="s">
        <v>6</v>
      </c>
      <c r="C74" s="39">
        <v>54</v>
      </c>
      <c r="D74" s="113">
        <f t="shared" si="12"/>
        <v>12621.374933952646</v>
      </c>
      <c r="E74" s="16">
        <f t="shared" si="9"/>
        <v>13117.721139220448</v>
      </c>
      <c r="F74" s="16">
        <f t="shared" si="5"/>
        <v>1028080.7482674249</v>
      </c>
      <c r="G74" s="17">
        <f t="shared" si="1"/>
        <v>1.2276637759458918E-2</v>
      </c>
      <c r="H74" s="18">
        <f>($T$52+C74*$T$53)*$T$63</f>
        <v>625448.84537480585</v>
      </c>
      <c r="I74" s="19"/>
      <c r="J74" s="18">
        <f t="shared" si="2"/>
        <v>612827.47044085315</v>
      </c>
      <c r="K74" s="18">
        <f t="shared" si="3"/>
        <v>612827.47044085315</v>
      </c>
      <c r="L74" s="18">
        <f>SUM($J$21:J74)</f>
        <v>17109499.618495844</v>
      </c>
      <c r="M74" s="18">
        <f>SUMSQ($J$21:J74)/C74</f>
        <v>128933336369.40164</v>
      </c>
      <c r="N74" s="18">
        <f>SUM($K$21:K74)/C74</f>
        <v>316842.58552770084</v>
      </c>
      <c r="O74" s="18">
        <f t="shared" si="4"/>
        <v>4855.4731449447045</v>
      </c>
      <c r="P74" s="18">
        <f>AVERAGE($O$21:O74)</f>
        <v>2784.780578950677</v>
      </c>
      <c r="Q74" s="20">
        <f>SUM($J$21:J74)/N74</f>
        <v>54</v>
      </c>
    </row>
    <row r="75" spans="1:20" x14ac:dyDescent="0.2">
      <c r="A75" s="15"/>
      <c r="B75" s="15" t="s">
        <v>7</v>
      </c>
      <c r="C75" s="39">
        <v>55</v>
      </c>
      <c r="D75" s="113">
        <f t="shared" si="12"/>
        <v>13046.814538467905</v>
      </c>
      <c r="E75" s="16"/>
      <c r="F75" s="16">
        <f t="shared" si="5"/>
        <v>1046234.7299935946</v>
      </c>
      <c r="G75" s="17">
        <f t="shared" si="1"/>
        <v>1.2470255636178108E-2</v>
      </c>
      <c r="H75" s="18">
        <f>($T$52+C75*$T$53)*$T$64</f>
        <v>645586.12941212417</v>
      </c>
      <c r="I75" s="19"/>
      <c r="J75" s="18">
        <f t="shared" si="2"/>
        <v>632539.31487365626</v>
      </c>
      <c r="K75" s="18">
        <f t="shared" si="3"/>
        <v>632539.31487365626</v>
      </c>
      <c r="L75" s="18">
        <f>SUM($J$21:J75)</f>
        <v>17742038.933369502</v>
      </c>
      <c r="M75" s="18">
        <f>SUMSQ($J$21:J75)/C75</f>
        <v>133863748160.15497</v>
      </c>
      <c r="N75" s="18">
        <f>SUM($K$21:K75)/C75</f>
        <v>322582.52606126369</v>
      </c>
      <c r="O75" s="18">
        <f t="shared" si="4"/>
        <v>4848.2279947234974</v>
      </c>
      <c r="P75" s="18">
        <f>AVERAGE($O$21:O75)</f>
        <v>2822.2978046920011</v>
      </c>
      <c r="Q75" s="20">
        <f>SUM($J$21:J75)/N75</f>
        <v>55</v>
      </c>
    </row>
    <row r="76" spans="1:20" x14ac:dyDescent="0.2">
      <c r="A76" s="15"/>
      <c r="B76" s="15" t="s">
        <v>8</v>
      </c>
      <c r="C76" s="39">
        <v>56</v>
      </c>
      <c r="D76" s="113">
        <f t="shared" si="12"/>
        <v>13614.067344488249</v>
      </c>
      <c r="E76" s="16"/>
      <c r="F76" s="16">
        <f t="shared" si="5"/>
        <v>1064388.7117197644</v>
      </c>
      <c r="G76" s="17">
        <f t="shared" si="1"/>
        <v>1.279050331386134E-2</v>
      </c>
      <c r="H76" s="18">
        <f>($T$52+C76*$T$53)*$T$65</f>
        <v>656027.00996341405</v>
      </c>
      <c r="I76" s="19"/>
      <c r="J76" s="18">
        <f t="shared" si="2"/>
        <v>642412.94261892582</v>
      </c>
      <c r="K76" s="18">
        <f t="shared" si="3"/>
        <v>642412.94261892582</v>
      </c>
      <c r="L76" s="18">
        <f>SUM($J$21:J76)</f>
        <v>18384451.875988428</v>
      </c>
      <c r="M76" s="18">
        <f>SUMSQ($J$21:J76)/C76</f>
        <v>138842866743.80057</v>
      </c>
      <c r="N76" s="18">
        <f>SUM($K$21:K76)/C76</f>
        <v>328293.78349979332</v>
      </c>
      <c r="O76" s="18">
        <f t="shared" si="4"/>
        <v>4718.7436815421015</v>
      </c>
      <c r="P76" s="18">
        <f>AVERAGE($O$21:O76)</f>
        <v>2856.1629096357533</v>
      </c>
      <c r="Q76" s="20">
        <f>SUM($J$21:J76)/N76</f>
        <v>56.000000000000007</v>
      </c>
    </row>
    <row r="77" spans="1:20" x14ac:dyDescent="0.2">
      <c r="A77" s="15"/>
      <c r="B77" s="15" t="s">
        <v>9</v>
      </c>
      <c r="C77" s="39">
        <v>57</v>
      </c>
      <c r="D77" s="113">
        <f t="shared" si="12"/>
        <v>13188.62773997299</v>
      </c>
      <c r="E77" s="16"/>
      <c r="F77" s="16">
        <f t="shared" si="5"/>
        <v>1082542.693445934</v>
      </c>
      <c r="G77" s="17">
        <f t="shared" si="1"/>
        <v>1.2183009335171016E-2</v>
      </c>
      <c r="H77" s="18">
        <f>($T$52+C77*$T$53)*$T$66</f>
        <v>635193.27257275092</v>
      </c>
      <c r="I77" s="19"/>
      <c r="J77" s="18">
        <f t="shared" si="2"/>
        <v>622004.64483277791</v>
      </c>
      <c r="K77" s="18">
        <f t="shared" si="3"/>
        <v>622004.64483277791</v>
      </c>
      <c r="L77" s="18">
        <f>SUM($J$21:J77)</f>
        <v>19006456.520821206</v>
      </c>
      <c r="M77" s="18">
        <f>SUMSQ($J$21:J77)/C77</f>
        <v>143194566944.67334</v>
      </c>
      <c r="N77" s="18">
        <f>SUM($K$21:K77)/C77</f>
        <v>333446.60562844219</v>
      </c>
      <c r="O77" s="18">
        <f t="shared" si="4"/>
        <v>4716.2195877859522</v>
      </c>
      <c r="P77" s="18">
        <f>AVERAGE($O$21:O77)</f>
        <v>2888.795482936634</v>
      </c>
      <c r="Q77" s="20">
        <f>SUM($J$21:J77)/N77</f>
        <v>57.000000000000007</v>
      </c>
    </row>
    <row r="78" spans="1:20" x14ac:dyDescent="0.2">
      <c r="A78" s="15"/>
      <c r="B78" s="15" t="s">
        <v>10</v>
      </c>
      <c r="C78" s="39">
        <v>58</v>
      </c>
      <c r="D78" s="113">
        <f t="shared" si="12"/>
        <v>13046.814538467905</v>
      </c>
      <c r="E78" s="16"/>
      <c r="F78" s="16">
        <f t="shared" si="5"/>
        <v>1100696.6751721038</v>
      </c>
      <c r="G78" s="17">
        <f t="shared" si="1"/>
        <v>1.1853233350076139E-2</v>
      </c>
      <c r="H78" s="18">
        <f>($T$52+C78*$T$53)*$T$67</f>
        <v>627299.457264481</v>
      </c>
      <c r="I78" s="19"/>
      <c r="J78" s="18">
        <f t="shared" si="2"/>
        <v>614252.64272601309</v>
      </c>
      <c r="K78" s="18">
        <f t="shared" si="3"/>
        <v>614252.64272601309</v>
      </c>
      <c r="L78" s="18">
        <f>SUM($J$21:J78)</f>
        <v>19620709.163547218</v>
      </c>
      <c r="M78" s="18">
        <f>SUMSQ($J$21:J78)/C78</f>
        <v>147230976292.10812</v>
      </c>
      <c r="N78" s="18">
        <f>SUM($K$21:K78)/C78</f>
        <v>338288.08902667614</v>
      </c>
      <c r="O78" s="18">
        <f t="shared" si="4"/>
        <v>4708.0660257330919</v>
      </c>
      <c r="P78" s="18">
        <f>AVERAGE($O$21:O78)</f>
        <v>2920.1622164331247</v>
      </c>
      <c r="Q78" s="20">
        <f>SUM($J$21:J78)/N78</f>
        <v>58.000000000000007</v>
      </c>
    </row>
    <row r="79" spans="1:20" x14ac:dyDescent="0.2">
      <c r="A79" s="15"/>
      <c r="B79" s="15" t="s">
        <v>11</v>
      </c>
      <c r="C79" s="39">
        <v>59</v>
      </c>
      <c r="D79" s="113">
        <f t="shared" si="12"/>
        <v>13614.067344488249</v>
      </c>
      <c r="E79" s="16"/>
      <c r="F79" s="16">
        <f t="shared" si="5"/>
        <v>1118850.6568982734</v>
      </c>
      <c r="G79" s="17">
        <f t="shared" si="1"/>
        <v>1.2167903965154528E-2</v>
      </c>
      <c r="H79" s="18">
        <f>($T$52+C79*$T$53)*$T$68</f>
        <v>610712.84383749566</v>
      </c>
      <c r="I79" s="19"/>
      <c r="J79" s="18">
        <f t="shared" si="2"/>
        <v>597098.77649300743</v>
      </c>
      <c r="K79" s="18">
        <f t="shared" si="3"/>
        <v>597098.77649300743</v>
      </c>
      <c r="L79" s="18">
        <f>SUM($J$21:J79)</f>
        <v>20217807.940040227</v>
      </c>
      <c r="M79" s="18">
        <f>SUMSQ($J$21:J79)/C79</f>
        <v>150778365658.16473</v>
      </c>
      <c r="N79" s="18">
        <f>SUM($K$21:K79)/C79</f>
        <v>342674.71084813942</v>
      </c>
      <c r="O79" s="18">
        <f t="shared" si="4"/>
        <v>4385.895569517269</v>
      </c>
      <c r="P79" s="18">
        <f>AVERAGE($O$21:O79)</f>
        <v>2945.0051546209916</v>
      </c>
      <c r="Q79" s="20">
        <f>SUM($J$21:J79)/N79</f>
        <v>59</v>
      </c>
    </row>
    <row r="80" spans="1:20" ht="13.5" thickBot="1" x14ac:dyDescent="0.25">
      <c r="A80" s="15"/>
      <c r="B80" s="22" t="s">
        <v>12</v>
      </c>
      <c r="C80" s="40">
        <v>60</v>
      </c>
      <c r="D80" s="113">
        <f t="shared" si="12"/>
        <v>14039.506949003506</v>
      </c>
      <c r="E80" s="23"/>
      <c r="F80" s="16">
        <f t="shared" si="5"/>
        <v>1137004.638624443</v>
      </c>
      <c r="G80" s="24">
        <f t="shared" si="1"/>
        <v>1.2347800943001086E-2</v>
      </c>
      <c r="H80" s="18">
        <f>($T$52+C80*$T$53)*$T$69</f>
        <v>617992.98533165932</v>
      </c>
      <c r="I80" s="19"/>
      <c r="J80" s="25">
        <f t="shared" si="2"/>
        <v>603953.47838265577</v>
      </c>
      <c r="K80" s="25">
        <f t="shared" si="3"/>
        <v>603953.47838265577</v>
      </c>
      <c r="L80" s="25">
        <f>SUM($J$21:J80)</f>
        <v>20821761.418422882</v>
      </c>
      <c r="M80" s="25">
        <f>SUMSQ($J$21:J80)/C80</f>
        <v>154344722964.7038</v>
      </c>
      <c r="N80" s="18">
        <f>SUM($K$21:K80)/C80</f>
        <v>347029.35697371472</v>
      </c>
      <c r="O80" s="25">
        <f t="shared" si="4"/>
        <v>4301.8140207945344</v>
      </c>
      <c r="P80" s="25">
        <f>AVERAGE($O$21:O80)</f>
        <v>2967.6186357238839</v>
      </c>
      <c r="Q80" s="26">
        <f>SUM($J$21:J80)/N80</f>
        <v>59.999999999999993</v>
      </c>
    </row>
    <row r="81" spans="1:18" ht="13.5" thickBot="1" x14ac:dyDescent="0.25">
      <c r="A81" s="47" t="s">
        <v>63</v>
      </c>
      <c r="B81" s="15" t="s">
        <v>1</v>
      </c>
      <c r="C81" s="41">
        <v>61</v>
      </c>
      <c r="F81" s="28" t="s">
        <v>47</v>
      </c>
      <c r="G81" s="29"/>
      <c r="H81" s="57">
        <f>($T$52+C81*$T$53)*$T$58</f>
        <v>704638.96468143864</v>
      </c>
      <c r="I81" s="30"/>
      <c r="J81" s="30"/>
      <c r="K81" s="30"/>
      <c r="L81" s="30"/>
      <c r="M81" s="34" t="s">
        <v>54</v>
      </c>
      <c r="N81" s="35">
        <f>N80*1.25</f>
        <v>433786.69621714338</v>
      </c>
      <c r="O81" s="30"/>
      <c r="P81" s="30"/>
      <c r="Q81" s="31"/>
      <c r="R81" s="32"/>
    </row>
    <row r="82" spans="1:18" x14ac:dyDescent="0.2">
      <c r="A82" s="27"/>
      <c r="B82" s="15" t="s">
        <v>2</v>
      </c>
      <c r="C82" s="42">
        <v>62</v>
      </c>
      <c r="G82" s="29"/>
      <c r="H82" s="57">
        <f>($T$52+C82*$T$53)*$T$59</f>
        <v>710530.78449367045</v>
      </c>
      <c r="I82" s="30"/>
      <c r="J82" s="30"/>
      <c r="K82" s="30"/>
      <c r="L82" s="30"/>
      <c r="M82" s="30"/>
      <c r="N82" s="30"/>
      <c r="O82" s="30"/>
      <c r="P82" s="30"/>
      <c r="Q82" s="31"/>
      <c r="R82" s="32"/>
    </row>
    <row r="83" spans="1:18" x14ac:dyDescent="0.2">
      <c r="A83" s="27"/>
      <c r="B83" s="15" t="s">
        <v>3</v>
      </c>
      <c r="C83" s="42">
        <v>63</v>
      </c>
      <c r="G83" s="29"/>
      <c r="H83" s="57">
        <f>($T$52+C83*$T$53)*$T$60</f>
        <v>727895.16162814456</v>
      </c>
      <c r="I83" s="30"/>
      <c r="J83" s="30"/>
      <c r="K83" s="30"/>
      <c r="L83" s="30"/>
      <c r="M83" s="30"/>
      <c r="N83" s="30"/>
      <c r="O83" s="30"/>
      <c r="P83" s="30"/>
      <c r="Q83" s="31"/>
      <c r="R83" s="32"/>
    </row>
    <row r="84" spans="1:18" x14ac:dyDescent="0.2">
      <c r="A84" s="27"/>
      <c r="B84" s="15" t="s">
        <v>4</v>
      </c>
      <c r="C84" s="42">
        <v>64</v>
      </c>
      <c r="G84" s="29"/>
      <c r="H84" s="57">
        <f>($T$52+C84*$T$53)*$T$61</f>
        <v>747799.35387105541</v>
      </c>
      <c r="I84" s="30"/>
      <c r="J84" s="30"/>
      <c r="K84" s="30"/>
      <c r="L84" s="30"/>
      <c r="M84" s="30"/>
      <c r="N84" s="30"/>
      <c r="O84" s="30"/>
      <c r="P84" s="30"/>
      <c r="Q84" s="31"/>
      <c r="R84" s="32"/>
    </row>
    <row r="85" spans="1:18" x14ac:dyDescent="0.2">
      <c r="A85" s="27"/>
      <c r="B85" s="15" t="s">
        <v>5</v>
      </c>
      <c r="C85" s="42">
        <v>65</v>
      </c>
      <c r="G85" s="29"/>
      <c r="H85" s="57">
        <f>($T$52+C85*$T$53)*$T$62</f>
        <v>781941.55707360758</v>
      </c>
      <c r="I85" s="30"/>
      <c r="J85" s="30"/>
      <c r="K85" s="30"/>
      <c r="L85" s="30"/>
      <c r="M85" s="30"/>
      <c r="N85" s="30"/>
      <c r="O85" s="30"/>
      <c r="P85" s="30"/>
      <c r="Q85" s="31"/>
      <c r="R85" s="32"/>
    </row>
    <row r="86" spans="1:18" x14ac:dyDescent="0.2">
      <c r="A86" s="27"/>
      <c r="B86" s="15" t="s">
        <v>6</v>
      </c>
      <c r="C86" s="42">
        <v>66</v>
      </c>
      <c r="G86" s="29"/>
      <c r="H86" s="57">
        <f>($T$52+C86*$T$53)*$T$63</f>
        <v>757979.91664005222</v>
      </c>
      <c r="I86" s="30"/>
      <c r="J86" s="30"/>
      <c r="K86" s="30"/>
      <c r="L86" s="30"/>
      <c r="M86" s="30"/>
      <c r="N86" s="30"/>
      <c r="O86" s="30"/>
      <c r="P86" s="30"/>
      <c r="Q86" s="31"/>
      <c r="R86" s="32"/>
    </row>
    <row r="87" spans="1:18" x14ac:dyDescent="0.2">
      <c r="A87" s="27"/>
      <c r="B87" s="15" t="s">
        <v>7</v>
      </c>
      <c r="C87" s="42">
        <v>67</v>
      </c>
      <c r="G87" s="29"/>
      <c r="H87" s="57">
        <f>($T$52+C87*$T$53)*$T$64</f>
        <v>780010.55781267723</v>
      </c>
      <c r="I87" s="30"/>
      <c r="J87" s="30"/>
      <c r="K87" s="30"/>
      <c r="L87" s="30"/>
      <c r="M87" s="30"/>
      <c r="N87" s="30"/>
      <c r="O87" s="30"/>
      <c r="P87" s="30"/>
      <c r="Q87" s="31"/>
      <c r="R87" s="32"/>
    </row>
    <row r="88" spans="1:18" x14ac:dyDescent="0.2">
      <c r="A88" s="27"/>
      <c r="B88" s="15" t="s">
        <v>8</v>
      </c>
      <c r="C88" s="42">
        <v>68</v>
      </c>
      <c r="G88" s="29"/>
      <c r="H88" s="57">
        <f>($T$52+C88*$T$53)*$T$65</f>
        <v>790295.65320943668</v>
      </c>
      <c r="I88" s="30"/>
      <c r="J88" s="30"/>
      <c r="K88" s="30"/>
      <c r="L88" s="30"/>
      <c r="M88" s="30"/>
      <c r="N88" s="30"/>
      <c r="O88" s="30"/>
      <c r="P88" s="30"/>
      <c r="Q88" s="31"/>
      <c r="R88" s="32"/>
    </row>
    <row r="89" spans="1:18" x14ac:dyDescent="0.2">
      <c r="A89" s="27"/>
      <c r="B89" s="15" t="s">
        <v>9</v>
      </c>
      <c r="C89" s="42">
        <v>69</v>
      </c>
      <c r="G89" s="29"/>
      <c r="H89" s="57">
        <f>($T$52+C89*$T$53)*$T$66</f>
        <v>763017.74138329271</v>
      </c>
      <c r="I89" s="30"/>
      <c r="J89" s="30"/>
      <c r="K89" s="30"/>
      <c r="L89" s="30"/>
      <c r="M89" s="30"/>
      <c r="N89" s="30"/>
      <c r="O89" s="30"/>
      <c r="P89" s="30"/>
      <c r="Q89" s="31"/>
      <c r="R89" s="32"/>
    </row>
    <row r="90" spans="1:18" x14ac:dyDescent="0.2">
      <c r="A90" s="27"/>
      <c r="B90" s="15" t="s">
        <v>10</v>
      </c>
      <c r="C90" s="42">
        <v>70</v>
      </c>
      <c r="G90" s="29"/>
      <c r="H90" s="57">
        <f>($T$52+C90*$T$53)*$T$67</f>
        <v>751453.36604849633</v>
      </c>
      <c r="I90" s="30"/>
      <c r="J90" s="30"/>
      <c r="K90" s="30"/>
      <c r="L90" s="30"/>
      <c r="M90" s="30"/>
      <c r="N90" s="30"/>
      <c r="O90" s="30"/>
      <c r="P90" s="30"/>
      <c r="Q90" s="31"/>
      <c r="R90" s="32"/>
    </row>
    <row r="91" spans="1:18" x14ac:dyDescent="0.2">
      <c r="A91" s="27"/>
      <c r="B91" s="15" t="s">
        <v>11</v>
      </c>
      <c r="C91" s="42">
        <v>71</v>
      </c>
      <c r="H91" s="57">
        <f>($T$52+C91*$T$53)*$T$68</f>
        <v>729622.75988686562</v>
      </c>
      <c r="I91" s="30"/>
      <c r="J91" s="30"/>
      <c r="K91" s="30"/>
      <c r="L91" s="30"/>
      <c r="M91" s="30"/>
      <c r="N91" s="30"/>
      <c r="O91" s="30"/>
      <c r="P91" s="30"/>
      <c r="Q91" s="31"/>
      <c r="R91" s="32"/>
    </row>
    <row r="92" spans="1:18" x14ac:dyDescent="0.2">
      <c r="A92" s="27"/>
      <c r="B92" s="22" t="s">
        <v>12</v>
      </c>
      <c r="C92" s="43">
        <v>72</v>
      </c>
      <c r="H92" s="57">
        <f>($T$52+C92*$T$53)*$T$69</f>
        <v>736399.18683512753</v>
      </c>
      <c r="I92" s="30"/>
      <c r="J92" s="30"/>
      <c r="K92" s="30"/>
      <c r="L92" s="30"/>
      <c r="M92" s="30"/>
      <c r="N92" s="30"/>
      <c r="O92" s="30"/>
      <c r="P92" s="30"/>
      <c r="Q92" s="31"/>
      <c r="R92" s="32"/>
    </row>
    <row r="93" spans="1:18" x14ac:dyDescent="0.2">
      <c r="C93" s="44"/>
      <c r="I93" s="32"/>
      <c r="J93" s="32"/>
      <c r="K93" s="32"/>
      <c r="L93" s="32"/>
      <c r="M93" s="32"/>
      <c r="N93" s="32"/>
      <c r="O93" s="32"/>
      <c r="P93" s="32"/>
      <c r="Q93" s="33"/>
      <c r="R93" s="32"/>
    </row>
    <row r="94" spans="1:18" x14ac:dyDescent="0.2">
      <c r="C94" s="44"/>
      <c r="I94" s="32"/>
      <c r="J94" s="32"/>
      <c r="K94" s="32"/>
      <c r="L94" s="32"/>
      <c r="M94" s="32"/>
      <c r="N94" s="32"/>
      <c r="O94" s="32"/>
      <c r="P94" s="32"/>
      <c r="Q94" s="33"/>
      <c r="R94" s="32"/>
    </row>
    <row r="95" spans="1:18" x14ac:dyDescent="0.2">
      <c r="C95" s="44"/>
      <c r="I95" s="32"/>
      <c r="J95" s="32"/>
      <c r="K95" s="32"/>
      <c r="L95" s="32"/>
      <c r="M95" s="32"/>
      <c r="N95" s="32"/>
      <c r="O95" s="32"/>
      <c r="P95" s="32"/>
      <c r="Q95" s="33"/>
      <c r="R95" s="32"/>
    </row>
    <row r="96" spans="1:18" x14ac:dyDescent="0.2">
      <c r="C96" s="44"/>
      <c r="I96" s="32"/>
      <c r="J96" s="32"/>
      <c r="K96" s="32"/>
      <c r="L96" s="32"/>
      <c r="M96" s="32"/>
      <c r="N96" s="32"/>
      <c r="O96" s="32"/>
      <c r="P96" s="32"/>
      <c r="Q96" s="33"/>
      <c r="R96" s="32"/>
    </row>
    <row r="97" spans="9:18" x14ac:dyDescent="0.2">
      <c r="I97" s="32"/>
      <c r="J97" s="32"/>
      <c r="K97" s="32"/>
      <c r="L97" s="32"/>
      <c r="M97" s="32"/>
      <c r="N97" s="32"/>
      <c r="O97" s="32"/>
      <c r="P97" s="32"/>
      <c r="Q97" s="33"/>
      <c r="R97" s="32"/>
    </row>
    <row r="98" spans="9:18" x14ac:dyDescent="0.2">
      <c r="I98" s="32"/>
      <c r="J98" s="32"/>
      <c r="K98" s="32"/>
      <c r="L98" s="32"/>
      <c r="M98" s="32"/>
      <c r="N98" s="32"/>
      <c r="O98" s="32"/>
      <c r="P98" s="32"/>
      <c r="Q98" s="33"/>
      <c r="R98" s="32"/>
    </row>
    <row r="99" spans="9:18" x14ac:dyDescent="0.2">
      <c r="I99" s="32"/>
      <c r="J99" s="32"/>
      <c r="K99" s="32"/>
      <c r="L99" s="32"/>
      <c r="M99" s="32"/>
      <c r="N99" s="32"/>
      <c r="O99" s="32"/>
      <c r="P99" s="32"/>
      <c r="Q99" s="33"/>
      <c r="R99" s="32"/>
    </row>
    <row r="100" spans="9:18" x14ac:dyDescent="0.2">
      <c r="I100" s="32"/>
      <c r="J100" s="32"/>
      <c r="K100" s="32"/>
      <c r="L100" s="32"/>
      <c r="M100" s="32"/>
      <c r="N100" s="32"/>
      <c r="O100" s="32"/>
      <c r="P100" s="32"/>
      <c r="Q100" s="33"/>
      <c r="R100" s="32"/>
    </row>
    <row r="101" spans="9:18" x14ac:dyDescent="0.2">
      <c r="I101" s="32"/>
      <c r="J101" s="32"/>
      <c r="K101" s="32"/>
      <c r="L101" s="32"/>
      <c r="M101" s="32"/>
      <c r="N101" s="32"/>
      <c r="O101" s="32"/>
      <c r="P101" s="32"/>
      <c r="Q101" s="33"/>
      <c r="R101" s="32"/>
    </row>
    <row r="102" spans="9:18" x14ac:dyDescent="0.2">
      <c r="I102" s="32"/>
      <c r="J102" s="32"/>
      <c r="K102" s="32"/>
      <c r="L102" s="32"/>
      <c r="M102" s="32"/>
      <c r="N102" s="32"/>
      <c r="O102" s="32"/>
      <c r="P102" s="32"/>
      <c r="Q102" s="33"/>
      <c r="R102" s="32"/>
    </row>
    <row r="103" spans="9:18" x14ac:dyDescent="0.2">
      <c r="I103" s="32"/>
      <c r="J103" s="32"/>
      <c r="K103" s="32"/>
      <c r="L103" s="32"/>
      <c r="M103" s="32"/>
      <c r="N103" s="32"/>
      <c r="O103" s="32"/>
      <c r="P103" s="32"/>
      <c r="Q103" s="33"/>
      <c r="R103" s="32"/>
    </row>
    <row r="104" spans="9:18" x14ac:dyDescent="0.2">
      <c r="I104" s="32"/>
      <c r="J104" s="32"/>
      <c r="K104" s="32"/>
      <c r="L104" s="32"/>
      <c r="M104" s="32"/>
      <c r="N104" s="32"/>
      <c r="O104" s="32"/>
      <c r="P104" s="32"/>
      <c r="Q104" s="33"/>
      <c r="R104" s="32"/>
    </row>
    <row r="105" spans="9:18" x14ac:dyDescent="0.2">
      <c r="I105" s="32"/>
      <c r="J105" s="32"/>
      <c r="K105" s="32"/>
      <c r="L105" s="32"/>
      <c r="M105" s="32"/>
      <c r="N105" s="32"/>
      <c r="O105" s="32"/>
      <c r="P105" s="32"/>
      <c r="Q105" s="33"/>
      <c r="R105" s="32"/>
    </row>
    <row r="106" spans="9:18" x14ac:dyDescent="0.2">
      <c r="I106" s="32"/>
      <c r="J106" s="32"/>
      <c r="K106" s="32"/>
      <c r="L106" s="32"/>
      <c r="M106" s="32"/>
      <c r="N106" s="32"/>
      <c r="O106" s="32"/>
      <c r="P106" s="32"/>
      <c r="Q106" s="33"/>
      <c r="R106" s="32"/>
    </row>
    <row r="107" spans="9:18" x14ac:dyDescent="0.2">
      <c r="I107" s="32"/>
      <c r="J107" s="32"/>
      <c r="K107" s="32"/>
      <c r="L107" s="32"/>
      <c r="M107" s="32"/>
      <c r="N107" s="32"/>
      <c r="O107" s="32"/>
      <c r="P107" s="32"/>
      <c r="Q107" s="33"/>
      <c r="R107" s="32"/>
    </row>
    <row r="108" spans="9:18" x14ac:dyDescent="0.2">
      <c r="I108" s="32"/>
      <c r="J108" s="32"/>
      <c r="K108" s="32"/>
      <c r="L108" s="32"/>
      <c r="M108" s="32"/>
      <c r="N108" s="32"/>
      <c r="O108" s="32"/>
      <c r="P108" s="32"/>
      <c r="Q108" s="33"/>
      <c r="R108" s="32"/>
    </row>
    <row r="109" spans="9:18" x14ac:dyDescent="0.2">
      <c r="I109" s="32"/>
      <c r="J109" s="32"/>
      <c r="K109" s="32"/>
      <c r="L109" s="32"/>
      <c r="M109" s="32"/>
      <c r="N109" s="32"/>
      <c r="O109" s="32"/>
      <c r="P109" s="32"/>
      <c r="Q109" s="33"/>
      <c r="R109" s="32"/>
    </row>
    <row r="110" spans="9:18" x14ac:dyDescent="0.2">
      <c r="I110" s="32"/>
      <c r="J110" s="32"/>
      <c r="K110" s="32"/>
      <c r="L110" s="32"/>
      <c r="M110" s="32"/>
      <c r="N110" s="32"/>
      <c r="O110" s="32"/>
      <c r="P110" s="32"/>
      <c r="Q110" s="33"/>
      <c r="R110" s="32"/>
    </row>
    <row r="111" spans="9:18" x14ac:dyDescent="0.2">
      <c r="I111" s="32"/>
      <c r="J111" s="32"/>
      <c r="K111" s="32"/>
      <c r="L111" s="32"/>
      <c r="M111" s="32"/>
      <c r="N111" s="32"/>
      <c r="O111" s="32"/>
      <c r="P111" s="32"/>
      <c r="Q111" s="33"/>
      <c r="R111" s="32"/>
    </row>
    <row r="112" spans="9:18" x14ac:dyDescent="0.2">
      <c r="I112" s="32"/>
      <c r="J112" s="32"/>
      <c r="K112" s="32"/>
      <c r="L112" s="32"/>
      <c r="M112" s="32"/>
      <c r="N112" s="32"/>
      <c r="O112" s="32"/>
      <c r="P112" s="32"/>
      <c r="Q112" s="33"/>
      <c r="R112" s="32"/>
    </row>
    <row r="113" spans="9:18" x14ac:dyDescent="0.2">
      <c r="I113" s="32"/>
      <c r="J113" s="32"/>
      <c r="K113" s="32"/>
      <c r="L113" s="32"/>
      <c r="M113" s="32"/>
      <c r="N113" s="32"/>
      <c r="O113" s="32"/>
      <c r="P113" s="32"/>
      <c r="Q113" s="33"/>
      <c r="R113" s="32"/>
    </row>
    <row r="114" spans="9:18" x14ac:dyDescent="0.2">
      <c r="I114" s="32"/>
      <c r="J114" s="32"/>
      <c r="K114" s="32"/>
      <c r="L114" s="32"/>
      <c r="M114" s="32"/>
      <c r="N114" s="32"/>
      <c r="O114" s="32"/>
      <c r="P114" s="32"/>
      <c r="Q114" s="33"/>
      <c r="R114" s="32"/>
    </row>
    <row r="115" spans="9:18" x14ac:dyDescent="0.2">
      <c r="I115" s="32"/>
      <c r="J115" s="32"/>
      <c r="K115" s="32"/>
      <c r="L115" s="32"/>
      <c r="M115" s="32"/>
      <c r="N115" s="32"/>
      <c r="O115" s="32"/>
      <c r="P115" s="32"/>
      <c r="Q115" s="33"/>
      <c r="R115" s="32"/>
    </row>
  </sheetData>
  <mergeCells count="1">
    <mergeCell ref="K8:N8"/>
  </mergeCells>
  <pageMargins left="0.7" right="0.7" top="0.75" bottom="0.75" header="0.3" footer="0.3"/>
  <pageSetup paperSize="9" orientation="portrait" horizontalDpi="200" verticalDpi="200" copies="0"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0AD47-AB00-4AE7-9BEF-179EB57B9318}">
  <dimension ref="B3:L26"/>
  <sheetViews>
    <sheetView topLeftCell="C1" zoomScale="70" zoomScaleNormal="70" workbookViewId="0">
      <selection activeCell="P31" sqref="P31"/>
    </sheetView>
  </sheetViews>
  <sheetFormatPr baseColWidth="10" defaultRowHeight="12.75" x14ac:dyDescent="0.2"/>
  <cols>
    <col min="1" max="3" width="11.42578125" style="96"/>
    <col min="4" max="4" width="15.7109375" style="96" customWidth="1"/>
    <col min="5" max="5" width="12.42578125" style="96" customWidth="1"/>
    <col min="6" max="6" width="11.42578125" style="96"/>
    <col min="7" max="7" width="11.7109375" style="96" bestFit="1" customWidth="1"/>
    <col min="8" max="8" width="17" style="96" customWidth="1"/>
    <col min="9" max="9" width="15.28515625" style="96" customWidth="1"/>
    <col min="10" max="10" width="3.28515625" style="96" customWidth="1"/>
    <col min="11" max="11" width="5.28515625" style="96" customWidth="1"/>
    <col min="12" max="12" width="15.28515625" style="96" customWidth="1"/>
    <col min="13" max="16384" width="11.42578125" style="96"/>
  </cols>
  <sheetData>
    <row r="3" spans="2:12" x14ac:dyDescent="0.2">
      <c r="B3" s="270" t="s">
        <v>673</v>
      </c>
      <c r="C3" s="270" t="s">
        <v>74</v>
      </c>
      <c r="D3" s="270" t="s">
        <v>674</v>
      </c>
      <c r="E3" s="270" t="s">
        <v>691</v>
      </c>
      <c r="F3" s="270" t="s">
        <v>675</v>
      </c>
      <c r="G3" s="270" t="s">
        <v>674</v>
      </c>
      <c r="H3" s="270" t="s">
        <v>693</v>
      </c>
      <c r="I3" s="270" t="s">
        <v>694</v>
      </c>
    </row>
    <row r="4" spans="2:12" x14ac:dyDescent="0.2">
      <c r="B4" s="270" t="s">
        <v>676</v>
      </c>
      <c r="C4" s="239">
        <v>1</v>
      </c>
      <c r="D4" s="304">
        <v>53282.126659617461</v>
      </c>
      <c r="E4" s="304">
        <f>D4</f>
        <v>53282.126659617461</v>
      </c>
      <c r="F4" s="304">
        <f>0</f>
        <v>0</v>
      </c>
      <c r="G4" s="304"/>
      <c r="H4" s="304"/>
      <c r="I4" s="239"/>
      <c r="K4" s="305" t="s">
        <v>688</v>
      </c>
      <c r="L4" s="239">
        <v>0.65286471670537671</v>
      </c>
    </row>
    <row r="5" spans="2:12" x14ac:dyDescent="0.2">
      <c r="B5" s="270" t="s">
        <v>677</v>
      </c>
      <c r="C5" s="239">
        <v>2</v>
      </c>
      <c r="D5" s="304">
        <v>61602.658324521799</v>
      </c>
      <c r="E5" s="304">
        <f>$L$4*D5+(1-$L$4)*(E4+F4)</f>
        <v>58714.308207863345</v>
      </c>
      <c r="F5" s="304">
        <f>$L$5*(E5-E4)+(1-$L$5)*F4</f>
        <v>4968.433879576015</v>
      </c>
      <c r="G5" s="304">
        <f>E4+F4</f>
        <v>53282.126659617461</v>
      </c>
      <c r="H5" s="304">
        <f>(D5-G5)</f>
        <v>8320.531664904338</v>
      </c>
      <c r="I5" s="304">
        <f>H5^2</f>
        <v>69231247.186675757</v>
      </c>
      <c r="K5" s="305" t="s">
        <v>689</v>
      </c>
      <c r="L5" s="239">
        <v>0.9146295710938418</v>
      </c>
    </row>
    <row r="6" spans="2:12" x14ac:dyDescent="0.2">
      <c r="B6" s="270" t="s">
        <v>678</v>
      </c>
      <c r="C6" s="239">
        <v>3</v>
      </c>
      <c r="D6" s="304">
        <v>76251.402655387894</v>
      </c>
      <c r="E6" s="304">
        <f t="shared" ref="E6:E15" si="0">$L$4*D6+(1-$L$4)*(E5+F5)</f>
        <v>71888.377108499117</v>
      </c>
      <c r="F6" s="304">
        <f t="shared" ref="F6:F15" si="1">$L$5*(E6-E5)+(1-$L$5)*F5</f>
        <v>12473.550319440506</v>
      </c>
      <c r="G6" s="304">
        <f t="shared" ref="G6:G15" si="2">E5+F5</f>
        <v>63682.742087439357</v>
      </c>
      <c r="H6" s="304">
        <f t="shared" ref="H6:H15" si="3">(D6-G6)</f>
        <v>12568.660567948536</v>
      </c>
      <c r="I6" s="304">
        <f t="shared" ref="I6:I15" si="4">H6^2</f>
        <v>157971228.47230443</v>
      </c>
      <c r="K6" s="96" t="s">
        <v>18</v>
      </c>
      <c r="L6" s="304">
        <f>AVERAGE(I5:I15)</f>
        <v>218836998.7503731</v>
      </c>
    </row>
    <row r="7" spans="2:12" x14ac:dyDescent="0.2">
      <c r="B7" s="270" t="s">
        <v>679</v>
      </c>
      <c r="C7" s="239">
        <v>4</v>
      </c>
      <c r="D7" s="304">
        <v>111892.46598519667</v>
      </c>
      <c r="E7" s="304">
        <f t="shared" si="0"/>
        <v>102335.6446838697</v>
      </c>
      <c r="F7" s="304">
        <f t="shared" si="1"/>
        <v>28912.843624193818</v>
      </c>
      <c r="G7" s="304">
        <f t="shared" si="2"/>
        <v>84361.92742793962</v>
      </c>
      <c r="H7" s="304">
        <f t="shared" si="3"/>
        <v>27530.538557257052</v>
      </c>
      <c r="I7" s="304">
        <f t="shared" si="4"/>
        <v>757930553.25261724</v>
      </c>
      <c r="K7" s="305" t="s">
        <v>692</v>
      </c>
      <c r="L7" s="304">
        <f>AVERAGE(H5:H15)</f>
        <v>2025.1757056724482</v>
      </c>
    </row>
    <row r="8" spans="2:12" x14ac:dyDescent="0.2">
      <c r="B8" s="270" t="s">
        <v>680</v>
      </c>
      <c r="C8" s="239">
        <v>5</v>
      </c>
      <c r="D8" s="304">
        <v>143861.74198096714</v>
      </c>
      <c r="E8" s="304">
        <f t="shared" si="0"/>
        <v>139483.2365939568</v>
      </c>
      <c r="F8" s="304">
        <f t="shared" si="1"/>
        <v>36444.587916986136</v>
      </c>
      <c r="G8" s="304">
        <f t="shared" si="2"/>
        <v>131248.48830806353</v>
      </c>
      <c r="H8" s="304">
        <f t="shared" si="3"/>
        <v>12613.253672903607</v>
      </c>
      <c r="I8" s="304">
        <f t="shared" si="4"/>
        <v>159094168.21701634</v>
      </c>
    </row>
    <row r="9" spans="2:12" x14ac:dyDescent="0.2">
      <c r="B9" s="270" t="s">
        <v>681</v>
      </c>
      <c r="C9" s="239">
        <v>6</v>
      </c>
      <c r="D9" s="304">
        <v>145174.59264481399</v>
      </c>
      <c r="E9" s="304">
        <f t="shared" si="0"/>
        <v>155850.12450088791</v>
      </c>
      <c r="F9" s="304">
        <f t="shared" si="1"/>
        <v>18080.929768238682</v>
      </c>
      <c r="G9" s="304">
        <f t="shared" si="2"/>
        <v>175927.82451094294</v>
      </c>
      <c r="H9" s="304">
        <f t="shared" si="3"/>
        <v>-30753.231866128946</v>
      </c>
      <c r="I9" s="304">
        <f t="shared" si="4"/>
        <v>945761270.21188891</v>
      </c>
    </row>
    <row r="10" spans="2:12" x14ac:dyDescent="0.2">
      <c r="B10" s="270" t="s">
        <v>682</v>
      </c>
      <c r="C10" s="239">
        <v>7</v>
      </c>
      <c r="D10" s="304">
        <v>186487.44330866114</v>
      </c>
      <c r="E10" s="304">
        <f t="shared" si="0"/>
        <v>182128.67764226481</v>
      </c>
      <c r="F10" s="304">
        <f t="shared" si="1"/>
        <v>25578.718518000947</v>
      </c>
      <c r="G10" s="304">
        <f t="shared" si="2"/>
        <v>173931.05426912659</v>
      </c>
      <c r="H10" s="304">
        <f t="shared" si="3"/>
        <v>12556.389039534552</v>
      </c>
      <c r="I10" s="304">
        <f t="shared" si="4"/>
        <v>157662905.71214342</v>
      </c>
    </row>
    <row r="11" spans="2:12" x14ac:dyDescent="0.2">
      <c r="B11" s="270" t="s">
        <v>683</v>
      </c>
      <c r="C11" s="239">
        <v>8</v>
      </c>
      <c r="D11" s="304">
        <v>197800.29397250799</v>
      </c>
      <c r="E11" s="304">
        <f t="shared" si="0"/>
        <v>201239.39869708405</v>
      </c>
      <c r="F11" s="304">
        <f t="shared" si="1"/>
        <v>19662.896772415002</v>
      </c>
      <c r="G11" s="304">
        <f t="shared" si="2"/>
        <v>207707.39616026575</v>
      </c>
      <c r="H11" s="304">
        <f t="shared" si="3"/>
        <v>-9907.1021877577587</v>
      </c>
      <c r="I11" s="304">
        <f t="shared" si="4"/>
        <v>98150673.758674562</v>
      </c>
    </row>
    <row r="12" spans="2:12" x14ac:dyDescent="0.2">
      <c r="B12" s="270" t="s">
        <v>684</v>
      </c>
      <c r="C12" s="239">
        <v>9</v>
      </c>
      <c r="D12" s="304">
        <v>217128.50663846999</v>
      </c>
      <c r="E12" s="304">
        <f t="shared" si="0"/>
        <v>218438.52189342334</v>
      </c>
      <c r="F12" s="304">
        <f t="shared" si="1"/>
        <v>17409.456603256534</v>
      </c>
      <c r="G12" s="304">
        <f t="shared" si="2"/>
        <v>220902.29546949905</v>
      </c>
      <c r="H12" s="304">
        <f t="shared" si="3"/>
        <v>-3773.7888310290582</v>
      </c>
      <c r="I12" s="304">
        <f t="shared" si="4"/>
        <v>14241482.141199665</v>
      </c>
    </row>
    <row r="13" spans="2:12" x14ac:dyDescent="0.2">
      <c r="B13" s="270" t="s">
        <v>685</v>
      </c>
      <c r="C13" s="239">
        <v>10</v>
      </c>
      <c r="D13" s="304">
        <v>232456.71930443199</v>
      </c>
      <c r="E13" s="304">
        <f t="shared" si="0"/>
        <v>233633.94502485843</v>
      </c>
      <c r="F13" s="304">
        <f t="shared" si="1"/>
        <v>15384.436118537078</v>
      </c>
      <c r="G13" s="304">
        <f t="shared" si="2"/>
        <v>235847.97849667986</v>
      </c>
      <c r="H13" s="304">
        <f t="shared" si="3"/>
        <v>-3391.259192247875</v>
      </c>
      <c r="I13" s="304">
        <f t="shared" si="4"/>
        <v>11500638.909005709</v>
      </c>
    </row>
    <row r="14" spans="2:12" x14ac:dyDescent="0.2">
      <c r="B14" s="270" t="s">
        <v>686</v>
      </c>
      <c r="C14" s="239">
        <v>11</v>
      </c>
      <c r="D14" s="304">
        <v>251120.825637412</v>
      </c>
      <c r="E14" s="304">
        <f t="shared" si="0"/>
        <v>250390.99297237035</v>
      </c>
      <c r="F14" s="304">
        <f t="shared" si="1"/>
        <v>16639.867486950672</v>
      </c>
      <c r="G14" s="304">
        <f t="shared" si="2"/>
        <v>249018.3811433955</v>
      </c>
      <c r="H14" s="304">
        <f t="shared" si="3"/>
        <v>2102.4444940164976</v>
      </c>
      <c r="I14" s="304">
        <f t="shared" si="4"/>
        <v>4420272.8504202869</v>
      </c>
    </row>
    <row r="15" spans="2:12" x14ac:dyDescent="0.2">
      <c r="B15" s="270" t="s">
        <v>687</v>
      </c>
      <c r="C15" s="239">
        <v>12</v>
      </c>
      <c r="D15" s="304">
        <v>261441.35730231699</v>
      </c>
      <c r="E15" s="304">
        <f t="shared" si="0"/>
        <v>263381.67106419976</v>
      </c>
      <c r="F15" s="304">
        <f t="shared" si="1"/>
        <v>13302.210955650717</v>
      </c>
      <c r="G15" s="304">
        <f t="shared" si="2"/>
        <v>267030.860459321</v>
      </c>
      <c r="H15" s="304">
        <f t="shared" si="3"/>
        <v>-5589.5031570040155</v>
      </c>
      <c r="I15" s="304">
        <f t="shared" si="4"/>
        <v>31242545.542157855</v>
      </c>
    </row>
    <row r="16" spans="2:12" x14ac:dyDescent="0.2">
      <c r="B16" s="270" t="s">
        <v>676</v>
      </c>
      <c r="C16" s="239">
        <v>13</v>
      </c>
      <c r="D16" s="307" t="s">
        <v>690</v>
      </c>
      <c r="E16" s="304"/>
      <c r="F16" s="304"/>
      <c r="G16" s="304">
        <f>E15+F15</f>
        <v>276683.88201985048</v>
      </c>
      <c r="H16" s="304"/>
      <c r="I16" s="342"/>
    </row>
    <row r="17" spans="2:9" x14ac:dyDescent="0.2">
      <c r="B17" s="270" t="s">
        <v>677</v>
      </c>
      <c r="C17" s="239">
        <v>14</v>
      </c>
      <c r="D17" s="308"/>
      <c r="E17" s="304"/>
      <c r="F17" s="304"/>
      <c r="G17" s="304">
        <f>$E$15+$F$15*C5</f>
        <v>289986.0929755012</v>
      </c>
      <c r="H17" s="304"/>
      <c r="I17" s="343"/>
    </row>
    <row r="18" spans="2:9" x14ac:dyDescent="0.2">
      <c r="B18" s="270" t="s">
        <v>678</v>
      </c>
      <c r="C18" s="239">
        <v>15</v>
      </c>
      <c r="D18" s="308"/>
      <c r="E18" s="309"/>
      <c r="F18" s="309"/>
      <c r="G18" s="304">
        <f t="shared" ref="G18:G21" si="5">$E$15+$F$15*C6</f>
        <v>303288.30393115192</v>
      </c>
      <c r="H18" s="304"/>
      <c r="I18" s="343"/>
    </row>
    <row r="19" spans="2:9" x14ac:dyDescent="0.2">
      <c r="B19" s="270" t="s">
        <v>679</v>
      </c>
      <c r="C19" s="239">
        <v>16</v>
      </c>
      <c r="D19" s="308"/>
      <c r="E19" s="309"/>
      <c r="F19" s="309"/>
      <c r="G19" s="304">
        <f t="shared" si="5"/>
        <v>316590.51488680264</v>
      </c>
      <c r="H19" s="304"/>
      <c r="I19" s="343"/>
    </row>
    <row r="20" spans="2:9" x14ac:dyDescent="0.2">
      <c r="B20" s="270" t="s">
        <v>680</v>
      </c>
      <c r="C20" s="239">
        <v>17</v>
      </c>
      <c r="D20" s="308"/>
      <c r="E20" s="309"/>
      <c r="F20" s="309"/>
      <c r="G20" s="304">
        <f t="shared" si="5"/>
        <v>329892.72584245336</v>
      </c>
      <c r="H20" s="304"/>
      <c r="I20" s="343"/>
    </row>
    <row r="21" spans="2:9" x14ac:dyDescent="0.2">
      <c r="B21" s="270" t="s">
        <v>681</v>
      </c>
      <c r="C21" s="239">
        <v>18</v>
      </c>
      <c r="D21" s="310"/>
      <c r="E21" s="311"/>
      <c r="F21" s="311"/>
      <c r="G21" s="304">
        <f t="shared" si="5"/>
        <v>343194.93679810409</v>
      </c>
      <c r="H21" s="304"/>
      <c r="I21" s="344"/>
    </row>
    <row r="22" spans="2:9" x14ac:dyDescent="0.2">
      <c r="D22" s="306">
        <f>SUM(D4:D14)</f>
        <v>1677058.777111988</v>
      </c>
      <c r="H22" s="313">
        <f>SUM(H5:H15)</f>
        <v>22276.932762396929</v>
      </c>
      <c r="I22" s="312">
        <f>SUM(I5:I15)</f>
        <v>2407206986.2541041</v>
      </c>
    </row>
    <row r="26" spans="2:9" x14ac:dyDescent="0.2">
      <c r="F26" s="96">
        <f>H22/D22</f>
        <v>1.32833345297291E-2</v>
      </c>
    </row>
  </sheetData>
  <mergeCells count="1">
    <mergeCell ref="I16:I21"/>
  </mergeCells>
  <phoneticPr fontId="5" type="noConversion"/>
  <pageMargins left="0.7" right="0.7" top="0.75" bottom="0.75" header="0.3" footer="0.3"/>
  <pageSetup paperSize="9" orientation="portrait" horizontalDpi="200" verticalDpi="200" copies="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855DB-912E-44E6-AE33-BEAE05D99827}">
  <dimension ref="A1:AA115"/>
  <sheetViews>
    <sheetView workbookViewId="0">
      <selection activeCell="K12" sqref="K12"/>
    </sheetView>
  </sheetViews>
  <sheetFormatPr baseColWidth="10" defaultColWidth="8.85546875" defaultRowHeight="12.75" x14ac:dyDescent="0.2"/>
  <cols>
    <col min="1" max="2" width="8.42578125" customWidth="1"/>
    <col min="3" max="4" width="8.42578125" style="2" customWidth="1"/>
    <col min="5" max="5" width="13.85546875" style="2" customWidth="1"/>
    <col min="6" max="6" width="9.5703125" style="2" bestFit="1" customWidth="1"/>
    <col min="7" max="7" width="9.42578125" style="2" customWidth="1"/>
    <col min="8" max="8" width="8.42578125" customWidth="1"/>
    <col min="9" max="9" width="3.140625" customWidth="1"/>
    <col min="10" max="12" width="8.5703125" customWidth="1"/>
    <col min="13" max="13" width="12.28515625" customWidth="1"/>
    <col min="14" max="16" width="8.5703125" customWidth="1"/>
    <col min="17" max="17" width="8.5703125" style="3" customWidth="1"/>
    <col min="19" max="19" width="17.85546875" bestFit="1" customWidth="1"/>
    <col min="20" max="20" width="30.85546875" bestFit="1" customWidth="1"/>
    <col min="21" max="21" width="32.7109375" bestFit="1" customWidth="1"/>
  </cols>
  <sheetData>
    <row r="1" spans="1:14" ht="13.5" thickBot="1" x14ac:dyDescent="0.25">
      <c r="A1" s="1" t="s">
        <v>56</v>
      </c>
      <c r="B1" s="36"/>
    </row>
    <row r="2" spans="1:14" ht="13.5" thickBot="1" x14ac:dyDescent="0.25">
      <c r="K2" s="339" t="s">
        <v>90</v>
      </c>
      <c r="L2" s="340"/>
      <c r="M2" s="340"/>
      <c r="N2" s="341"/>
    </row>
    <row r="3" spans="1:14" x14ac:dyDescent="0.2">
      <c r="B3" s="4" t="s">
        <v>0</v>
      </c>
      <c r="C3" s="5" t="s">
        <v>58</v>
      </c>
      <c r="D3" s="5" t="s">
        <v>59</v>
      </c>
      <c r="E3" s="5" t="s">
        <v>60</v>
      </c>
      <c r="F3" s="5" t="s">
        <v>61</v>
      </c>
      <c r="G3" s="6" t="s">
        <v>62</v>
      </c>
    </row>
    <row r="4" spans="1:14" x14ac:dyDescent="0.2">
      <c r="B4" s="7" t="s">
        <v>1</v>
      </c>
      <c r="C4" s="60">
        <v>2000</v>
      </c>
      <c r="D4" s="60">
        <v>4000</v>
      </c>
      <c r="E4" s="60">
        <v>8000</v>
      </c>
      <c r="F4" s="60">
        <v>7500</v>
      </c>
      <c r="G4" s="61">
        <v>7000</v>
      </c>
      <c r="K4" s="21" t="s">
        <v>23</v>
      </c>
      <c r="L4" s="21" t="s">
        <v>24</v>
      </c>
    </row>
    <row r="5" spans="1:14" x14ac:dyDescent="0.2">
      <c r="B5" s="7" t="s">
        <v>2</v>
      </c>
      <c r="C5" s="60">
        <v>2500</v>
      </c>
      <c r="D5" s="60">
        <v>2000</v>
      </c>
      <c r="E5" s="60">
        <v>5000</v>
      </c>
      <c r="F5" s="60">
        <v>4000</v>
      </c>
      <c r="G5" s="61">
        <v>4000</v>
      </c>
    </row>
    <row r="6" spans="1:14" x14ac:dyDescent="0.2">
      <c r="B6" s="7" t="s">
        <v>3</v>
      </c>
      <c r="C6" s="60">
        <v>3000</v>
      </c>
      <c r="D6" s="60">
        <v>3000</v>
      </c>
      <c r="E6" s="60">
        <v>4000</v>
      </c>
      <c r="F6" s="60">
        <v>4000</v>
      </c>
      <c r="G6" s="61">
        <v>3000</v>
      </c>
    </row>
    <row r="7" spans="1:14" x14ac:dyDescent="0.2">
      <c r="B7" s="7" t="s">
        <v>4</v>
      </c>
      <c r="C7" s="60">
        <v>2000</v>
      </c>
      <c r="D7" s="60">
        <v>2500</v>
      </c>
      <c r="E7" s="60">
        <v>3000</v>
      </c>
      <c r="F7" s="60">
        <v>2000</v>
      </c>
      <c r="G7" s="61">
        <v>3500</v>
      </c>
    </row>
    <row r="8" spans="1:14" x14ac:dyDescent="0.2">
      <c r="B8" s="7" t="s">
        <v>5</v>
      </c>
      <c r="C8" s="60">
        <v>3000</v>
      </c>
      <c r="D8" s="60">
        <v>3000</v>
      </c>
      <c r="E8" s="60">
        <v>4000</v>
      </c>
      <c r="F8" s="60">
        <v>4500</v>
      </c>
      <c r="G8" s="61">
        <v>6000</v>
      </c>
    </row>
    <row r="9" spans="1:14" x14ac:dyDescent="0.2">
      <c r="B9" s="7" t="s">
        <v>6</v>
      </c>
      <c r="C9" s="60">
        <v>3200</v>
      </c>
      <c r="D9" s="60">
        <v>3750</v>
      </c>
      <c r="E9" s="60">
        <v>6000</v>
      </c>
      <c r="F9" s="60">
        <v>5000</v>
      </c>
      <c r="G9" s="61">
        <v>6000</v>
      </c>
    </row>
    <row r="10" spans="1:14" x14ac:dyDescent="0.2">
      <c r="B10" s="7" t="s">
        <v>7</v>
      </c>
      <c r="C10" s="60">
        <v>4500</v>
      </c>
      <c r="D10" s="60">
        <v>4500</v>
      </c>
      <c r="E10" s="60">
        <v>7000</v>
      </c>
      <c r="F10" s="60">
        <v>7500</v>
      </c>
      <c r="G10" s="61">
        <v>8000</v>
      </c>
    </row>
    <row r="11" spans="1:14" x14ac:dyDescent="0.2">
      <c r="B11" s="7" t="s">
        <v>8</v>
      </c>
      <c r="C11" s="60">
        <v>6000</v>
      </c>
      <c r="D11" s="60">
        <v>5500</v>
      </c>
      <c r="E11" s="60">
        <v>9000</v>
      </c>
      <c r="F11" s="60">
        <v>9500</v>
      </c>
      <c r="G11" s="61">
        <v>10000</v>
      </c>
    </row>
    <row r="12" spans="1:14" x14ac:dyDescent="0.2">
      <c r="B12" s="7" t="s">
        <v>9</v>
      </c>
      <c r="C12" s="60">
        <v>5000</v>
      </c>
      <c r="D12" s="60">
        <v>3500</v>
      </c>
      <c r="E12" s="60">
        <v>6000</v>
      </c>
      <c r="F12" s="60">
        <v>5000</v>
      </c>
      <c r="G12" s="61">
        <v>4500</v>
      </c>
    </row>
    <row r="13" spans="1:14" x14ac:dyDescent="0.2">
      <c r="B13" s="7" t="s">
        <v>10</v>
      </c>
      <c r="C13" s="60">
        <v>4000</v>
      </c>
      <c r="D13" s="60">
        <v>3250</v>
      </c>
      <c r="E13" s="60">
        <v>5000</v>
      </c>
      <c r="F13" s="60">
        <v>3500</v>
      </c>
      <c r="G13" s="61">
        <v>6000</v>
      </c>
    </row>
    <row r="14" spans="1:14" x14ac:dyDescent="0.2">
      <c r="B14" s="7" t="s">
        <v>11</v>
      </c>
      <c r="C14" s="60">
        <v>7000</v>
      </c>
      <c r="D14" s="60">
        <v>7250</v>
      </c>
      <c r="E14" s="60">
        <v>6000</v>
      </c>
      <c r="F14" s="60">
        <v>6500</v>
      </c>
      <c r="G14" s="61">
        <v>8000</v>
      </c>
    </row>
    <row r="15" spans="1:14" x14ac:dyDescent="0.2">
      <c r="B15" s="7" t="s">
        <v>12</v>
      </c>
      <c r="C15" s="60">
        <v>8000</v>
      </c>
      <c r="D15" s="60">
        <v>9000</v>
      </c>
      <c r="E15" s="60">
        <v>11000</v>
      </c>
      <c r="F15" s="60">
        <v>11000</v>
      </c>
      <c r="G15" s="61">
        <v>8000</v>
      </c>
    </row>
    <row r="16" spans="1:14" x14ac:dyDescent="0.2">
      <c r="B16" s="4" t="s">
        <v>13</v>
      </c>
      <c r="C16" s="9">
        <f>SUM(C4:C15)</f>
        <v>50200</v>
      </c>
      <c r="D16" s="9">
        <f>SUM(D4:D15)</f>
        <v>51250</v>
      </c>
      <c r="E16" s="9">
        <f>SUM(E4:E15)</f>
        <v>74000</v>
      </c>
      <c r="F16" s="9">
        <f>SUM(F4:F15)</f>
        <v>70000</v>
      </c>
      <c r="G16" s="10">
        <f>SUM(G4:G15)</f>
        <v>74000</v>
      </c>
    </row>
    <row r="17" spans="1:17" x14ac:dyDescent="0.2">
      <c r="B17" s="45"/>
      <c r="C17" s="8"/>
      <c r="D17" s="8"/>
      <c r="E17" s="8"/>
      <c r="F17" s="8"/>
      <c r="G17" s="8"/>
    </row>
    <row r="18" spans="1:17" x14ac:dyDescent="0.2">
      <c r="A18" s="21" t="s">
        <v>57</v>
      </c>
      <c r="B18" s="45"/>
      <c r="C18" s="46"/>
      <c r="D18" s="8"/>
      <c r="E18" s="8"/>
      <c r="F18" s="8"/>
      <c r="G18" s="8"/>
    </row>
    <row r="19" spans="1:17" ht="8.25" customHeight="1" x14ac:dyDescent="0.2"/>
    <row r="20" spans="1:17" s="14" customFormat="1" ht="61.5" customHeight="1" x14ac:dyDescent="0.3">
      <c r="A20" s="11" t="s">
        <v>14</v>
      </c>
      <c r="B20" s="11" t="s">
        <v>15</v>
      </c>
      <c r="C20" s="38" t="s">
        <v>55</v>
      </c>
      <c r="D20" s="37" t="s">
        <v>48</v>
      </c>
      <c r="E20" s="11" t="s">
        <v>49</v>
      </c>
      <c r="F20" s="50" t="s">
        <v>50</v>
      </c>
      <c r="G20" s="50" t="s">
        <v>51</v>
      </c>
      <c r="H20" s="51" t="s">
        <v>16</v>
      </c>
      <c r="I20" s="12"/>
      <c r="J20" s="11" t="s">
        <v>52</v>
      </c>
      <c r="K20" s="11" t="s">
        <v>53</v>
      </c>
      <c r="L20" s="11" t="s">
        <v>17</v>
      </c>
      <c r="M20" s="11" t="s">
        <v>18</v>
      </c>
      <c r="N20" s="11" t="s">
        <v>19</v>
      </c>
      <c r="O20" s="11" t="s">
        <v>20</v>
      </c>
      <c r="P20" s="11" t="s">
        <v>21</v>
      </c>
      <c r="Q20" s="13" t="s">
        <v>22</v>
      </c>
    </row>
    <row r="21" spans="1:17" x14ac:dyDescent="0.2">
      <c r="A21" s="15" t="s">
        <v>58</v>
      </c>
      <c r="B21" s="15" t="s">
        <v>1</v>
      </c>
      <c r="C21" s="39">
        <v>1</v>
      </c>
      <c r="D21" s="8">
        <f>C4</f>
        <v>2000</v>
      </c>
      <c r="E21" s="16"/>
      <c r="F21" s="16">
        <f>$T$52+C21*$T$53</f>
        <v>4392.82</v>
      </c>
      <c r="G21" s="17">
        <f>D21/F21</f>
        <v>0.4552884024385247</v>
      </c>
      <c r="H21" s="18">
        <f>($T$52+C21*$T$53)*$T$58</f>
        <v>2679.590562110352</v>
      </c>
      <c r="I21" s="19"/>
      <c r="J21" s="18">
        <f>H21-D21</f>
        <v>679.59056211035204</v>
      </c>
      <c r="K21" s="18">
        <f>ABS(J21)</f>
        <v>679.59056211035204</v>
      </c>
      <c r="L21" s="18">
        <f>SUM($J$21:J21)</f>
        <v>679.59056211035204</v>
      </c>
      <c r="M21" s="18">
        <f>SUMSQ($J$21:J21)/C21</f>
        <v>461843.33210946427</v>
      </c>
      <c r="N21" s="18">
        <f>SUM($K$21:K21)/C21</f>
        <v>679.59056211035204</v>
      </c>
      <c r="O21" s="18">
        <f>K21/D21*100</f>
        <v>33.979528105517602</v>
      </c>
      <c r="P21" s="18">
        <f>AVERAGE($O$21:O21)</f>
        <v>33.979528105517602</v>
      </c>
      <c r="Q21" s="20">
        <f>SUM($J$21:J21)/N21</f>
        <v>1</v>
      </c>
    </row>
    <row r="22" spans="1:17" x14ac:dyDescent="0.2">
      <c r="A22" s="15"/>
      <c r="B22" s="15" t="s">
        <v>2</v>
      </c>
      <c r="C22" s="39">
        <v>2</v>
      </c>
      <c r="D22" s="8">
        <f t="shared" ref="D22:D32" si="0">C5</f>
        <v>2500</v>
      </c>
      <c r="E22" s="16"/>
      <c r="F22" s="16">
        <f>$T$52+C22*$T$53</f>
        <v>4431.74</v>
      </c>
      <c r="G22" s="17">
        <f t="shared" ref="G22:G80" si="1">D22/F22</f>
        <v>0.56411251562591669</v>
      </c>
      <c r="H22" s="18">
        <f>($T$52+C22*$T$53)*$T$59</f>
        <v>2683.758525475987</v>
      </c>
      <c r="I22" s="19"/>
      <c r="J22" s="18">
        <f t="shared" ref="J22:J80" si="2">H22-D22</f>
        <v>183.75852547598697</v>
      </c>
      <c r="K22" s="18">
        <f t="shared" ref="K22:K80" si="3">ABS(J22)</f>
        <v>183.75852547598697</v>
      </c>
      <c r="L22" s="18">
        <f>SUM($J$21:J22)</f>
        <v>863.34908758633901</v>
      </c>
      <c r="M22" s="18">
        <f>SUMSQ($J$21:J22)/C22</f>
        <v>247805.26389728661</v>
      </c>
      <c r="N22" s="18">
        <f>SUM($K$21:K22)/C22</f>
        <v>431.67454379316951</v>
      </c>
      <c r="O22" s="18">
        <f t="shared" ref="O22:O80" si="4">K22/D22*100</f>
        <v>7.3503410190394787</v>
      </c>
      <c r="P22" s="18">
        <f>AVERAGE($O$21:O22)</f>
        <v>20.664934562278539</v>
      </c>
      <c r="Q22" s="20">
        <f>SUM($J$21:J22)/N22</f>
        <v>2</v>
      </c>
    </row>
    <row r="23" spans="1:17" x14ac:dyDescent="0.2">
      <c r="A23" s="15"/>
      <c r="B23" s="15" t="s">
        <v>3</v>
      </c>
      <c r="C23" s="39">
        <v>3</v>
      </c>
      <c r="D23" s="8">
        <f t="shared" si="0"/>
        <v>3000</v>
      </c>
      <c r="E23" s="16"/>
      <c r="F23" s="16">
        <f t="shared" ref="F23:F80" si="5">$T$52+C23*$T$53</f>
        <v>4470.66</v>
      </c>
      <c r="G23" s="17">
        <f t="shared" si="1"/>
        <v>0.67104185959120133</v>
      </c>
      <c r="H23" s="18">
        <f>($T$52+C23*$T$53)*$T$60</f>
        <v>2731.232102958134</v>
      </c>
      <c r="I23" s="19"/>
      <c r="J23" s="18">
        <f t="shared" si="2"/>
        <v>-268.76789704186604</v>
      </c>
      <c r="K23" s="18">
        <f t="shared" si="3"/>
        <v>268.76789704186604</v>
      </c>
      <c r="L23" s="18">
        <f>SUM($J$21:J23)</f>
        <v>594.58119054447297</v>
      </c>
      <c r="M23" s="18">
        <f>SUMSQ($J$21:J23)/C23</f>
        <v>189282.23675829344</v>
      </c>
      <c r="N23" s="18">
        <f>SUM($K$21:K23)/C23</f>
        <v>377.3723282094017</v>
      </c>
      <c r="O23" s="18">
        <f t="shared" si="4"/>
        <v>8.9589299013955355</v>
      </c>
      <c r="P23" s="18">
        <f>AVERAGE($O$21:O23)</f>
        <v>16.762933008650872</v>
      </c>
      <c r="Q23" s="20">
        <f>SUM($J$21:J23)/N23</f>
        <v>1.575582378723178</v>
      </c>
    </row>
    <row r="24" spans="1:17" x14ac:dyDescent="0.2">
      <c r="A24" s="15"/>
      <c r="B24" s="15" t="s">
        <v>4</v>
      </c>
      <c r="C24" s="39">
        <v>4</v>
      </c>
      <c r="D24" s="8">
        <f t="shared" si="0"/>
        <v>2000</v>
      </c>
      <c r="E24" s="16"/>
      <c r="F24" s="16">
        <f t="shared" si="5"/>
        <v>4509.58</v>
      </c>
      <c r="G24" s="17">
        <f t="shared" si="1"/>
        <v>0.44350028162267885</v>
      </c>
      <c r="H24" s="18">
        <f>($T$52+C24*$T$53)*$T$61</f>
        <v>2787.8667958614883</v>
      </c>
      <c r="I24" s="19"/>
      <c r="J24" s="18">
        <f t="shared" si="2"/>
        <v>787.8667958614883</v>
      </c>
      <c r="K24" s="18">
        <f t="shared" si="3"/>
        <v>787.8667958614883</v>
      </c>
      <c r="L24" s="18">
        <f>SUM($J$21:J24)</f>
        <v>1382.4479864059613</v>
      </c>
      <c r="M24" s="18">
        <f>SUMSQ($J$21:J24)/C24</f>
        <v>297145.1995739821</v>
      </c>
      <c r="N24" s="18">
        <f>SUM($K$21:K24)/C24</f>
        <v>479.99594512242334</v>
      </c>
      <c r="O24" s="18">
        <f t="shared" si="4"/>
        <v>39.393339793074418</v>
      </c>
      <c r="P24" s="18">
        <f>AVERAGE($O$21:O24)</f>
        <v>22.420534704756758</v>
      </c>
      <c r="Q24" s="20">
        <f>SUM($J$21:J24)/N24</f>
        <v>2.880124301994607</v>
      </c>
    </row>
    <row r="25" spans="1:17" x14ac:dyDescent="0.2">
      <c r="A25" s="15"/>
      <c r="B25" s="15" t="s">
        <v>5</v>
      </c>
      <c r="C25" s="39">
        <v>5</v>
      </c>
      <c r="D25" s="8">
        <f t="shared" si="0"/>
        <v>3000</v>
      </c>
      <c r="E25" s="16"/>
      <c r="F25" s="16">
        <f t="shared" si="5"/>
        <v>4548.5</v>
      </c>
      <c r="G25" s="17">
        <f t="shared" si="1"/>
        <v>0.65955809607562932</v>
      </c>
      <c r="H25" s="18">
        <f>($T$52+C25*$T$53)*$T$62</f>
        <v>2896.835726314961</v>
      </c>
      <c r="I25" s="19"/>
      <c r="J25" s="18">
        <f t="shared" si="2"/>
        <v>-103.16427368503901</v>
      </c>
      <c r="K25" s="18">
        <f t="shared" si="3"/>
        <v>103.16427368503901</v>
      </c>
      <c r="L25" s="18">
        <f>SUM($J$21:J25)</f>
        <v>1279.2837127209223</v>
      </c>
      <c r="M25" s="18">
        <f>SUMSQ($J$21:J25)/C25</f>
        <v>239844.73313217802</v>
      </c>
      <c r="N25" s="18">
        <f>SUM($K$21:K25)/C25</f>
        <v>404.62961083494645</v>
      </c>
      <c r="O25" s="18">
        <f t="shared" si="4"/>
        <v>3.4388091228346336</v>
      </c>
      <c r="P25" s="18">
        <f>AVERAGE($O$21:O25)</f>
        <v>18.624189588372332</v>
      </c>
      <c r="Q25" s="20">
        <f>SUM($J$21:J25)/N25</f>
        <v>3.1616166451119128</v>
      </c>
    </row>
    <row r="26" spans="1:17" x14ac:dyDescent="0.2">
      <c r="A26" s="15"/>
      <c r="B26" s="15" t="s">
        <v>6</v>
      </c>
      <c r="C26" s="39">
        <v>6</v>
      </c>
      <c r="D26" s="8">
        <f t="shared" si="0"/>
        <v>3200</v>
      </c>
      <c r="E26" s="16"/>
      <c r="F26" s="16">
        <f t="shared" si="5"/>
        <v>4587.42</v>
      </c>
      <c r="G26" s="17">
        <f t="shared" si="1"/>
        <v>0.69755984845512287</v>
      </c>
      <c r="H26" s="18">
        <f>($T$52+C26*$T$53)*$T$63</f>
        <v>2790.8280036219053</v>
      </c>
      <c r="I26" s="19"/>
      <c r="J26" s="18">
        <f t="shared" si="2"/>
        <v>-409.17199637809472</v>
      </c>
      <c r="K26" s="18">
        <f t="shared" si="3"/>
        <v>409.17199637809472</v>
      </c>
      <c r="L26" s="18">
        <f>SUM($J$21:J26)</f>
        <v>870.11171634282755</v>
      </c>
      <c r="M26" s="18">
        <f>SUMSQ($J$21:J26)/C26</f>
        <v>227774.23138015426</v>
      </c>
      <c r="N26" s="18">
        <f>SUM($K$21:K26)/C26</f>
        <v>405.38667509213786</v>
      </c>
      <c r="O26" s="18">
        <f t="shared" si="4"/>
        <v>12.78662488681546</v>
      </c>
      <c r="P26" s="18">
        <f>AVERAGE($O$21:O26)</f>
        <v>17.651262138112852</v>
      </c>
      <c r="Q26" s="20">
        <f>SUM($J$21:J26)/N26</f>
        <v>2.1463747325810973</v>
      </c>
    </row>
    <row r="27" spans="1:17" x14ac:dyDescent="0.2">
      <c r="A27" s="15"/>
      <c r="B27" s="15" t="s">
        <v>7</v>
      </c>
      <c r="C27" s="39">
        <v>7</v>
      </c>
      <c r="D27" s="8">
        <f t="shared" si="0"/>
        <v>4500</v>
      </c>
      <c r="E27" s="16">
        <f>(D21+D33+2*SUM(D22:D32))/(2*12)</f>
        <v>4266.666666666667</v>
      </c>
      <c r="F27" s="16">
        <f t="shared" si="5"/>
        <v>4626.3399999999992</v>
      </c>
      <c r="G27" s="17">
        <f t="shared" si="1"/>
        <v>0.9726911554274007</v>
      </c>
      <c r="H27" s="18">
        <f>($T$52+C27*$T$53)*$T$64</f>
        <v>2854.7140028153835</v>
      </c>
      <c r="I27" s="19"/>
      <c r="J27" s="18">
        <f t="shared" si="2"/>
        <v>-1645.2859971846165</v>
      </c>
      <c r="K27" s="18">
        <f t="shared" si="3"/>
        <v>1645.2859971846165</v>
      </c>
      <c r="L27" s="18">
        <f>SUM($J$21:J27)</f>
        <v>-775.17428084178891</v>
      </c>
      <c r="M27" s="18">
        <f>SUMSQ($J$21:J27)/C27</f>
        <v>581944.48583038617</v>
      </c>
      <c r="N27" s="18">
        <f>SUM($K$21:K27)/C27</f>
        <v>582.5151496767777</v>
      </c>
      <c r="O27" s="18">
        <f t="shared" si="4"/>
        <v>36.561911048547032</v>
      </c>
      <c r="P27" s="18">
        <f>AVERAGE($O$21:O27)</f>
        <v>20.352783411032021</v>
      </c>
      <c r="Q27" s="20">
        <f>SUM($J$21:J27)/N27</f>
        <v>-1.3307366877443663</v>
      </c>
    </row>
    <row r="28" spans="1:17" x14ac:dyDescent="0.2">
      <c r="A28" s="15"/>
      <c r="B28" s="15" t="s">
        <v>8</v>
      </c>
      <c r="C28" s="39">
        <v>8</v>
      </c>
      <c r="D28" s="8">
        <f t="shared" si="0"/>
        <v>6000</v>
      </c>
      <c r="E28" s="16">
        <f t="shared" ref="E28:E74" si="6">(D22+D34+2*SUM(D23:D33))/(2*12)</f>
        <v>4329.166666666667</v>
      </c>
      <c r="F28" s="16">
        <f t="shared" si="5"/>
        <v>4665.2599999999993</v>
      </c>
      <c r="G28" s="17">
        <f t="shared" si="1"/>
        <v>1.2861019535888676</v>
      </c>
      <c r="H28" s="18">
        <f>($T$52+C28*$T$53)*$T$65</f>
        <v>2875.3936741370703</v>
      </c>
      <c r="I28" s="19"/>
      <c r="J28" s="18">
        <f t="shared" si="2"/>
        <v>-3124.6063258629297</v>
      </c>
      <c r="K28" s="18">
        <f t="shared" si="3"/>
        <v>3124.6063258629297</v>
      </c>
      <c r="L28" s="18">
        <f>SUM($J$21:J28)</f>
        <v>-3899.7806067047186</v>
      </c>
      <c r="M28" s="18">
        <f>SUMSQ($J$21:J28)/C28</f>
        <v>1729597.0115544177</v>
      </c>
      <c r="N28" s="18">
        <f>SUM($K$21:K28)/C28</f>
        <v>900.27654670004665</v>
      </c>
      <c r="O28" s="18">
        <f t="shared" si="4"/>
        <v>52.076772097715498</v>
      </c>
      <c r="P28" s="18">
        <f>AVERAGE($O$21:O28)</f>
        <v>24.318281996867455</v>
      </c>
      <c r="Q28" s="20">
        <f>SUM($J$21:J28)/N28</f>
        <v>-4.3317585257544691</v>
      </c>
    </row>
    <row r="29" spans="1:17" x14ac:dyDescent="0.2">
      <c r="A29" s="15"/>
      <c r="B29" s="15" t="s">
        <v>9</v>
      </c>
      <c r="C29" s="39">
        <v>9</v>
      </c>
      <c r="D29" s="8">
        <f t="shared" si="0"/>
        <v>5000</v>
      </c>
      <c r="E29" s="16">
        <f t="shared" si="6"/>
        <v>4308.333333333333</v>
      </c>
      <c r="F29" s="16">
        <f t="shared" si="5"/>
        <v>4704.1799999999994</v>
      </c>
      <c r="G29" s="17">
        <f t="shared" si="1"/>
        <v>1.0628844984673207</v>
      </c>
      <c r="H29" s="18">
        <f>($T$52+C29*$T$53)*$T$66</f>
        <v>2760.2269241314848</v>
      </c>
      <c r="I29" s="19"/>
      <c r="J29" s="18">
        <f t="shared" si="2"/>
        <v>-2239.7730758685152</v>
      </c>
      <c r="K29" s="18">
        <f t="shared" si="3"/>
        <v>2239.7730758685152</v>
      </c>
      <c r="L29" s="18">
        <f>SUM($J$21:J29)</f>
        <v>-6139.5536825732343</v>
      </c>
      <c r="M29" s="18">
        <f>SUMSQ($J$21:J29)/C29</f>
        <v>2094817.7248689835</v>
      </c>
      <c r="N29" s="18">
        <f>SUM($K$21:K29)/C29</f>
        <v>1049.1094943854321</v>
      </c>
      <c r="O29" s="18">
        <f t="shared" si="4"/>
        <v>44.795461517370306</v>
      </c>
      <c r="P29" s="18">
        <f>AVERAGE($O$21:O29)</f>
        <v>26.593524165812216</v>
      </c>
      <c r="Q29" s="20">
        <f>SUM($J$21:J29)/N29</f>
        <v>-5.8521572013508294</v>
      </c>
    </row>
    <row r="30" spans="1:17" x14ac:dyDescent="0.2">
      <c r="A30" s="15"/>
      <c r="B30" s="15" t="s">
        <v>10</v>
      </c>
      <c r="C30" s="39">
        <v>10</v>
      </c>
      <c r="D30" s="8">
        <f t="shared" si="0"/>
        <v>4000</v>
      </c>
      <c r="E30" s="16">
        <f t="shared" si="6"/>
        <v>4329.166666666667</v>
      </c>
      <c r="F30" s="16">
        <f>$T$52+C30*$T$53</f>
        <v>4743.0999999999995</v>
      </c>
      <c r="G30" s="17">
        <f t="shared" si="1"/>
        <v>0.84333031139971759</v>
      </c>
      <c r="H30" s="18">
        <f>($T$52+C30*$T$53)*$T$67</f>
        <v>2703.1462189943813</v>
      </c>
      <c r="I30" s="19"/>
      <c r="J30" s="18">
        <f t="shared" si="2"/>
        <v>-1296.8537810056187</v>
      </c>
      <c r="K30" s="18">
        <f t="shared" si="3"/>
        <v>1296.8537810056187</v>
      </c>
      <c r="L30" s="18">
        <f>SUM($J$21:J30)</f>
        <v>-7436.4074635788529</v>
      </c>
      <c r="M30" s="18">
        <f>SUMSQ($J$21:J30)/C30</f>
        <v>2053518.9253129419</v>
      </c>
      <c r="N30" s="18">
        <f>SUM($K$21:K30)/C30</f>
        <v>1073.8839230474507</v>
      </c>
      <c r="O30" s="18">
        <f t="shared" si="4"/>
        <v>32.421344525140469</v>
      </c>
      <c r="P30" s="18">
        <f>AVERAGE($O$21:O30)</f>
        <v>27.176306201745042</v>
      </c>
      <c r="Q30" s="20">
        <f>SUM($J$21:J30)/N30</f>
        <v>-6.9247777194353874</v>
      </c>
    </row>
    <row r="31" spans="1:17" x14ac:dyDescent="0.2">
      <c r="A31" s="15"/>
      <c r="B31" s="15" t="s">
        <v>11</v>
      </c>
      <c r="C31" s="39">
        <v>11</v>
      </c>
      <c r="D31" s="8">
        <f t="shared" si="0"/>
        <v>7000</v>
      </c>
      <c r="E31" s="16">
        <f t="shared" si="6"/>
        <v>4350</v>
      </c>
      <c r="F31" s="16">
        <f t="shared" si="5"/>
        <v>4782.0199999999995</v>
      </c>
      <c r="G31" s="17">
        <f t="shared" si="1"/>
        <v>1.4638165461457713</v>
      </c>
      <c r="H31" s="18">
        <f>($T$52+C31*$T$53)*$T$68</f>
        <v>2610.2152378262481</v>
      </c>
      <c r="I31" s="19"/>
      <c r="J31" s="18">
        <f t="shared" si="2"/>
        <v>-4389.7847621737519</v>
      </c>
      <c r="K31" s="18">
        <f t="shared" si="3"/>
        <v>4389.7847621737519</v>
      </c>
      <c r="L31" s="18">
        <f>SUM($J$21:J31)</f>
        <v>-11826.192225752606</v>
      </c>
      <c r="M31" s="18">
        <f>SUMSQ($J$21:J31)/C31</f>
        <v>3618672.6828492987</v>
      </c>
      <c r="N31" s="18">
        <f>SUM($K$21:K31)/C31</f>
        <v>1375.3294538771145</v>
      </c>
      <c r="O31" s="18">
        <f t="shared" si="4"/>
        <v>62.711210888196455</v>
      </c>
      <c r="P31" s="18">
        <f>AVERAGE($O$21:O31)</f>
        <v>30.406752082331533</v>
      </c>
      <c r="Q31" s="20">
        <f>SUM($J$21:J31)/N31</f>
        <v>-8.5988067749251265</v>
      </c>
    </row>
    <row r="32" spans="1:17" x14ac:dyDescent="0.2">
      <c r="A32" s="15"/>
      <c r="B32" s="15" t="s">
        <v>12</v>
      </c>
      <c r="C32" s="39">
        <v>12</v>
      </c>
      <c r="D32" s="8">
        <f t="shared" si="0"/>
        <v>8000</v>
      </c>
      <c r="E32" s="16">
        <f t="shared" si="6"/>
        <v>4372.916666666667</v>
      </c>
      <c r="F32" s="16">
        <f t="shared" si="5"/>
        <v>4820.9399999999996</v>
      </c>
      <c r="G32" s="17">
        <f t="shared" si="1"/>
        <v>1.6594274145706025</v>
      </c>
      <c r="H32" s="18">
        <f>($T$52+C32*$T$53)*$T$69</f>
        <v>2620.3121794728986</v>
      </c>
      <c r="I32" s="19"/>
      <c r="J32" s="18">
        <f t="shared" si="2"/>
        <v>-5379.6878205271014</v>
      </c>
      <c r="K32" s="18">
        <f t="shared" si="3"/>
        <v>5379.6878205271014</v>
      </c>
      <c r="L32" s="18">
        <f>SUM($J$21:J32)</f>
        <v>-17205.880046279708</v>
      </c>
      <c r="M32" s="18">
        <f>SUMSQ($J$21:J32)/C32</f>
        <v>5728870.0464724936</v>
      </c>
      <c r="N32" s="18">
        <f>SUM($K$21:K32)/C32</f>
        <v>1709.0259844312802</v>
      </c>
      <c r="O32" s="18">
        <f t="shared" si="4"/>
        <v>67.246097756588767</v>
      </c>
      <c r="P32" s="18">
        <f>AVERAGE($O$21:O32)</f>
        <v>33.476697555186298</v>
      </c>
      <c r="Q32" s="20">
        <f>SUM($J$21:J32)/N32</f>
        <v>-10.06765268815113</v>
      </c>
    </row>
    <row r="33" spans="1:24" x14ac:dyDescent="0.2">
      <c r="A33" s="15" t="s">
        <v>59</v>
      </c>
      <c r="B33" s="15" t="s">
        <v>1</v>
      </c>
      <c r="C33" s="39">
        <v>13</v>
      </c>
      <c r="D33" s="8">
        <f>D4</f>
        <v>4000</v>
      </c>
      <c r="E33" s="16">
        <f t="shared" si="6"/>
        <v>4395.833333333333</v>
      </c>
      <c r="F33" s="16">
        <f t="shared" si="5"/>
        <v>4859.8599999999997</v>
      </c>
      <c r="G33" s="17">
        <f t="shared" si="1"/>
        <v>0.82306897729564232</v>
      </c>
      <c r="H33" s="18">
        <f>($T$52+C33*$T$53)*$T$58</f>
        <v>2964.4818110411115</v>
      </c>
      <c r="I33" s="19"/>
      <c r="J33" s="18">
        <f t="shared" si="2"/>
        <v>-1035.5181889588885</v>
      </c>
      <c r="K33" s="18">
        <f t="shared" si="3"/>
        <v>1035.5181889588885</v>
      </c>
      <c r="L33" s="18">
        <f>SUM($J$21:J33)</f>
        <v>-18241.398235238597</v>
      </c>
      <c r="M33" s="18">
        <f>SUMSQ($J$21:J33)/C33</f>
        <v>5370672.1905642012</v>
      </c>
      <c r="N33" s="18">
        <f>SUM($K$21:K33)/C33</f>
        <v>1657.2176924718656</v>
      </c>
      <c r="O33" s="18">
        <f t="shared" si="4"/>
        <v>25.887954723972211</v>
      </c>
      <c r="P33" s="18">
        <f>AVERAGE($O$21:O33)</f>
        <v>32.892948106631373</v>
      </c>
      <c r="Q33" s="20">
        <f>SUM($J$21:J33)/N33</f>
        <v>-11.007243235516134</v>
      </c>
    </row>
    <row r="34" spans="1:24" x14ac:dyDescent="0.2">
      <c r="A34" s="15"/>
      <c r="B34" s="15" t="s">
        <v>2</v>
      </c>
      <c r="C34" s="39">
        <v>14</v>
      </c>
      <c r="D34" s="8">
        <f t="shared" ref="D34:D44" si="7">D5</f>
        <v>2000</v>
      </c>
      <c r="E34" s="16">
        <f t="shared" si="6"/>
        <v>4375</v>
      </c>
      <c r="F34" s="16">
        <f t="shared" si="5"/>
        <v>4898.78</v>
      </c>
      <c r="G34" s="17">
        <f t="shared" si="1"/>
        <v>0.40826491493800499</v>
      </c>
      <c r="H34" s="18">
        <f>($T$52+C34*$T$53)*$T$59</f>
        <v>2966.5870717666776</v>
      </c>
      <c r="I34" s="19"/>
      <c r="J34" s="18">
        <f t="shared" si="2"/>
        <v>966.58707176667758</v>
      </c>
      <c r="K34" s="18">
        <f t="shared" si="3"/>
        <v>966.58707176667758</v>
      </c>
      <c r="L34" s="18">
        <f>SUM($J$21:J34)</f>
        <v>-17274.811163471921</v>
      </c>
      <c r="M34" s="18">
        <f>SUMSQ($J$21:J34)/C34</f>
        <v>5053787.7889029356</v>
      </c>
      <c r="N34" s="18">
        <f>SUM($K$21:K34)/C34</f>
        <v>1607.8869338500663</v>
      </c>
      <c r="O34" s="18">
        <f t="shared" si="4"/>
        <v>48.329353588333881</v>
      </c>
      <c r="P34" s="18">
        <f>AVERAGE($O$21:O34)</f>
        <v>33.995548498181549</v>
      </c>
      <c r="Q34" s="20">
        <f>SUM($J$21:J34)/N34</f>
        <v>-10.743797215956963</v>
      </c>
    </row>
    <row r="35" spans="1:24" x14ac:dyDescent="0.2">
      <c r="A35" s="15"/>
      <c r="B35" s="15" t="s">
        <v>3</v>
      </c>
      <c r="C35" s="39">
        <v>15</v>
      </c>
      <c r="D35" s="8">
        <f t="shared" si="7"/>
        <v>3000</v>
      </c>
      <c r="E35" s="16">
        <f t="shared" si="6"/>
        <v>4291.666666666667</v>
      </c>
      <c r="F35" s="16">
        <f t="shared" si="5"/>
        <v>4937.7</v>
      </c>
      <c r="G35" s="17">
        <f t="shared" si="1"/>
        <v>0.60757032626526519</v>
      </c>
      <c r="H35" s="18">
        <f>($T$52+C35*$T$53)*$T$60</f>
        <v>3016.5579030336412</v>
      </c>
      <c r="I35" s="19"/>
      <c r="J35" s="18">
        <f t="shared" si="2"/>
        <v>16.557903033641196</v>
      </c>
      <c r="K35" s="18">
        <f t="shared" si="3"/>
        <v>16.557903033641196</v>
      </c>
      <c r="L35" s="18">
        <f>SUM($J$21:J35)</f>
        <v>-17258.25326043828</v>
      </c>
      <c r="M35" s="18">
        <f>SUMSQ($J$21:J35)/C35</f>
        <v>4716886.8805862647</v>
      </c>
      <c r="N35" s="18">
        <f>SUM($K$21:K35)/C35</f>
        <v>1501.798331795638</v>
      </c>
      <c r="O35" s="18">
        <f t="shared" si="4"/>
        <v>0.5519301011213732</v>
      </c>
      <c r="P35" s="18">
        <f>AVERAGE($O$21:O35)</f>
        <v>31.765973938377542</v>
      </c>
      <c r="Q35" s="20">
        <f>SUM($J$21:J35)/N35</f>
        <v>-11.491724884128285</v>
      </c>
    </row>
    <row r="36" spans="1:24" x14ac:dyDescent="0.2">
      <c r="A36" s="15"/>
      <c r="B36" s="15" t="s">
        <v>4</v>
      </c>
      <c r="C36" s="39">
        <v>16</v>
      </c>
      <c r="D36" s="8">
        <f t="shared" si="7"/>
        <v>2500</v>
      </c>
      <c r="E36" s="16">
        <f t="shared" si="6"/>
        <v>4197.916666666667</v>
      </c>
      <c r="F36" s="16">
        <f t="shared" si="5"/>
        <v>4976.62</v>
      </c>
      <c r="G36" s="17">
        <f t="shared" si="1"/>
        <v>0.50234898384847548</v>
      </c>
      <c r="H36" s="18">
        <f>($T$52+C36*$T$53)*$T$61</f>
        <v>3076.5955263284386</v>
      </c>
      <c r="I36" s="19"/>
      <c r="J36" s="18">
        <f t="shared" si="2"/>
        <v>576.59552632843861</v>
      </c>
      <c r="K36" s="18">
        <f t="shared" si="3"/>
        <v>576.59552632843861</v>
      </c>
      <c r="L36" s="18">
        <f>SUM($J$21:J36)</f>
        <v>-16681.657734109842</v>
      </c>
      <c r="M36" s="18">
        <f>SUMSQ($J$21:J36)/C36</f>
        <v>4442860.3506109957</v>
      </c>
      <c r="N36" s="18">
        <f>SUM($K$21:K36)/C36</f>
        <v>1443.9731564539379</v>
      </c>
      <c r="O36" s="18">
        <f t="shared" si="4"/>
        <v>23.063821053137545</v>
      </c>
      <c r="P36" s="18">
        <f>AVERAGE($O$21:O36)</f>
        <v>31.22208938305004</v>
      </c>
      <c r="Q36" s="20">
        <f>SUM($J$21:J36)/N36</f>
        <v>-11.552609312403087</v>
      </c>
      <c r="S36" t="s">
        <v>25</v>
      </c>
    </row>
    <row r="37" spans="1:24" ht="13.5" thickBot="1" x14ac:dyDescent="0.25">
      <c r="A37" s="15"/>
      <c r="B37" s="15" t="s">
        <v>5</v>
      </c>
      <c r="C37" s="39">
        <v>17</v>
      </c>
      <c r="D37" s="8">
        <f t="shared" si="7"/>
        <v>3000</v>
      </c>
      <c r="E37" s="16">
        <f t="shared" si="6"/>
        <v>4177.083333333333</v>
      </c>
      <c r="F37" s="16">
        <f t="shared" si="5"/>
        <v>5015.54</v>
      </c>
      <c r="G37" s="17">
        <f t="shared" si="1"/>
        <v>0.59814097784087061</v>
      </c>
      <c r="H37" s="18">
        <f>($T$52+C37*$T$53)*$T$62</f>
        <v>3194.2828314305243</v>
      </c>
      <c r="I37" s="19"/>
      <c r="J37" s="18">
        <f t="shared" si="2"/>
        <v>194.28283143052431</v>
      </c>
      <c r="K37" s="18">
        <f t="shared" si="3"/>
        <v>194.28283143052431</v>
      </c>
      <c r="L37" s="18">
        <f>SUM($J$21:J37)</f>
        <v>-16487.374902679316</v>
      </c>
      <c r="M37" s="18">
        <f>SUMSQ($J$21:J37)/C37</f>
        <v>4183735.9663743875</v>
      </c>
      <c r="N37" s="18">
        <f>SUM($K$21:K37)/C37</f>
        <v>1370.4619608643252</v>
      </c>
      <c r="O37" s="18">
        <f t="shared" si="4"/>
        <v>6.4760943810174778</v>
      </c>
      <c r="P37" s="18">
        <f>AVERAGE($O$21:O37)</f>
        <v>29.766442618224598</v>
      </c>
      <c r="Q37" s="20">
        <f>SUM($J$21:J37)/N37</f>
        <v>-12.030523555926376</v>
      </c>
    </row>
    <row r="38" spans="1:24" x14ac:dyDescent="0.2">
      <c r="A38" s="15"/>
      <c r="B38" s="15" t="s">
        <v>6</v>
      </c>
      <c r="C38" s="39">
        <v>18</v>
      </c>
      <c r="D38" s="8">
        <f t="shared" si="7"/>
        <v>3750</v>
      </c>
      <c r="E38" s="16">
        <f t="shared" si="6"/>
        <v>4229.166666666667</v>
      </c>
      <c r="F38" s="16">
        <f t="shared" si="5"/>
        <v>5054.46</v>
      </c>
      <c r="G38" s="17">
        <f t="shared" si="1"/>
        <v>0.74191901805534122</v>
      </c>
      <c r="H38" s="18">
        <f>($T$52+C38*$T$53)*$T$63</f>
        <v>3074.9590207974798</v>
      </c>
      <c r="I38" s="19"/>
      <c r="J38" s="18">
        <f t="shared" si="2"/>
        <v>-675.04097920252025</v>
      </c>
      <c r="K38" s="18">
        <f t="shared" si="3"/>
        <v>675.04097920252025</v>
      </c>
      <c r="L38" s="18">
        <f>SUM($J$21:J38)</f>
        <v>-17162.415881881836</v>
      </c>
      <c r="M38" s="18">
        <f>SUMSQ($J$21:J38)/C38</f>
        <v>3976621.7639981825</v>
      </c>
      <c r="N38" s="18">
        <f>SUM($K$21:K38)/C38</f>
        <v>1331.8274618831138</v>
      </c>
      <c r="O38" s="18">
        <f t="shared" si="4"/>
        <v>18.001092778733874</v>
      </c>
      <c r="P38" s="18">
        <f>AVERAGE($O$21:O38)</f>
        <v>29.11281207158622</v>
      </c>
      <c r="Q38" s="20">
        <f>SUM($J$21:J38)/N38</f>
        <v>-12.88636581919954</v>
      </c>
      <c r="S38" s="55" t="s">
        <v>26</v>
      </c>
      <c r="T38" s="55"/>
    </row>
    <row r="39" spans="1:24" x14ac:dyDescent="0.2">
      <c r="A39" s="15"/>
      <c r="B39" s="15" t="s">
        <v>7</v>
      </c>
      <c r="C39" s="39">
        <v>19</v>
      </c>
      <c r="D39" s="8">
        <f t="shared" si="7"/>
        <v>4500</v>
      </c>
      <c r="E39" s="16">
        <f t="shared" si="6"/>
        <v>4437.5</v>
      </c>
      <c r="F39" s="16">
        <f t="shared" si="5"/>
        <v>5093.3799999999992</v>
      </c>
      <c r="G39" s="17">
        <f t="shared" si="1"/>
        <v>0.88349975851006612</v>
      </c>
      <c r="H39" s="18">
        <f>($T$52+C39*$T$53)*$T$64</f>
        <v>3142.9041548307773</v>
      </c>
      <c r="I39" s="19"/>
      <c r="J39" s="18">
        <f t="shared" si="2"/>
        <v>-1357.0958451692227</v>
      </c>
      <c r="K39" s="18">
        <f t="shared" si="3"/>
        <v>1357.0958451692227</v>
      </c>
      <c r="L39" s="18">
        <f>SUM($J$21:J39)</f>
        <v>-18519.51172705106</v>
      </c>
      <c r="M39" s="18">
        <f>SUMSQ($J$21:J39)/C39</f>
        <v>3864257.9413127811</v>
      </c>
      <c r="N39" s="18">
        <f>SUM($K$21:K39)/C39</f>
        <v>1333.1573767929092</v>
      </c>
      <c r="O39" s="18">
        <f t="shared" si="4"/>
        <v>30.157685448204948</v>
      </c>
      <c r="P39" s="18">
        <f>AVERAGE($O$21:O39)</f>
        <v>29.167805407197733</v>
      </c>
      <c r="Q39" s="20">
        <f>SUM($J$21:J39)/N39</f>
        <v>-13.891467016146478</v>
      </c>
      <c r="S39" s="52" t="s">
        <v>27</v>
      </c>
      <c r="T39" s="52">
        <f>SQRT(T40)</f>
        <v>0.87504285609334587</v>
      </c>
    </row>
    <row r="40" spans="1:24" x14ac:dyDescent="0.2">
      <c r="A40" s="15"/>
      <c r="B40" s="15" t="s">
        <v>8</v>
      </c>
      <c r="C40" s="39">
        <v>20</v>
      </c>
      <c r="D40" s="8">
        <f t="shared" si="7"/>
        <v>5500</v>
      </c>
      <c r="E40" s="16">
        <f t="shared" si="6"/>
        <v>4729.166666666667</v>
      </c>
      <c r="F40" s="16">
        <f t="shared" si="5"/>
        <v>5132.2999999999993</v>
      </c>
      <c r="G40" s="17">
        <f t="shared" si="1"/>
        <v>1.071644292032812</v>
      </c>
      <c r="H40" s="18">
        <f>($T$52+C40*$T$53)*$T$65</f>
        <v>3163.2498411178985</v>
      </c>
      <c r="I40" s="19"/>
      <c r="J40" s="18">
        <f t="shared" si="2"/>
        <v>-2336.7501588821015</v>
      </c>
      <c r="K40" s="18">
        <f t="shared" si="3"/>
        <v>2336.7501588821015</v>
      </c>
      <c r="L40" s="18">
        <f>SUM($J$21:J40)</f>
        <v>-20856.261885933163</v>
      </c>
      <c r="M40" s="18">
        <f>SUMSQ($J$21:J40)/C40</f>
        <v>3944065.109498919</v>
      </c>
      <c r="N40" s="18">
        <f>SUM($K$21:K40)/C40</f>
        <v>1383.3370158973689</v>
      </c>
      <c r="O40" s="18">
        <f t="shared" si="4"/>
        <v>42.486366525129114</v>
      </c>
      <c r="P40" s="18">
        <f>AVERAGE($O$21:O40)</f>
        <v>29.833733463094301</v>
      </c>
      <c r="Q40" s="20">
        <f>SUM($J$21:J40)/N40</f>
        <v>-15.076775685355122</v>
      </c>
      <c r="S40" s="52" t="s">
        <v>28</v>
      </c>
      <c r="T40" s="52">
        <v>0.76570000000000005</v>
      </c>
    </row>
    <row r="41" spans="1:24" x14ac:dyDescent="0.2">
      <c r="A41" s="15"/>
      <c r="B41" s="15" t="s">
        <v>9</v>
      </c>
      <c r="C41" s="39">
        <v>21</v>
      </c>
      <c r="D41" s="8">
        <f t="shared" si="7"/>
        <v>3500</v>
      </c>
      <c r="E41" s="16">
        <f t="shared" si="6"/>
        <v>4895.833333333333</v>
      </c>
      <c r="F41" s="16">
        <f t="shared" si="5"/>
        <v>5171.2199999999993</v>
      </c>
      <c r="G41" s="17">
        <f t="shared" si="1"/>
        <v>0.67682287738676761</v>
      </c>
      <c r="H41" s="18">
        <f>($T$52+C41*$T$53)*$T$66</f>
        <v>3034.2675396364971</v>
      </c>
      <c r="I41" s="19"/>
      <c r="J41" s="18">
        <f t="shared" si="2"/>
        <v>-465.73246036350292</v>
      </c>
      <c r="K41" s="18">
        <f t="shared" si="3"/>
        <v>465.73246036350292</v>
      </c>
      <c r="L41" s="18">
        <f>SUM($J$21:J41)</f>
        <v>-21321.994346296666</v>
      </c>
      <c r="M41" s="18">
        <f>SUMSQ($J$21:J41)/C41</f>
        <v>3766581.3768864102</v>
      </c>
      <c r="N41" s="18">
        <f>SUM($K$21:K41)/C41</f>
        <v>1339.6415608719467</v>
      </c>
      <c r="O41" s="18">
        <f t="shared" si="4"/>
        <v>13.306641724671511</v>
      </c>
      <c r="P41" s="18">
        <f>AVERAGE($O$21:O41)</f>
        <v>29.046729094597978</v>
      </c>
      <c r="Q41" s="20">
        <f>SUM($J$21:J41)/N41</f>
        <v>-15.916193531961335</v>
      </c>
      <c r="S41" s="52" t="s">
        <v>29</v>
      </c>
      <c r="T41" s="52">
        <v>0.91088044174102922</v>
      </c>
    </row>
    <row r="42" spans="1:24" x14ac:dyDescent="0.2">
      <c r="A42" s="15"/>
      <c r="B42" s="15" t="s">
        <v>10</v>
      </c>
      <c r="C42" s="39">
        <v>22</v>
      </c>
      <c r="D42" s="8">
        <f t="shared" si="7"/>
        <v>3250</v>
      </c>
      <c r="E42" s="16">
        <f t="shared" si="6"/>
        <v>4958.333333333333</v>
      </c>
      <c r="F42" s="16">
        <f t="shared" si="5"/>
        <v>5210.1399999999994</v>
      </c>
      <c r="G42" s="17">
        <f t="shared" si="1"/>
        <v>0.62378362193722248</v>
      </c>
      <c r="H42" s="18">
        <f>($T$52+C42*$T$53)*$T$67</f>
        <v>2969.3175858471013</v>
      </c>
      <c r="I42" s="19"/>
      <c r="J42" s="18">
        <f t="shared" si="2"/>
        <v>-280.68241415289867</v>
      </c>
      <c r="K42" s="18">
        <f t="shared" si="3"/>
        <v>280.68241415289867</v>
      </c>
      <c r="L42" s="18">
        <f>SUM($J$21:J42)</f>
        <v>-21602.676760449565</v>
      </c>
      <c r="M42" s="18">
        <f>SUMSQ($J$21:J42)/C42</f>
        <v>3598954.1605558782</v>
      </c>
      <c r="N42" s="18">
        <f>SUM($K$21:K42)/C42</f>
        <v>1291.5070542028991</v>
      </c>
      <c r="O42" s="18">
        <f t="shared" si="4"/>
        <v>8.6363819739353431</v>
      </c>
      <c r="P42" s="18">
        <f>AVERAGE($O$21:O42)</f>
        <v>28.118986043658769</v>
      </c>
      <c r="Q42" s="20">
        <f>SUM($J$21:J42)/N42</f>
        <v>-16.726719912329436</v>
      </c>
      <c r="S42" s="52" t="s">
        <v>30</v>
      </c>
      <c r="T42" s="52">
        <v>316.82998036150366</v>
      </c>
    </row>
    <row r="43" spans="1:24" ht="13.5" thickBot="1" x14ac:dyDescent="0.25">
      <c r="A43" s="15"/>
      <c r="B43" s="15" t="s">
        <v>11</v>
      </c>
      <c r="C43" s="39">
        <v>23</v>
      </c>
      <c r="D43" s="8">
        <f t="shared" si="7"/>
        <v>7250</v>
      </c>
      <c r="E43" s="16">
        <f t="shared" si="6"/>
        <v>5020.833333333333</v>
      </c>
      <c r="F43" s="16">
        <f t="shared" si="5"/>
        <v>5249.0599999999995</v>
      </c>
      <c r="G43" s="17">
        <f t="shared" si="1"/>
        <v>1.3811996814667771</v>
      </c>
      <c r="H43" s="18">
        <f>($T$52+C43*$T$53)*$T$68</f>
        <v>2865.1441015019273</v>
      </c>
      <c r="I43" s="19"/>
      <c r="J43" s="18">
        <f t="shared" si="2"/>
        <v>-4384.8558984980727</v>
      </c>
      <c r="K43" s="18">
        <f t="shared" si="3"/>
        <v>4384.8558984980727</v>
      </c>
      <c r="L43" s="18">
        <f>SUM($J$21:J43)</f>
        <v>-25987.532658947639</v>
      </c>
      <c r="M43" s="18">
        <f>SUMSQ($J$21:J43)/C43</f>
        <v>4278432.7296879422</v>
      </c>
      <c r="N43" s="18">
        <f>SUM($K$21:K43)/C43</f>
        <v>1426.0004822157327</v>
      </c>
      <c r="O43" s="18">
        <f t="shared" si="4"/>
        <v>60.480771013766521</v>
      </c>
      <c r="P43" s="18">
        <f>AVERAGE($O$21:O43)</f>
        <v>29.526020172793892</v>
      </c>
      <c r="Q43" s="20">
        <f>SUM($J$21:J43)/N43</f>
        <v>-18.224070035774442</v>
      </c>
      <c r="S43" s="53" t="s">
        <v>31</v>
      </c>
      <c r="T43" s="53">
        <v>60</v>
      </c>
    </row>
    <row r="44" spans="1:24" x14ac:dyDescent="0.2">
      <c r="A44" s="15"/>
      <c r="B44" s="15" t="s">
        <v>12</v>
      </c>
      <c r="C44" s="39">
        <v>24</v>
      </c>
      <c r="D44" s="8">
        <f t="shared" si="7"/>
        <v>9000</v>
      </c>
      <c r="E44" s="16">
        <f>(D38+D50+2*SUM(D39:D49))/(2*12)</f>
        <v>5156.25</v>
      </c>
      <c r="F44" s="16">
        <f t="shared" si="5"/>
        <v>5287.98</v>
      </c>
      <c r="G44" s="17">
        <f t="shared" si="1"/>
        <v>1.7019731542101144</v>
      </c>
      <c r="H44" s="18">
        <f>($T$52+C44*$T$53)*$T$69</f>
        <v>2874.1611384520647</v>
      </c>
      <c r="I44" s="19"/>
      <c r="J44" s="18">
        <f t="shared" si="2"/>
        <v>-6125.8388615479353</v>
      </c>
      <c r="K44" s="18">
        <f t="shared" si="3"/>
        <v>6125.8388615479353</v>
      </c>
      <c r="L44" s="18">
        <f>SUM($J$21:J44)</f>
        <v>-32113.371520495573</v>
      </c>
      <c r="M44" s="18">
        <f>SUMSQ($J$21:J44)/C44</f>
        <v>5663743.9391863989</v>
      </c>
      <c r="N44" s="18">
        <f>SUM($K$21:K44)/C44</f>
        <v>1621.8270813545744</v>
      </c>
      <c r="O44" s="18">
        <f t="shared" si="4"/>
        <v>68.064876239421494</v>
      </c>
      <c r="P44" s="18">
        <f>AVERAGE($O$21:O44)</f>
        <v>31.131805842236712</v>
      </c>
      <c r="Q44" s="20">
        <f>SUM($J$21:J44)/N44</f>
        <v>-19.800737014253087</v>
      </c>
    </row>
    <row r="45" spans="1:24" ht="13.5" thickBot="1" x14ac:dyDescent="0.25">
      <c r="A45" s="15" t="s">
        <v>60</v>
      </c>
      <c r="B45" s="15" t="s">
        <v>1</v>
      </c>
      <c r="C45" s="39">
        <v>25</v>
      </c>
      <c r="D45" s="60">
        <f>E4</f>
        <v>8000</v>
      </c>
      <c r="E45" s="16">
        <f t="shared" si="6"/>
        <v>5354.166666666667</v>
      </c>
      <c r="F45" s="16">
        <f t="shared" si="5"/>
        <v>5326.9</v>
      </c>
      <c r="G45" s="17">
        <f t="shared" si="1"/>
        <v>1.5018115601944848</v>
      </c>
      <c r="H45" s="18">
        <f>($T$52+C45*$T$53)*$T$58</f>
        <v>3249.3730599718706</v>
      </c>
      <c r="I45" s="19"/>
      <c r="J45" s="18">
        <f t="shared" si="2"/>
        <v>-4750.626940028129</v>
      </c>
      <c r="K45" s="18">
        <f t="shared" si="3"/>
        <v>4750.626940028129</v>
      </c>
      <c r="L45" s="18">
        <f>SUM($J$21:J45)</f>
        <v>-36863.998460523704</v>
      </c>
      <c r="M45" s="18">
        <f>SUMSQ($J$21:J45)/C45</f>
        <v>6339932.4345517838</v>
      </c>
      <c r="N45" s="18">
        <f>SUM($K$21:K45)/C45</f>
        <v>1746.9790757015166</v>
      </c>
      <c r="O45" s="18">
        <f t="shared" si="4"/>
        <v>59.382836750351608</v>
      </c>
      <c r="P45" s="18">
        <f>AVERAGE($O$21:O45)</f>
        <v>32.26184707856131</v>
      </c>
      <c r="Q45" s="20">
        <f>SUM($J$21:J45)/N45</f>
        <v>-21.101568400709439</v>
      </c>
      <c r="S45" t="s">
        <v>32</v>
      </c>
    </row>
    <row r="46" spans="1:24" x14ac:dyDescent="0.2">
      <c r="A46" s="15"/>
      <c r="B46" s="15" t="s">
        <v>2</v>
      </c>
      <c r="C46" s="39">
        <v>26</v>
      </c>
      <c r="D46" s="60">
        <f t="shared" ref="D46:D56" si="8">E5</f>
        <v>5000</v>
      </c>
      <c r="E46" s="16">
        <f t="shared" si="6"/>
        <v>5604.166666666667</v>
      </c>
      <c r="F46" s="16">
        <f t="shared" si="5"/>
        <v>5365.82</v>
      </c>
      <c r="G46" s="17">
        <f t="shared" si="1"/>
        <v>0.93182402689616872</v>
      </c>
      <c r="H46" s="18">
        <f>($T$52+C46*$T$53)*$T$59</f>
        <v>3249.4156180573682</v>
      </c>
      <c r="I46" s="19"/>
      <c r="J46" s="18">
        <f t="shared" si="2"/>
        <v>-1750.5843819426318</v>
      </c>
      <c r="K46" s="18">
        <f t="shared" si="3"/>
        <v>1750.5843819426318</v>
      </c>
      <c r="L46" s="18">
        <f>SUM($J$21:J46)</f>
        <v>-38614.582842466334</v>
      </c>
      <c r="M46" s="18">
        <f>SUMSQ($J$21:J46)/C46</f>
        <v>6213956.0208498482</v>
      </c>
      <c r="N46" s="18">
        <f>SUM($K$21:K46)/C46</f>
        <v>1747.1177413261748</v>
      </c>
      <c r="O46" s="18">
        <f t="shared" si="4"/>
        <v>35.011687638852635</v>
      </c>
      <c r="P46" s="18">
        <f>AVERAGE($O$21:O46)</f>
        <v>32.367610177034052</v>
      </c>
      <c r="Q46" s="20">
        <f>SUM($J$21:J46)/N46</f>
        <v>-22.101877812284922</v>
      </c>
      <c r="S46" s="54"/>
      <c r="T46" s="54" t="s">
        <v>33</v>
      </c>
      <c r="U46" s="54" t="s">
        <v>34</v>
      </c>
      <c r="V46" s="54" t="s">
        <v>35</v>
      </c>
      <c r="W46" s="54" t="s">
        <v>36</v>
      </c>
      <c r="X46" s="54" t="s">
        <v>37</v>
      </c>
    </row>
    <row r="47" spans="1:24" x14ac:dyDescent="0.2">
      <c r="A47" s="15"/>
      <c r="B47" s="15" t="s">
        <v>3</v>
      </c>
      <c r="C47" s="39">
        <v>27</v>
      </c>
      <c r="D47" s="60">
        <f t="shared" si="8"/>
        <v>4000</v>
      </c>
      <c r="E47" s="16">
        <f t="shared" si="6"/>
        <v>5854.166666666667</v>
      </c>
      <c r="F47" s="16">
        <f t="shared" si="5"/>
        <v>5404.74</v>
      </c>
      <c r="G47" s="17">
        <f t="shared" si="1"/>
        <v>0.74009110521505195</v>
      </c>
      <c r="H47" s="18">
        <f>($T$52+C47*$T$53)*$T$60</f>
        <v>3301.8837031091484</v>
      </c>
      <c r="I47" s="19"/>
      <c r="J47" s="18">
        <f t="shared" si="2"/>
        <v>-698.11629689085157</v>
      </c>
      <c r="K47" s="18">
        <f t="shared" si="3"/>
        <v>698.11629689085157</v>
      </c>
      <c r="L47" s="18">
        <f>SUM($J$21:J47)</f>
        <v>-39312.699139357188</v>
      </c>
      <c r="M47" s="18">
        <f>SUMSQ($J$21:J47)/C47</f>
        <v>6001860.1076326156</v>
      </c>
      <c r="N47" s="18">
        <f>SUM($K$21:K47)/C47</f>
        <v>1708.2658359767186</v>
      </c>
      <c r="O47" s="18">
        <f t="shared" si="4"/>
        <v>17.452907422271288</v>
      </c>
      <c r="P47" s="18">
        <f>AVERAGE($O$21:O47)</f>
        <v>31.815213778709509</v>
      </c>
      <c r="Q47" s="20">
        <f>SUM($J$21:J47)/N47</f>
        <v>-23.013220958598488</v>
      </c>
      <c r="S47" s="52" t="s">
        <v>38</v>
      </c>
      <c r="T47" s="52">
        <v>1</v>
      </c>
      <c r="U47" s="52">
        <v>48321663.065159589</v>
      </c>
      <c r="V47" s="52">
        <v>48321663.065159589</v>
      </c>
      <c r="W47" s="52">
        <v>481.38142915187711</v>
      </c>
      <c r="X47" s="52">
        <v>5.2688669029353572E-26</v>
      </c>
    </row>
    <row r="48" spans="1:24" x14ac:dyDescent="0.2">
      <c r="A48" s="15"/>
      <c r="B48" s="15" t="s">
        <v>4</v>
      </c>
      <c r="C48" s="39">
        <v>28</v>
      </c>
      <c r="D48" s="60">
        <f t="shared" si="8"/>
        <v>3000</v>
      </c>
      <c r="E48" s="16">
        <f t="shared" si="6"/>
        <v>6031.25</v>
      </c>
      <c r="F48" s="16">
        <f t="shared" si="5"/>
        <v>5443.66</v>
      </c>
      <c r="G48" s="17">
        <f t="shared" si="1"/>
        <v>0.55109981152386445</v>
      </c>
      <c r="H48" s="18">
        <f>($T$52+C48*$T$53)*$T$61</f>
        <v>3365.3242567953889</v>
      </c>
      <c r="I48" s="19"/>
      <c r="J48" s="18">
        <f t="shared" si="2"/>
        <v>365.32425679538892</v>
      </c>
      <c r="K48" s="18">
        <f t="shared" si="3"/>
        <v>365.32425679538892</v>
      </c>
      <c r="L48" s="18">
        <f>SUM($J$21:J48)</f>
        <v>-38947.374882561802</v>
      </c>
      <c r="M48" s="18">
        <f>SUMSQ($J$21:J48)/C48</f>
        <v>5792274.4542387053</v>
      </c>
      <c r="N48" s="18">
        <f>SUM($K$21:K48)/C48</f>
        <v>1660.3036367202424</v>
      </c>
      <c r="O48" s="18">
        <f t="shared" si="4"/>
        <v>12.177475226512964</v>
      </c>
      <c r="P48" s="18">
        <f>AVERAGE($O$21:O48)</f>
        <v>31.113865973273914</v>
      </c>
      <c r="Q48" s="20">
        <f>SUM($J$21:J48)/N48</f>
        <v>-23.457983239438239</v>
      </c>
      <c r="S48" s="52" t="s">
        <v>39</v>
      </c>
      <c r="T48" s="52">
        <v>59</v>
      </c>
      <c r="U48" s="52">
        <v>4617536.8769700564</v>
      </c>
      <c r="V48" s="52">
        <v>100381.23645587079</v>
      </c>
      <c r="W48" s="52"/>
      <c r="X48" s="52"/>
    </row>
    <row r="49" spans="1:27" ht="13.5" thickBot="1" x14ac:dyDescent="0.25">
      <c r="A49" s="15"/>
      <c r="B49" s="15" t="s">
        <v>5</v>
      </c>
      <c r="C49" s="39">
        <v>29</v>
      </c>
      <c r="D49" s="60">
        <f t="shared" si="8"/>
        <v>4000</v>
      </c>
      <c r="E49" s="16">
        <f t="shared" si="6"/>
        <v>6052.083333333333</v>
      </c>
      <c r="F49" s="16">
        <f t="shared" si="5"/>
        <v>5482.58</v>
      </c>
      <c r="G49" s="17">
        <f t="shared" si="1"/>
        <v>0.72958351724917836</v>
      </c>
      <c r="H49" s="18">
        <f>($T$52+C49*$T$53)*$T$62</f>
        <v>3491.7299365460872</v>
      </c>
      <c r="I49" s="19"/>
      <c r="J49" s="18">
        <f t="shared" si="2"/>
        <v>-508.27006345391283</v>
      </c>
      <c r="K49" s="18">
        <f t="shared" si="3"/>
        <v>508.27006345391283</v>
      </c>
      <c r="L49" s="18">
        <f>SUM($J$21:J49)</f>
        <v>-39455.644946015716</v>
      </c>
      <c r="M49" s="18">
        <f>SUMSQ($J$21:J49)/C49</f>
        <v>5601449.0750374896</v>
      </c>
      <c r="N49" s="18">
        <f>SUM($K$21:K49)/C49</f>
        <v>1620.5783410903691</v>
      </c>
      <c r="O49" s="18">
        <f t="shared" si="4"/>
        <v>12.706751586347821</v>
      </c>
      <c r="P49" s="18">
        <f>AVERAGE($O$21:O49)</f>
        <v>30.479137890966122</v>
      </c>
      <c r="Q49" s="20">
        <f>SUM($J$21:J49)/N49</f>
        <v>-24.346644617913928</v>
      </c>
      <c r="S49" s="53" t="s">
        <v>13</v>
      </c>
      <c r="T49" s="53">
        <v>60</v>
      </c>
      <c r="U49" s="53">
        <v>52939199.942129642</v>
      </c>
      <c r="V49" s="53"/>
      <c r="W49" s="53"/>
      <c r="X49" s="53"/>
    </row>
    <row r="50" spans="1:27" ht="13.5" thickBot="1" x14ac:dyDescent="0.25">
      <c r="A50" s="15"/>
      <c r="B50" s="15" t="s">
        <v>6</v>
      </c>
      <c r="C50" s="39">
        <v>30</v>
      </c>
      <c r="D50" s="60">
        <f t="shared" si="8"/>
        <v>6000</v>
      </c>
      <c r="E50" s="16">
        <f t="shared" si="6"/>
        <v>6083.333333333333</v>
      </c>
      <c r="F50" s="16">
        <f t="shared" si="5"/>
        <v>5521.5</v>
      </c>
      <c r="G50" s="17">
        <f t="shared" si="1"/>
        <v>1.0866612333604999</v>
      </c>
      <c r="H50" s="18">
        <f>($T$52+C50*$T$53)*$T$63</f>
        <v>3359.0900379730542</v>
      </c>
      <c r="I50" s="19"/>
      <c r="J50" s="18">
        <f t="shared" si="2"/>
        <v>-2640.9099620269458</v>
      </c>
      <c r="K50" s="18">
        <f t="shared" si="3"/>
        <v>2640.9099620269458</v>
      </c>
      <c r="L50" s="18">
        <f>SUM($J$21:J50)</f>
        <v>-42096.554908042664</v>
      </c>
      <c r="M50" s="18">
        <f>SUMSQ($J$21:J50)/C50</f>
        <v>5647214.2867873451</v>
      </c>
      <c r="N50" s="18">
        <f>SUM($K$21:K50)/C50</f>
        <v>1654.5893951215883</v>
      </c>
      <c r="O50" s="18">
        <f t="shared" si="4"/>
        <v>44.015166033782428</v>
      </c>
      <c r="P50" s="18">
        <f>AVERAGE($O$21:O50)</f>
        <v>30.930338829059998</v>
      </c>
      <c r="Q50" s="20">
        <f>SUM($J$21:J50)/N50</f>
        <v>-25.442297063042144</v>
      </c>
    </row>
    <row r="51" spans="1:27" x14ac:dyDescent="0.2">
      <c r="A51" s="15"/>
      <c r="B51" s="15" t="s">
        <v>7</v>
      </c>
      <c r="C51" s="39">
        <v>31</v>
      </c>
      <c r="D51" s="60">
        <f t="shared" si="8"/>
        <v>7000</v>
      </c>
      <c r="E51" s="16">
        <f t="shared" si="6"/>
        <v>6145.833333333333</v>
      </c>
      <c r="F51" s="16">
        <f t="shared" si="5"/>
        <v>5560.42</v>
      </c>
      <c r="G51" s="17">
        <f t="shared" si="1"/>
        <v>1.2588977091658544</v>
      </c>
      <c r="H51" s="18">
        <f>($T$52+C51*$T$53)*$T$64</f>
        <v>3431.0943068461715</v>
      </c>
      <c r="I51" s="19"/>
      <c r="J51" s="18">
        <f t="shared" si="2"/>
        <v>-3568.9056931538285</v>
      </c>
      <c r="K51" s="18">
        <f t="shared" si="3"/>
        <v>3568.9056931538285</v>
      </c>
      <c r="L51" s="18">
        <f>SUM($J$21:J51)</f>
        <v>-45665.460601196493</v>
      </c>
      <c r="M51" s="18">
        <f>SUMSQ($J$21:J51)/C51</f>
        <v>5875919.8854918117</v>
      </c>
      <c r="N51" s="18">
        <f>SUM($K$21:K51)/C51</f>
        <v>1716.3415337677895</v>
      </c>
      <c r="O51" s="18">
        <f t="shared" si="4"/>
        <v>50.98436704505469</v>
      </c>
      <c r="P51" s="18">
        <f>AVERAGE($O$21:O51)</f>
        <v>31.577242965059824</v>
      </c>
      <c r="Q51" s="20">
        <f>SUM($J$21:J51)/N51</f>
        <v>-26.606278355887383</v>
      </c>
      <c r="S51" s="54"/>
      <c r="T51" s="54" t="s">
        <v>40</v>
      </c>
      <c r="U51" s="54" t="s">
        <v>30</v>
      </c>
      <c r="V51" s="54" t="s">
        <v>41</v>
      </c>
      <c r="W51" s="54" t="s">
        <v>42</v>
      </c>
      <c r="X51" s="54" t="s">
        <v>43</v>
      </c>
      <c r="Y51" s="54" t="s">
        <v>44</v>
      </c>
      <c r="Z51" s="54" t="s">
        <v>64</v>
      </c>
      <c r="AA51" s="54" t="s">
        <v>65</v>
      </c>
    </row>
    <row r="52" spans="1:27" x14ac:dyDescent="0.2">
      <c r="A52" s="15"/>
      <c r="B52" s="15" t="s">
        <v>8</v>
      </c>
      <c r="C52" s="39">
        <v>32</v>
      </c>
      <c r="D52" s="60">
        <f t="shared" si="8"/>
        <v>9000</v>
      </c>
      <c r="E52" s="16">
        <f t="shared" si="6"/>
        <v>6083.333333333333</v>
      </c>
      <c r="F52" s="16">
        <f t="shared" si="5"/>
        <v>5599.34</v>
      </c>
      <c r="G52" s="17">
        <f t="shared" si="1"/>
        <v>1.6073322927345008</v>
      </c>
      <c r="H52" s="18">
        <f>($T$52+C52*$T$53)*$T$65</f>
        <v>3451.1060080987268</v>
      </c>
      <c r="I52" s="19"/>
      <c r="J52" s="18">
        <f t="shared" si="2"/>
        <v>-5548.8939919012737</v>
      </c>
      <c r="K52" s="18">
        <f t="shared" si="3"/>
        <v>5548.8939919012737</v>
      </c>
      <c r="L52" s="18">
        <f>SUM($J$21:J52)</f>
        <v>-51214.354593097771</v>
      </c>
      <c r="M52" s="18">
        <f>SUMSQ($J$21:J52)/C52</f>
        <v>6654491.905737631</v>
      </c>
      <c r="N52" s="18">
        <f>SUM($K$21:K52)/C52</f>
        <v>1836.1087980844609</v>
      </c>
      <c r="O52" s="18">
        <f t="shared" si="4"/>
        <v>61.654377687791929</v>
      </c>
      <c r="P52" s="18">
        <f>AVERAGE($O$21:O52)</f>
        <v>32.517153425145203</v>
      </c>
      <c r="Q52" s="20">
        <f>SUM($J$21:J52)/N52</f>
        <v>-27.892875763422989</v>
      </c>
      <c r="S52" s="52" t="s">
        <v>45</v>
      </c>
      <c r="T52" s="56">
        <v>4353.8999999999996</v>
      </c>
      <c r="U52" s="52">
        <v>110.580357032511</v>
      </c>
      <c r="V52" s="52">
        <v>53.633093544368208</v>
      </c>
      <c r="W52" s="52">
        <v>4.0044961385689567E-43</v>
      </c>
      <c r="X52" s="52">
        <v>5708.1799188966115</v>
      </c>
      <c r="Y52" s="52">
        <v>6153.3533468919732</v>
      </c>
      <c r="Z52" s="52">
        <v>5708.1799188966115</v>
      </c>
      <c r="AA52" s="52">
        <v>6153.3533468919732</v>
      </c>
    </row>
    <row r="53" spans="1:27" ht="13.5" thickBot="1" x14ac:dyDescent="0.25">
      <c r="A53" s="15"/>
      <c r="B53" s="15" t="s">
        <v>9</v>
      </c>
      <c r="C53" s="39">
        <v>33</v>
      </c>
      <c r="D53" s="60">
        <f t="shared" si="8"/>
        <v>6000</v>
      </c>
      <c r="E53" s="16">
        <f t="shared" si="6"/>
        <v>6041.666666666667</v>
      </c>
      <c r="F53" s="16">
        <f t="shared" si="5"/>
        <v>5638.26</v>
      </c>
      <c r="G53" s="17">
        <f t="shared" si="1"/>
        <v>1.0641580913260473</v>
      </c>
      <c r="H53" s="18">
        <f>($T$52+C53*$T$53)*$T$66</f>
        <v>3308.3081551415098</v>
      </c>
      <c r="I53" s="19"/>
      <c r="J53" s="18">
        <f t="shared" si="2"/>
        <v>-2691.6918448584902</v>
      </c>
      <c r="K53" s="18">
        <f t="shared" si="3"/>
        <v>2691.6918448584902</v>
      </c>
      <c r="L53" s="18">
        <f>SUM($J$21:J53)</f>
        <v>-53906.046437956262</v>
      </c>
      <c r="M53" s="18">
        <f>SUMSQ($J$21:J53)/C53</f>
        <v>6672392.3021600572</v>
      </c>
      <c r="N53" s="18">
        <f>SUM($K$21:K53)/C53</f>
        <v>1862.0355570776132</v>
      </c>
      <c r="O53" s="18">
        <f t="shared" si="4"/>
        <v>44.861530747641503</v>
      </c>
      <c r="P53" s="18">
        <f>AVERAGE($O$21:O53)</f>
        <v>32.891225465220849</v>
      </c>
      <c r="Q53" s="20">
        <f>SUM($J$21:J53)/N53</f>
        <v>-28.950062866983885</v>
      </c>
      <c r="S53" s="53" t="s">
        <v>46</v>
      </c>
      <c r="T53" s="48">
        <v>38.92</v>
      </c>
      <c r="U53" s="53">
        <v>3.3010287422649198</v>
      </c>
      <c r="V53" s="53">
        <v>21.940406312369802</v>
      </c>
      <c r="W53" s="53">
        <v>5.2688669029354709E-26</v>
      </c>
      <c r="X53" s="53">
        <v>65.781285626891744</v>
      </c>
      <c r="Y53" s="53">
        <v>79.070538081314922</v>
      </c>
      <c r="Z53" s="53">
        <v>65.781285626891744</v>
      </c>
      <c r="AA53" s="53">
        <v>79.070538081314922</v>
      </c>
    </row>
    <row r="54" spans="1:27" x14ac:dyDescent="0.2">
      <c r="A54" s="15"/>
      <c r="B54" s="15" t="s">
        <v>10</v>
      </c>
      <c r="C54" s="39">
        <v>34</v>
      </c>
      <c r="D54" s="60">
        <f t="shared" si="8"/>
        <v>5000</v>
      </c>
      <c r="E54" s="16">
        <f t="shared" si="6"/>
        <v>6000</v>
      </c>
      <c r="F54" s="16">
        <f t="shared" si="5"/>
        <v>5677.1799999999994</v>
      </c>
      <c r="G54" s="17">
        <f t="shared" si="1"/>
        <v>0.88071894849203314</v>
      </c>
      <c r="H54" s="18">
        <f>($T$52+C54*$T$53)*$T$67</f>
        <v>3235.4889526998213</v>
      </c>
      <c r="I54" s="19"/>
      <c r="J54" s="18">
        <f t="shared" si="2"/>
        <v>-1764.5110473001787</v>
      </c>
      <c r="K54" s="18">
        <f t="shared" si="3"/>
        <v>1764.5110473001787</v>
      </c>
      <c r="L54" s="18">
        <f>SUM($J$21:J54)</f>
        <v>-55670.557485256439</v>
      </c>
      <c r="M54" s="18">
        <f>SUMSQ($J$21:J54)/C54</f>
        <v>6567718.9766860669</v>
      </c>
      <c r="N54" s="18">
        <f>SUM($K$21:K54)/C54</f>
        <v>1859.1671891429828</v>
      </c>
      <c r="O54" s="18">
        <f t="shared" si="4"/>
        <v>35.290220946003572</v>
      </c>
      <c r="P54" s="18">
        <f>AVERAGE($O$21:O54)</f>
        <v>32.961784155832106</v>
      </c>
      <c r="Q54" s="20">
        <f>SUM($J$21:J54)/N54</f>
        <v>-29.94381452639491</v>
      </c>
    </row>
    <row r="55" spans="1:27" x14ac:dyDescent="0.2">
      <c r="A55" s="15"/>
      <c r="B55" s="15" t="s">
        <v>11</v>
      </c>
      <c r="C55" s="39">
        <v>35</v>
      </c>
      <c r="D55" s="60">
        <f t="shared" si="8"/>
        <v>6000</v>
      </c>
      <c r="E55" s="16">
        <f t="shared" si="6"/>
        <v>5979.166666666667</v>
      </c>
      <c r="F55" s="16">
        <f t="shared" si="5"/>
        <v>5716.0999999999995</v>
      </c>
      <c r="G55" s="17">
        <f t="shared" si="1"/>
        <v>1.049666730812967</v>
      </c>
      <c r="H55" s="18">
        <f>($T$52+C55*$T$53)*$T$68</f>
        <v>3120.072965177606</v>
      </c>
      <c r="I55" s="19"/>
      <c r="J55" s="18">
        <f t="shared" si="2"/>
        <v>-2879.927034822394</v>
      </c>
      <c r="K55" s="18">
        <f t="shared" si="3"/>
        <v>2879.927034822394</v>
      </c>
      <c r="L55" s="18">
        <f>SUM($J$21:J55)</f>
        <v>-58550.484520078833</v>
      </c>
      <c r="M55" s="18">
        <f>SUMSQ($J$21:J55)/C55</f>
        <v>6617040.7123779198</v>
      </c>
      <c r="N55" s="18">
        <f>SUM($K$21:K55)/C55</f>
        <v>1888.3317561623944</v>
      </c>
      <c r="O55" s="18">
        <f t="shared" si="4"/>
        <v>47.998783913706568</v>
      </c>
      <c r="P55" s="18">
        <f>AVERAGE($O$21:O55)</f>
        <v>33.391412720342807</v>
      </c>
      <c r="Q55" s="20">
        <f>SUM($J$21:J55)/N55</f>
        <v>-31.00646077099789</v>
      </c>
      <c r="S55" s="62" t="s">
        <v>85</v>
      </c>
      <c r="T55" t="s">
        <v>88</v>
      </c>
    </row>
    <row r="56" spans="1:27" x14ac:dyDescent="0.2">
      <c r="A56" s="15"/>
      <c r="B56" s="15" t="s">
        <v>12</v>
      </c>
      <c r="C56" s="39">
        <v>36</v>
      </c>
      <c r="D56" s="60">
        <f t="shared" si="8"/>
        <v>11000</v>
      </c>
      <c r="E56" s="16">
        <f t="shared" si="6"/>
        <v>5958.333333333333</v>
      </c>
      <c r="F56" s="16">
        <f t="shared" si="5"/>
        <v>5755.0199999999995</v>
      </c>
      <c r="G56" s="17">
        <f t="shared" si="1"/>
        <v>1.9113747649877848</v>
      </c>
      <c r="H56" s="18">
        <f>($T$52+C56*$T$53)*$T$69</f>
        <v>3128.0100974312313</v>
      </c>
      <c r="I56" s="19"/>
      <c r="J56" s="18">
        <f t="shared" si="2"/>
        <v>-7871.9899025687682</v>
      </c>
      <c r="K56" s="18">
        <f t="shared" si="3"/>
        <v>7871.9899025687682</v>
      </c>
      <c r="L56" s="18">
        <f>SUM($J$21:J56)</f>
        <v>-66422.474422647603</v>
      </c>
      <c r="M56" s="18">
        <f>SUMSQ($J$21:J56)/C56</f>
        <v>8154573.6099825501</v>
      </c>
      <c r="N56" s="18">
        <f>SUM($K$21:K56)/C56</f>
        <v>2054.5444824514602</v>
      </c>
      <c r="O56" s="18">
        <f t="shared" si="4"/>
        <v>71.563544568806975</v>
      </c>
      <c r="P56" s="18">
        <f>AVERAGE($O$21:O56)</f>
        <v>34.451749716133477</v>
      </c>
      <c r="Q56" s="20">
        <f>SUM($J$21:J56)/N56</f>
        <v>-32.329538245574042</v>
      </c>
    </row>
    <row r="57" spans="1:27" x14ac:dyDescent="0.2">
      <c r="A57" s="15" t="s">
        <v>61</v>
      </c>
      <c r="B57" s="15" t="s">
        <v>1</v>
      </c>
      <c r="C57" s="39">
        <v>37</v>
      </c>
      <c r="D57" s="60">
        <f>F4</f>
        <v>7500</v>
      </c>
      <c r="E57" s="16">
        <f t="shared" si="6"/>
        <v>5937.5</v>
      </c>
      <c r="F57" s="16">
        <f t="shared" si="5"/>
        <v>5793.94</v>
      </c>
      <c r="G57" s="17">
        <f t="shared" si="1"/>
        <v>1.2944559315422666</v>
      </c>
      <c r="H57" s="18">
        <f>($T$52+C57*$T$53)*$T$58</f>
        <v>3534.2643089026301</v>
      </c>
      <c r="I57" s="19"/>
      <c r="J57" s="18">
        <f t="shared" si="2"/>
        <v>-3965.7356910973699</v>
      </c>
      <c r="K57" s="18">
        <f t="shared" si="3"/>
        <v>3965.7356910973699</v>
      </c>
      <c r="L57" s="18">
        <f>SUM($J$21:J57)</f>
        <v>-70388.210113744979</v>
      </c>
      <c r="M57" s="18">
        <f>SUMSQ($J$21:J57)/C57</f>
        <v>8359235.3927301439</v>
      </c>
      <c r="N57" s="18">
        <f>SUM($K$21:K57)/C57</f>
        <v>2106.19829890135</v>
      </c>
      <c r="O57" s="18">
        <f t="shared" si="4"/>
        <v>52.876475881298269</v>
      </c>
      <c r="P57" s="18">
        <f>AVERAGE($O$21:O57)</f>
        <v>34.94971528816496</v>
      </c>
      <c r="Q57" s="20">
        <f>SUM($J$21:J57)/N57</f>
        <v>-33.419555105737849</v>
      </c>
      <c r="S57" s="48" t="s">
        <v>86</v>
      </c>
      <c r="T57" s="48" t="s">
        <v>89</v>
      </c>
      <c r="U57" s="62"/>
      <c r="V57" s="62"/>
      <c r="W57" s="62"/>
      <c r="X57" s="62"/>
      <c r="Y57" s="62"/>
      <c r="Z57" s="62"/>
      <c r="AA57" s="62"/>
    </row>
    <row r="58" spans="1:27" x14ac:dyDescent="0.2">
      <c r="A58" s="15"/>
      <c r="B58" s="15" t="s">
        <v>2</v>
      </c>
      <c r="C58" s="39">
        <v>38</v>
      </c>
      <c r="D58" s="60">
        <f t="shared" ref="D58:D68" si="9">F5</f>
        <v>4000</v>
      </c>
      <c r="E58" s="16">
        <f t="shared" si="6"/>
        <v>5979.166666666667</v>
      </c>
      <c r="F58" s="16">
        <f t="shared" si="5"/>
        <v>5832.86</v>
      </c>
      <c r="G58" s="17">
        <f t="shared" si="1"/>
        <v>0.6857699310458335</v>
      </c>
      <c r="H58" s="18">
        <f>($T$52+C58*$T$53)*$T$59</f>
        <v>3532.2441643480588</v>
      </c>
      <c r="I58" s="19"/>
      <c r="J58" s="18">
        <f t="shared" si="2"/>
        <v>-467.7558356519412</v>
      </c>
      <c r="K58" s="18">
        <f t="shared" si="3"/>
        <v>467.7558356519412</v>
      </c>
      <c r="L58" s="18">
        <f>SUM($J$21:J58)</f>
        <v>-70855.965949396923</v>
      </c>
      <c r="M58" s="18">
        <f>SUMSQ($J$21:J58)/C58</f>
        <v>8145013.2908632047</v>
      </c>
      <c r="N58" s="18">
        <f>SUM($K$21:K58)/C58</f>
        <v>2063.0813919737338</v>
      </c>
      <c r="O58" s="18">
        <f t="shared" si="4"/>
        <v>11.69389589129853</v>
      </c>
      <c r="P58" s="18">
        <f>AVERAGE($O$21:O58)</f>
        <v>34.337720040878999</v>
      </c>
      <c r="Q58" s="20">
        <f>SUM($J$21:J58)/N58</f>
        <v>-34.344726400546698</v>
      </c>
      <c r="S58" s="49" t="s">
        <v>1</v>
      </c>
      <c r="T58" s="64">
        <v>0.60999325310628527</v>
      </c>
    </row>
    <row r="59" spans="1:27" x14ac:dyDescent="0.2">
      <c r="A59" s="15"/>
      <c r="B59" s="15" t="s">
        <v>3</v>
      </c>
      <c r="C59" s="39">
        <v>39</v>
      </c>
      <c r="D59" s="60">
        <f t="shared" si="9"/>
        <v>4000</v>
      </c>
      <c r="E59" s="16">
        <f t="shared" si="6"/>
        <v>5958.333333333333</v>
      </c>
      <c r="F59" s="16">
        <f t="shared" si="5"/>
        <v>5871.78</v>
      </c>
      <c r="G59" s="17">
        <f t="shared" si="1"/>
        <v>0.68122443279550671</v>
      </c>
      <c r="H59" s="18">
        <f>($T$52+C59*$T$53)*$T$60</f>
        <v>3587.2095031846552</v>
      </c>
      <c r="I59" s="19"/>
      <c r="J59" s="18">
        <f t="shared" si="2"/>
        <v>-412.7904968153448</v>
      </c>
      <c r="K59" s="18">
        <f t="shared" si="3"/>
        <v>412.7904968153448</v>
      </c>
      <c r="L59" s="18">
        <f>SUM($J$21:J59)</f>
        <v>-71268.756446212268</v>
      </c>
      <c r="M59" s="18">
        <f>SUMSQ($J$21:J59)/C59</f>
        <v>7940535.9242836637</v>
      </c>
      <c r="N59" s="18">
        <f>SUM($K$21:K59)/C59</f>
        <v>2020.7662408158264</v>
      </c>
      <c r="O59" s="18">
        <f t="shared" si="4"/>
        <v>10.31976242038362</v>
      </c>
      <c r="P59" s="18">
        <f>AVERAGE($O$21:O59)</f>
        <v>33.721874973686809</v>
      </c>
      <c r="Q59" s="20">
        <f>SUM($J$21:J59)/N59</f>
        <v>-35.268184417728371</v>
      </c>
      <c r="S59" s="49" t="s">
        <v>2</v>
      </c>
      <c r="T59" s="64">
        <v>0.605576709255504</v>
      </c>
    </row>
    <row r="60" spans="1:27" x14ac:dyDescent="0.2">
      <c r="A60" s="15"/>
      <c r="B60" s="15" t="s">
        <v>4</v>
      </c>
      <c r="C60" s="39">
        <v>40</v>
      </c>
      <c r="D60" s="60">
        <f t="shared" si="9"/>
        <v>2000</v>
      </c>
      <c r="E60" s="16">
        <f t="shared" si="6"/>
        <v>5854.166666666667</v>
      </c>
      <c r="F60" s="16">
        <f t="shared" si="5"/>
        <v>5910.7</v>
      </c>
      <c r="G60" s="17">
        <f t="shared" si="1"/>
        <v>0.33836939787165649</v>
      </c>
      <c r="H60" s="18">
        <f>($T$52+C60*$T$53)*$T$61</f>
        <v>3654.0529872623388</v>
      </c>
      <c r="I60" s="19"/>
      <c r="J60" s="18">
        <f t="shared" si="2"/>
        <v>1654.0529872623388</v>
      </c>
      <c r="K60" s="18">
        <f t="shared" si="3"/>
        <v>1654.0529872623388</v>
      </c>
      <c r="L60" s="18">
        <f>SUM($J$21:J60)</f>
        <v>-69614.703458949924</v>
      </c>
      <c r="M60" s="18">
        <f>SUMSQ($J$21:J60)/C60</f>
        <v>7810419.8082933594</v>
      </c>
      <c r="N60" s="18">
        <f>SUM($K$21:K60)/C60</f>
        <v>2011.5984094769894</v>
      </c>
      <c r="O60" s="18">
        <f t="shared" si="4"/>
        <v>82.702649363116947</v>
      </c>
      <c r="P60" s="18">
        <f>AVERAGE($O$21:O60)</f>
        <v>34.94639433342256</v>
      </c>
      <c r="Q60" s="20">
        <f>SUM($J$21:J60)/N60</f>
        <v>-34.606660619228457</v>
      </c>
      <c r="S60" s="49" t="s">
        <v>3</v>
      </c>
      <c r="T60" s="64">
        <v>0.61092368978140454</v>
      </c>
    </row>
    <row r="61" spans="1:27" x14ac:dyDescent="0.2">
      <c r="A61" s="15"/>
      <c r="B61" s="15" t="s">
        <v>5</v>
      </c>
      <c r="C61" s="39">
        <v>41</v>
      </c>
      <c r="D61" s="60">
        <f t="shared" si="9"/>
        <v>4500</v>
      </c>
      <c r="E61" s="16">
        <f t="shared" si="6"/>
        <v>5812.5</v>
      </c>
      <c r="F61" s="16">
        <f t="shared" si="5"/>
        <v>5949.62</v>
      </c>
      <c r="G61" s="17">
        <f t="shared" si="1"/>
        <v>0.75635082576702384</v>
      </c>
      <c r="H61" s="18">
        <f>($T$52+C61*$T$53)*$T$62</f>
        <v>3789.1770416616505</v>
      </c>
      <c r="I61" s="19"/>
      <c r="J61" s="18">
        <f t="shared" si="2"/>
        <v>-710.82295833834951</v>
      </c>
      <c r="K61" s="18">
        <f t="shared" si="3"/>
        <v>710.82295833834951</v>
      </c>
      <c r="L61" s="18">
        <f>SUM($J$21:J61)</f>
        <v>-70325.526417288274</v>
      </c>
      <c r="M61" s="18">
        <f>SUMSQ($J$21:J61)/C61</f>
        <v>7632245.4051179336</v>
      </c>
      <c r="N61" s="18">
        <f>SUM($K$21:K61)/C61</f>
        <v>1979.8721789614128</v>
      </c>
      <c r="O61" s="18">
        <f t="shared" si="4"/>
        <v>15.79606574085221</v>
      </c>
      <c r="P61" s="18">
        <f>AVERAGE($O$21:O61)</f>
        <v>34.479313148237921</v>
      </c>
      <c r="Q61" s="20">
        <f>SUM($J$21:J61)/N61</f>
        <v>-35.520235682173755</v>
      </c>
      <c r="S61" s="49" t="s">
        <v>4</v>
      </c>
      <c r="T61" s="64">
        <v>0.61820985454554267</v>
      </c>
    </row>
    <row r="62" spans="1:27" x14ac:dyDescent="0.2">
      <c r="A62" s="15"/>
      <c r="B62" s="15" t="s">
        <v>6</v>
      </c>
      <c r="C62" s="39">
        <v>42</v>
      </c>
      <c r="D62" s="60">
        <f t="shared" si="9"/>
        <v>5000</v>
      </c>
      <c r="E62" s="16">
        <f t="shared" si="6"/>
        <v>5833.333333333333</v>
      </c>
      <c r="F62" s="16">
        <f t="shared" si="5"/>
        <v>5988.54</v>
      </c>
      <c r="G62" s="17">
        <f t="shared" si="1"/>
        <v>0.83492804590100422</v>
      </c>
      <c r="H62" s="18">
        <f>($T$52+C62*$T$53)*$T$63</f>
        <v>3643.2210551486287</v>
      </c>
      <c r="I62" s="19"/>
      <c r="J62" s="18">
        <f t="shared" si="2"/>
        <v>-1356.7789448513713</v>
      </c>
      <c r="K62" s="18">
        <f t="shared" si="3"/>
        <v>1356.7789448513713</v>
      </c>
      <c r="L62" s="18">
        <f>SUM($J$21:J62)</f>
        <v>-71682.305362139639</v>
      </c>
      <c r="M62" s="18">
        <f>SUMSQ($J$21:J62)/C62</f>
        <v>7494355.0170244593</v>
      </c>
      <c r="N62" s="18">
        <f>SUM($K$21:K62)/C62</f>
        <v>1965.0366257683165</v>
      </c>
      <c r="O62" s="18">
        <f t="shared" si="4"/>
        <v>27.135578897027422</v>
      </c>
      <c r="P62" s="18">
        <f>AVERAGE($O$21:O62)</f>
        <v>34.304462332732911</v>
      </c>
      <c r="Q62" s="20">
        <f>SUM($J$21:J62)/N62</f>
        <v>-36.478864781521473</v>
      </c>
      <c r="S62" s="49" t="s">
        <v>5</v>
      </c>
      <c r="T62" s="64">
        <v>0.63687715209738616</v>
      </c>
    </row>
    <row r="63" spans="1:27" x14ac:dyDescent="0.2">
      <c r="A63" s="15"/>
      <c r="B63" s="15" t="s">
        <v>7</v>
      </c>
      <c r="C63" s="39">
        <v>43</v>
      </c>
      <c r="D63" s="60">
        <f t="shared" si="9"/>
        <v>7500</v>
      </c>
      <c r="E63" s="16">
        <f t="shared" si="6"/>
        <v>5812.5</v>
      </c>
      <c r="F63" s="16">
        <f t="shared" si="5"/>
        <v>6027.46</v>
      </c>
      <c r="G63" s="17">
        <f t="shared" si="1"/>
        <v>1.2443052297319268</v>
      </c>
      <c r="H63" s="18">
        <f>($T$52+C63*$T$53)*$T$64</f>
        <v>3719.2844588615653</v>
      </c>
      <c r="I63" s="19"/>
      <c r="J63" s="18">
        <f t="shared" si="2"/>
        <v>-3780.7155411384347</v>
      </c>
      <c r="K63" s="18">
        <f t="shared" si="3"/>
        <v>3780.7155411384347</v>
      </c>
      <c r="L63" s="18">
        <f>SUM($J$21:J63)</f>
        <v>-75463.020903278069</v>
      </c>
      <c r="M63" s="18">
        <f>SUMSQ($J$21:J63)/C63</f>
        <v>7652481.8771635573</v>
      </c>
      <c r="N63" s="18">
        <f>SUM($K$21:K63)/C63</f>
        <v>2007.2617168234353</v>
      </c>
      <c r="O63" s="18">
        <f t="shared" si="4"/>
        <v>50.409540548512467</v>
      </c>
      <c r="P63" s="18">
        <f>AVERAGE($O$21:O63)</f>
        <v>34.678999035425456</v>
      </c>
      <c r="Q63" s="20">
        <f>SUM($J$21:J63)/N63</f>
        <v>-37.595008299516138</v>
      </c>
      <c r="S63" s="49" t="s">
        <v>6</v>
      </c>
      <c r="T63" s="64">
        <v>0.60836548727212791</v>
      </c>
    </row>
    <row r="64" spans="1:27" x14ac:dyDescent="0.2">
      <c r="A64" s="15"/>
      <c r="B64" s="15" t="s">
        <v>8</v>
      </c>
      <c r="C64" s="39">
        <v>44</v>
      </c>
      <c r="D64" s="60">
        <f t="shared" si="9"/>
        <v>9500</v>
      </c>
      <c r="E64" s="16">
        <f t="shared" si="6"/>
        <v>5791.666666666667</v>
      </c>
      <c r="F64" s="16">
        <f t="shared" si="5"/>
        <v>6066.3799999999992</v>
      </c>
      <c r="G64" s="17">
        <f t="shared" si="1"/>
        <v>1.5660080641173157</v>
      </c>
      <c r="H64" s="18">
        <f>($T$52+C64*$T$53)*$T$65</f>
        <v>3738.9621750795545</v>
      </c>
      <c r="I64" s="19"/>
      <c r="J64" s="18">
        <f t="shared" si="2"/>
        <v>-5761.0378249204459</v>
      </c>
      <c r="K64" s="18">
        <f t="shared" si="3"/>
        <v>5761.0378249204459</v>
      </c>
      <c r="L64" s="18">
        <f>SUM($J$21:J64)</f>
        <v>-81224.058728198521</v>
      </c>
      <c r="M64" s="18">
        <f>SUMSQ($J$21:J64)/C64</f>
        <v>8232869.944049933</v>
      </c>
      <c r="N64" s="18">
        <f>SUM($K$21:K64)/C64</f>
        <v>2092.5748101892768</v>
      </c>
      <c r="O64" s="18">
        <f t="shared" si="4"/>
        <v>60.64250342021522</v>
      </c>
      <c r="P64" s="18">
        <f>AVERAGE($O$21:O64)</f>
        <v>35.269078680534314</v>
      </c>
      <c r="Q64" s="20">
        <f>SUM($J$21:J64)/N64</f>
        <v>-38.815366759027206</v>
      </c>
      <c r="S64" s="49" t="s">
        <v>7</v>
      </c>
      <c r="T64" s="64">
        <v>0.61705668040295003</v>
      </c>
    </row>
    <row r="65" spans="1:20" x14ac:dyDescent="0.2">
      <c r="A65" s="15"/>
      <c r="B65" s="15" t="s">
        <v>9</v>
      </c>
      <c r="C65" s="39">
        <v>45</v>
      </c>
      <c r="D65" s="60">
        <f t="shared" si="9"/>
        <v>5000</v>
      </c>
      <c r="E65" s="16">
        <f t="shared" si="6"/>
        <v>5750</v>
      </c>
      <c r="F65" s="16">
        <f t="shared" si="5"/>
        <v>6105.2999999999993</v>
      </c>
      <c r="G65" s="17">
        <f t="shared" si="1"/>
        <v>0.81896057523790811</v>
      </c>
      <c r="H65" s="18">
        <f>($T$52+C65*$T$53)*$T$66</f>
        <v>3582.3487706465216</v>
      </c>
      <c r="I65" s="19"/>
      <c r="J65" s="18">
        <f t="shared" si="2"/>
        <v>-1417.6512293534784</v>
      </c>
      <c r="K65" s="18">
        <f t="shared" si="3"/>
        <v>1417.6512293534784</v>
      </c>
      <c r="L65" s="18">
        <f>SUM($J$21:J65)</f>
        <v>-82641.709957551997</v>
      </c>
      <c r="M65" s="18">
        <f>SUMSQ($J$21:J65)/C65</f>
        <v>8094578.0565841002</v>
      </c>
      <c r="N65" s="18">
        <f>SUM($K$21:K65)/C65</f>
        <v>2077.5765083929255</v>
      </c>
      <c r="O65" s="18">
        <f t="shared" si="4"/>
        <v>28.353024587069569</v>
      </c>
      <c r="P65" s="18">
        <f>AVERAGE($O$21:O65)</f>
        <v>35.115388589568433</v>
      </c>
      <c r="Q65" s="20">
        <f>SUM($J$21:J65)/N65</f>
        <v>-39.777938200445917</v>
      </c>
      <c r="S65" s="49" t="s">
        <v>8</v>
      </c>
      <c r="T65" s="64">
        <v>0.61634157027412639</v>
      </c>
    </row>
    <row r="66" spans="1:20" x14ac:dyDescent="0.2">
      <c r="A66" s="15"/>
      <c r="B66" s="15" t="s">
        <v>10</v>
      </c>
      <c r="C66" s="39">
        <v>46</v>
      </c>
      <c r="D66" s="60">
        <f t="shared" si="9"/>
        <v>3500</v>
      </c>
      <c r="E66" s="16">
        <f t="shared" si="6"/>
        <v>5770.833333333333</v>
      </c>
      <c r="F66" s="16">
        <f t="shared" si="5"/>
        <v>6144.2199999999993</v>
      </c>
      <c r="G66" s="17">
        <f t="shared" si="1"/>
        <v>0.56964106102971579</v>
      </c>
      <c r="H66" s="18">
        <f>($T$52+C66*$T$53)*$T$67</f>
        <v>3501.6603195525413</v>
      </c>
      <c r="I66" s="19"/>
      <c r="J66" s="18">
        <f t="shared" si="2"/>
        <v>1.6603195525412957</v>
      </c>
      <c r="K66" s="18">
        <f t="shared" si="3"/>
        <v>1.6603195525412957</v>
      </c>
      <c r="L66" s="18">
        <f>SUM($J$21:J66)</f>
        <v>-82640.049637999458</v>
      </c>
      <c r="M66" s="18">
        <f>SUMSQ($J$21:J66)/C66</f>
        <v>7918609.0283249021</v>
      </c>
      <c r="N66" s="18">
        <f>SUM($K$21:K66)/C66</f>
        <v>2032.4478955920476</v>
      </c>
      <c r="O66" s="18">
        <f t="shared" si="4"/>
        <v>4.7437701501179874E-2</v>
      </c>
      <c r="P66" s="18">
        <f>AVERAGE($O$21:O66)</f>
        <v>34.353041831132188</v>
      </c>
      <c r="Q66" s="20">
        <f>SUM($J$21:J66)/N66</f>
        <v>-40.660353368580004</v>
      </c>
      <c r="S66" s="49" t="s">
        <v>9</v>
      </c>
      <c r="T66" s="64">
        <v>0.58676048198229769</v>
      </c>
    </row>
    <row r="67" spans="1:20" x14ac:dyDescent="0.2">
      <c r="A67" s="15"/>
      <c r="B67" s="15" t="s">
        <v>11</v>
      </c>
      <c r="C67" s="39">
        <v>47</v>
      </c>
      <c r="D67" s="60">
        <f t="shared" si="9"/>
        <v>6500</v>
      </c>
      <c r="E67" s="16">
        <f t="shared" si="6"/>
        <v>5895.833333333333</v>
      </c>
      <c r="F67" s="16">
        <f t="shared" si="5"/>
        <v>6183.1399999999994</v>
      </c>
      <c r="G67" s="17">
        <f t="shared" si="1"/>
        <v>1.0512458071465309</v>
      </c>
      <c r="H67" s="18">
        <f>($T$52+C67*$T$53)*$T$68</f>
        <v>3375.0018288532851</v>
      </c>
      <c r="I67" s="19"/>
      <c r="J67" s="18">
        <f t="shared" si="2"/>
        <v>-3124.9981711467149</v>
      </c>
      <c r="K67" s="18">
        <f t="shared" si="3"/>
        <v>3124.9981711467149</v>
      </c>
      <c r="L67" s="18">
        <f>SUM($J$21:J67)</f>
        <v>-85765.04780914617</v>
      </c>
      <c r="M67" s="18">
        <f>SUMSQ($J$21:J67)/C67</f>
        <v>7957906.9972896986</v>
      </c>
      <c r="N67" s="18">
        <f>SUM($K$21:K67)/C67</f>
        <v>2055.6936461357636</v>
      </c>
      <c r="O67" s="18">
        <f t="shared" si="4"/>
        <v>48.076894940718688</v>
      </c>
      <c r="P67" s="18">
        <f>AVERAGE($O$21:O67)</f>
        <v>34.645038705804239</v>
      </c>
      <c r="Q67" s="20">
        <f>SUM($J$21:J67)/N67</f>
        <v>-41.720734006433766</v>
      </c>
      <c r="S67" s="49" t="s">
        <v>10</v>
      </c>
      <c r="T67" s="64">
        <v>0.56991128565587523</v>
      </c>
    </row>
    <row r="68" spans="1:20" x14ac:dyDescent="0.2">
      <c r="A68" s="15"/>
      <c r="B68" s="15" t="s">
        <v>12</v>
      </c>
      <c r="C68" s="39">
        <v>48</v>
      </c>
      <c r="D68" s="60">
        <f t="shared" si="9"/>
        <v>11000</v>
      </c>
      <c r="E68" s="16">
        <f t="shared" si="6"/>
        <v>6000</v>
      </c>
      <c r="F68" s="16">
        <f t="shared" si="5"/>
        <v>6222.0599999999995</v>
      </c>
      <c r="G68" s="17">
        <f t="shared" si="1"/>
        <v>1.7679032346200456</v>
      </c>
      <c r="H68" s="18">
        <f>($T$52+C68*$T$53)*$T$69</f>
        <v>3381.8590564103974</v>
      </c>
      <c r="I68" s="19"/>
      <c r="J68" s="18">
        <f t="shared" si="2"/>
        <v>-7618.1409435896021</v>
      </c>
      <c r="K68" s="18">
        <f t="shared" si="3"/>
        <v>7618.1409435896021</v>
      </c>
      <c r="L68" s="18">
        <f>SUM($J$21:J68)</f>
        <v>-93383.188752735776</v>
      </c>
      <c r="M68" s="18">
        <f>SUMSQ($J$21:J68)/C68</f>
        <v>9001202.0897710845</v>
      </c>
      <c r="N68" s="18">
        <f>SUM($K$21:K68)/C68</f>
        <v>2171.5779648327189</v>
      </c>
      <c r="O68" s="18">
        <f t="shared" si="4"/>
        <v>69.255826759905474</v>
      </c>
      <c r="P68" s="18">
        <f>AVERAGE($O$21:O68)</f>
        <v>35.366096790264677</v>
      </c>
      <c r="Q68" s="20">
        <f>SUM($J$21:J68)/N68</f>
        <v>-43.002457321365057</v>
      </c>
      <c r="S68" s="49" t="s">
        <v>11</v>
      </c>
      <c r="T68" s="64">
        <v>0.545839464875983</v>
      </c>
    </row>
    <row r="69" spans="1:20" x14ac:dyDescent="0.2">
      <c r="A69" s="15" t="s">
        <v>62</v>
      </c>
      <c r="B69" s="15" t="s">
        <v>1</v>
      </c>
      <c r="C69" s="39">
        <v>49</v>
      </c>
      <c r="D69" s="61">
        <f>G4</f>
        <v>7000</v>
      </c>
      <c r="E69" s="16">
        <f t="shared" si="6"/>
        <v>6062.5</v>
      </c>
      <c r="F69" s="16">
        <f t="shared" si="5"/>
        <v>6260.98</v>
      </c>
      <c r="G69" s="17">
        <f t="shared" si="1"/>
        <v>1.1180358346456944</v>
      </c>
      <c r="H69" s="18">
        <f>($T$52+C69*$T$53)*$T$58</f>
        <v>3819.1555578333896</v>
      </c>
      <c r="I69" s="19"/>
      <c r="J69" s="18">
        <f t="shared" si="2"/>
        <v>-3180.8444421666104</v>
      </c>
      <c r="K69" s="18">
        <f t="shared" si="3"/>
        <v>3180.8444421666104</v>
      </c>
      <c r="L69" s="18">
        <f>SUM($J$21:J69)</f>
        <v>-96564.033194902382</v>
      </c>
      <c r="M69" s="18">
        <f>SUMSQ($J$21:J69)/C69</f>
        <v>9023989.2178423312</v>
      </c>
      <c r="N69" s="18">
        <f>SUM($K$21:K69)/C69</f>
        <v>2192.1752398803492</v>
      </c>
      <c r="O69" s="18">
        <f t="shared" si="4"/>
        <v>45.440634888094436</v>
      </c>
      <c r="P69" s="18">
        <f>AVERAGE($O$21:O69)</f>
        <v>35.571699608587728</v>
      </c>
      <c r="Q69" s="20">
        <f>SUM($J$21:J69)/N69</f>
        <v>-44.049413312492725</v>
      </c>
      <c r="S69" s="49" t="s">
        <v>12</v>
      </c>
      <c r="T69" s="64">
        <v>0.54352723316882157</v>
      </c>
    </row>
    <row r="70" spans="1:20" x14ac:dyDescent="0.2">
      <c r="A70" s="15"/>
      <c r="B70" s="15" t="s">
        <v>2</v>
      </c>
      <c r="C70" s="39">
        <v>50</v>
      </c>
      <c r="D70" s="61">
        <f t="shared" ref="D70:D80" si="10">G5</f>
        <v>4000</v>
      </c>
      <c r="E70" s="16">
        <f t="shared" si="6"/>
        <v>6104.166666666667</v>
      </c>
      <c r="F70" s="16">
        <f t="shared" si="5"/>
        <v>6299.9</v>
      </c>
      <c r="G70" s="17">
        <f t="shared" si="1"/>
        <v>0.63493071318592365</v>
      </c>
      <c r="H70" s="18">
        <f>($T$52+C70*$T$53)*$T$59</f>
        <v>3815.0727106387494</v>
      </c>
      <c r="I70" s="19"/>
      <c r="J70" s="18">
        <f t="shared" si="2"/>
        <v>-184.92728936125059</v>
      </c>
      <c r="K70" s="18">
        <f t="shared" si="3"/>
        <v>184.92728936125059</v>
      </c>
      <c r="L70" s="18">
        <f>SUM($J$21:J70)</f>
        <v>-96748.960484263633</v>
      </c>
      <c r="M70" s="18">
        <f>SUMSQ($J$21:J70)/C70</f>
        <v>8844193.3955324944</v>
      </c>
      <c r="N70" s="18">
        <f>SUM($K$21:K70)/C70</f>
        <v>2152.0302808699671</v>
      </c>
      <c r="O70" s="18">
        <f t="shared" si="4"/>
        <v>4.6231822340312645</v>
      </c>
      <c r="P70" s="18">
        <f>AVERAGE($O$21:O70)</f>
        <v>34.9527292610966</v>
      </c>
      <c r="Q70" s="20">
        <f>SUM($J$21:J70)/N70</f>
        <v>-44.957062799856359</v>
      </c>
      <c r="S70" s="36" t="s">
        <v>87</v>
      </c>
      <c r="T70" s="63">
        <v>0.59744857186819189</v>
      </c>
    </row>
    <row r="71" spans="1:20" x14ac:dyDescent="0.2">
      <c r="A71" s="15"/>
      <c r="B71" s="15" t="s">
        <v>3</v>
      </c>
      <c r="C71" s="39">
        <v>51</v>
      </c>
      <c r="D71" s="61">
        <f t="shared" si="10"/>
        <v>3000</v>
      </c>
      <c r="E71" s="16">
        <f t="shared" si="6"/>
        <v>6104.166666666667</v>
      </c>
      <c r="F71" s="16">
        <f t="shared" si="5"/>
        <v>6338.82</v>
      </c>
      <c r="G71" s="17">
        <f t="shared" si="1"/>
        <v>0.47327420560924588</v>
      </c>
      <c r="H71" s="18">
        <f>($T$52+C71*$T$53)*$T$60</f>
        <v>3872.5353032601624</v>
      </c>
      <c r="I71" s="19"/>
      <c r="J71" s="18">
        <f t="shared" si="2"/>
        <v>872.53530326016244</v>
      </c>
      <c r="K71" s="18">
        <f t="shared" si="3"/>
        <v>872.53530326016244</v>
      </c>
      <c r="L71" s="18">
        <f>SUM($J$21:J71)</f>
        <v>-95876.425181003477</v>
      </c>
      <c r="M71" s="18">
        <f>SUMSQ($J$21:J71)/C71</f>
        <v>8685705.6398443151</v>
      </c>
      <c r="N71" s="18">
        <f>SUM($K$21:K71)/C71</f>
        <v>2126.9421440540887</v>
      </c>
      <c r="O71" s="18">
        <f t="shared" si="4"/>
        <v>29.084510108672077</v>
      </c>
      <c r="P71" s="18">
        <f>AVERAGE($O$21:O71)</f>
        <v>34.837666140460826</v>
      </c>
      <c r="Q71" s="20">
        <f>SUM($J$21:J71)/N71</f>
        <v>-45.07711949242627</v>
      </c>
    </row>
    <row r="72" spans="1:20" x14ac:dyDescent="0.2">
      <c r="A72" s="15"/>
      <c r="B72" s="15" t="s">
        <v>4</v>
      </c>
      <c r="C72" s="39">
        <v>52</v>
      </c>
      <c r="D72" s="61">
        <f t="shared" si="10"/>
        <v>3500</v>
      </c>
      <c r="E72" s="16">
        <f t="shared" si="6"/>
        <v>6187.5</v>
      </c>
      <c r="F72" s="16">
        <f t="shared" si="5"/>
        <v>6377.74</v>
      </c>
      <c r="G72" s="17">
        <f t="shared" si="1"/>
        <v>0.54878373844026251</v>
      </c>
      <c r="H72" s="18">
        <f>($T$52+C72*$T$53)*$T$61</f>
        <v>3942.7817177292891</v>
      </c>
      <c r="I72" s="19"/>
      <c r="J72" s="18">
        <f t="shared" si="2"/>
        <v>442.78171772928908</v>
      </c>
      <c r="K72" s="18">
        <f t="shared" si="3"/>
        <v>442.78171772928908</v>
      </c>
      <c r="L72" s="18">
        <f>SUM($J$21:J72)</f>
        <v>-95433.643463274188</v>
      </c>
      <c r="M72" s="18">
        <f>SUMSQ($J$21:J72)/C72</f>
        <v>8522443.1400310658</v>
      </c>
      <c r="N72" s="18">
        <f>SUM($K$21:K72)/C72</f>
        <v>2094.5544435478423</v>
      </c>
      <c r="O72" s="18">
        <f t="shared" si="4"/>
        <v>12.650906220836831</v>
      </c>
      <c r="P72" s="18">
        <f>AVERAGE($O$21:O72)</f>
        <v>34.410997680468057</v>
      </c>
      <c r="Q72" s="20">
        <f>SUM($J$21:J72)/N72</f>
        <v>-45.562741879186852</v>
      </c>
    </row>
    <row r="73" spans="1:20" x14ac:dyDescent="0.2">
      <c r="A73" s="15"/>
      <c r="B73" s="15" t="s">
        <v>5</v>
      </c>
      <c r="C73" s="39">
        <v>53</v>
      </c>
      <c r="D73" s="61">
        <f t="shared" si="10"/>
        <v>6000</v>
      </c>
      <c r="E73" s="16">
        <f t="shared" si="6"/>
        <v>6354.166666666667</v>
      </c>
      <c r="F73" s="16">
        <f t="shared" si="5"/>
        <v>6416.66</v>
      </c>
      <c r="G73" s="17">
        <f t="shared" si="1"/>
        <v>0.93506590656198085</v>
      </c>
      <c r="H73" s="18">
        <f>($T$52+C73*$T$53)*$T$62</f>
        <v>4086.6241467772138</v>
      </c>
      <c r="I73" s="19"/>
      <c r="J73" s="18">
        <f t="shared" si="2"/>
        <v>-1913.3758532227862</v>
      </c>
      <c r="K73" s="18">
        <f t="shared" si="3"/>
        <v>1913.3758532227862</v>
      </c>
      <c r="L73" s="18">
        <f>SUM($J$21:J73)</f>
        <v>-97347.019316496968</v>
      </c>
      <c r="M73" s="18">
        <f>SUMSQ($J$21:J73)/C73</f>
        <v>8430717.9327794611</v>
      </c>
      <c r="N73" s="18">
        <f>SUM($K$21:K73)/C73</f>
        <v>2091.1359795794451</v>
      </c>
      <c r="O73" s="18">
        <f t="shared" si="4"/>
        <v>31.889597553713102</v>
      </c>
      <c r="P73" s="18">
        <f>AVERAGE($O$21:O73)</f>
        <v>34.363424093170792</v>
      </c>
      <c r="Q73" s="20">
        <f>SUM($J$21:J73)/N73</f>
        <v>-46.552218634808597</v>
      </c>
    </row>
    <row r="74" spans="1:20" x14ac:dyDescent="0.2">
      <c r="A74" s="15"/>
      <c r="B74" s="15" t="s">
        <v>6</v>
      </c>
      <c r="C74" s="39">
        <v>54</v>
      </c>
      <c r="D74" s="61">
        <f t="shared" si="10"/>
        <v>6000</v>
      </c>
      <c r="E74" s="16">
        <f t="shared" si="6"/>
        <v>6291.666666666667</v>
      </c>
      <c r="F74" s="16">
        <f t="shared" si="5"/>
        <v>6455.58</v>
      </c>
      <c r="G74" s="17">
        <f t="shared" si="1"/>
        <v>0.92942849441878195</v>
      </c>
      <c r="H74" s="18">
        <f>($T$52+C74*$T$53)*$T$63</f>
        <v>3927.3520723242036</v>
      </c>
      <c r="I74" s="19"/>
      <c r="J74" s="18">
        <f t="shared" si="2"/>
        <v>-2072.6479276757964</v>
      </c>
      <c r="K74" s="18">
        <f t="shared" si="3"/>
        <v>2072.6479276757964</v>
      </c>
      <c r="L74" s="18">
        <f>SUM($J$21:J74)</f>
        <v>-99419.667244172771</v>
      </c>
      <c r="M74" s="18">
        <f>SUMSQ($J$21:J74)/C74</f>
        <v>8354146.6642483361</v>
      </c>
      <c r="N74" s="18">
        <f>SUM($K$21:K74)/C74</f>
        <v>2090.7936082478959</v>
      </c>
      <c r="O74" s="18">
        <f t="shared" si="4"/>
        <v>34.544132127929942</v>
      </c>
      <c r="P74" s="18">
        <f>AVERAGE($O$21:O74)</f>
        <v>34.366770538258926</v>
      </c>
      <c r="Q74" s="20">
        <f>SUM($J$21:J74)/N74</f>
        <v>-47.551162798650104</v>
      </c>
    </row>
    <row r="75" spans="1:20" x14ac:dyDescent="0.2">
      <c r="A75" s="15"/>
      <c r="B75" s="15" t="s">
        <v>7</v>
      </c>
      <c r="C75" s="39">
        <v>55</v>
      </c>
      <c r="D75" s="61">
        <f t="shared" si="10"/>
        <v>8000</v>
      </c>
      <c r="E75" s="16"/>
      <c r="F75" s="16">
        <f t="shared" si="5"/>
        <v>6494.5</v>
      </c>
      <c r="G75" s="17">
        <f t="shared" si="1"/>
        <v>1.2318115328354762</v>
      </c>
      <c r="H75" s="18">
        <f>($T$52+C75*$T$53)*$T$64</f>
        <v>4007.4746108769591</v>
      </c>
      <c r="I75" s="19"/>
      <c r="J75" s="18">
        <f t="shared" si="2"/>
        <v>-3992.5253891230409</v>
      </c>
      <c r="K75" s="18">
        <f t="shared" si="3"/>
        <v>3992.5253891230409</v>
      </c>
      <c r="L75" s="18">
        <f>SUM($J$21:J75)</f>
        <v>-103412.19263329581</v>
      </c>
      <c r="M75" s="18">
        <f>SUMSQ($J$21:J75)/C75</f>
        <v>8492075.9791309498</v>
      </c>
      <c r="N75" s="18">
        <f>SUM($K$21:K75)/C75</f>
        <v>2125.3705497183532</v>
      </c>
      <c r="O75" s="18">
        <f t="shared" si="4"/>
        <v>49.906567364038011</v>
      </c>
      <c r="P75" s="18">
        <f>AVERAGE($O$21:O75)</f>
        <v>34.649312298727637</v>
      </c>
      <c r="Q75" s="20">
        <f>SUM($J$21:J75)/N75</f>
        <v>-48.656076770706939</v>
      </c>
    </row>
    <row r="76" spans="1:20" x14ac:dyDescent="0.2">
      <c r="A76" s="15"/>
      <c r="B76" s="15" t="s">
        <v>8</v>
      </c>
      <c r="C76" s="39">
        <v>56</v>
      </c>
      <c r="D76" s="61">
        <f t="shared" si="10"/>
        <v>10000</v>
      </c>
      <c r="E76" s="16"/>
      <c r="F76" s="16">
        <f t="shared" si="5"/>
        <v>6533.42</v>
      </c>
      <c r="G76" s="17">
        <f t="shared" si="1"/>
        <v>1.5305919411273115</v>
      </c>
      <c r="H76" s="18">
        <f>($T$52+C76*$T$53)*$T$65</f>
        <v>4026.8183420603827</v>
      </c>
      <c r="I76" s="19"/>
      <c r="J76" s="18">
        <f t="shared" si="2"/>
        <v>-5973.1816579396173</v>
      </c>
      <c r="K76" s="18">
        <f t="shared" si="3"/>
        <v>5973.1816579396173</v>
      </c>
      <c r="L76" s="18">
        <f>SUM($J$21:J76)</f>
        <v>-109385.37429123542</v>
      </c>
      <c r="M76" s="18">
        <f>SUMSQ($J$21:J76)/C76</f>
        <v>8977554.9637669381</v>
      </c>
      <c r="N76" s="18">
        <f>SUM($K$21:K76)/C76</f>
        <v>2194.0814623651613</v>
      </c>
      <c r="O76" s="18">
        <f t="shared" si="4"/>
        <v>59.731816579396167</v>
      </c>
      <c r="P76" s="18">
        <f>AVERAGE($O$21:O76)</f>
        <v>35.09721416088243</v>
      </c>
      <c r="Q76" s="20">
        <f>SUM($J$21:J76)/N76</f>
        <v>-49.854746128396208</v>
      </c>
    </row>
    <row r="77" spans="1:20" x14ac:dyDescent="0.2">
      <c r="A77" s="15"/>
      <c r="B77" s="15" t="s">
        <v>9</v>
      </c>
      <c r="C77" s="39">
        <v>57</v>
      </c>
      <c r="D77" s="61">
        <f t="shared" si="10"/>
        <v>4500</v>
      </c>
      <c r="E77" s="16"/>
      <c r="F77" s="16">
        <f t="shared" si="5"/>
        <v>6572.34</v>
      </c>
      <c r="G77" s="17">
        <f t="shared" si="1"/>
        <v>0.68468764549612471</v>
      </c>
      <c r="H77" s="18">
        <f>($T$52+C77*$T$53)*$T$66</f>
        <v>3856.3893861515344</v>
      </c>
      <c r="I77" s="19"/>
      <c r="J77" s="18">
        <f t="shared" si="2"/>
        <v>-643.61061384846562</v>
      </c>
      <c r="K77" s="18">
        <f t="shared" si="3"/>
        <v>643.61061384846562</v>
      </c>
      <c r="L77" s="18">
        <f>SUM($J$21:J77)</f>
        <v>-110028.98490508388</v>
      </c>
      <c r="M77" s="18">
        <f>SUMSQ($J$21:J77)/C77</f>
        <v>8827321.2735650335</v>
      </c>
      <c r="N77" s="18">
        <f>SUM($K$21:K77)/C77</f>
        <v>2166.880219408728</v>
      </c>
      <c r="O77" s="18">
        <f t="shared" si="4"/>
        <v>14.302458085521458</v>
      </c>
      <c r="P77" s="18">
        <f>AVERAGE($O$21:O77)</f>
        <v>34.732393878858552</v>
      </c>
      <c r="Q77" s="20">
        <f>SUM($J$21:J77)/N77</f>
        <v>-50.777603634734945</v>
      </c>
    </row>
    <row r="78" spans="1:20" x14ac:dyDescent="0.2">
      <c r="A78" s="15"/>
      <c r="B78" s="15" t="s">
        <v>10</v>
      </c>
      <c r="C78" s="39">
        <v>58</v>
      </c>
      <c r="D78" s="61">
        <f t="shared" si="10"/>
        <v>6000</v>
      </c>
      <c r="E78" s="16"/>
      <c r="F78" s="16">
        <f t="shared" si="5"/>
        <v>6611.26</v>
      </c>
      <c r="G78" s="17">
        <f t="shared" si="1"/>
        <v>0.90754258643586849</v>
      </c>
      <c r="H78" s="18">
        <f>($T$52+C78*$T$53)*$T$67</f>
        <v>3767.8316864052617</v>
      </c>
      <c r="I78" s="19"/>
      <c r="J78" s="18">
        <f t="shared" si="2"/>
        <v>-2232.1683135947383</v>
      </c>
      <c r="K78" s="18">
        <f t="shared" si="3"/>
        <v>2232.1683135947383</v>
      </c>
      <c r="L78" s="18">
        <f>SUM($J$21:J78)</f>
        <v>-112261.15321867862</v>
      </c>
      <c r="M78" s="18">
        <f>SUMSQ($J$21:J78)/C78</f>
        <v>8761032.5512659196</v>
      </c>
      <c r="N78" s="18">
        <f>SUM($K$21:K78)/C78</f>
        <v>2168.0058762050385</v>
      </c>
      <c r="O78" s="18">
        <f t="shared" si="4"/>
        <v>37.202805226578974</v>
      </c>
      <c r="P78" s="18">
        <f>AVERAGE($O$21:O78)</f>
        <v>34.774987177957179</v>
      </c>
      <c r="Q78" s="20">
        <f>SUM($J$21:J78)/N78</f>
        <v>-51.780834383707898</v>
      </c>
    </row>
    <row r="79" spans="1:20" x14ac:dyDescent="0.2">
      <c r="A79" s="15"/>
      <c r="B79" s="15" t="s">
        <v>11</v>
      </c>
      <c r="C79" s="39">
        <v>59</v>
      </c>
      <c r="D79" s="61">
        <f t="shared" si="10"/>
        <v>8000</v>
      </c>
      <c r="E79" s="16"/>
      <c r="F79" s="16">
        <f t="shared" si="5"/>
        <v>6650.18</v>
      </c>
      <c r="G79" s="17">
        <f t="shared" si="1"/>
        <v>1.2029749570688311</v>
      </c>
      <c r="H79" s="18">
        <f>($T$52+C79*$T$53)*$T$68</f>
        <v>3629.9306925289648</v>
      </c>
      <c r="I79" s="19"/>
      <c r="J79" s="18">
        <f t="shared" si="2"/>
        <v>-4370.0693074710352</v>
      </c>
      <c r="K79" s="18">
        <f t="shared" si="3"/>
        <v>4370.0693074710352</v>
      </c>
      <c r="L79" s="18">
        <f>SUM($J$21:J79)</f>
        <v>-116631.22252614965</v>
      </c>
      <c r="M79" s="18">
        <f>SUMSQ($J$21:J79)/C79</f>
        <v>8936227.0122970119</v>
      </c>
      <c r="N79" s="18">
        <f>SUM($K$21:K79)/C79</f>
        <v>2205.3289852095468</v>
      </c>
      <c r="O79" s="18">
        <f t="shared" si="4"/>
        <v>54.625866343387941</v>
      </c>
      <c r="P79" s="18">
        <f>AVERAGE($O$21:O79)</f>
        <v>35.111442757032279</v>
      </c>
      <c r="Q79" s="20">
        <f>SUM($J$21:J79)/N79</f>
        <v>-52.886087884555486</v>
      </c>
    </row>
    <row r="80" spans="1:20" ht="13.5" thickBot="1" x14ac:dyDescent="0.25">
      <c r="A80" s="15"/>
      <c r="B80" s="22" t="s">
        <v>12</v>
      </c>
      <c r="C80" s="40">
        <v>60</v>
      </c>
      <c r="D80" s="61">
        <f t="shared" si="10"/>
        <v>8000</v>
      </c>
      <c r="E80" s="23"/>
      <c r="F80" s="16">
        <f t="shared" si="5"/>
        <v>6689.1</v>
      </c>
      <c r="G80" s="24">
        <f t="shared" si="1"/>
        <v>1.1959755423001599</v>
      </c>
      <c r="H80" s="18">
        <f>($T$52+C80*$T$53)*$T$69</f>
        <v>3635.7080153895645</v>
      </c>
      <c r="I80" s="19"/>
      <c r="J80" s="25">
        <f t="shared" si="2"/>
        <v>-4364.291984610436</v>
      </c>
      <c r="K80" s="25">
        <f t="shared" si="3"/>
        <v>4364.291984610436</v>
      </c>
      <c r="L80" s="25">
        <f>SUM($J$21:J80)</f>
        <v>-120995.51451076008</v>
      </c>
      <c r="M80" s="25">
        <f>SUMSQ($J$21:J80)/C80</f>
        <v>9104740.6375409756</v>
      </c>
      <c r="N80" s="18">
        <f>SUM($K$21:K80)/C80</f>
        <v>2241.3117018662283</v>
      </c>
      <c r="O80" s="25">
        <f t="shared" si="4"/>
        <v>54.553649807630443</v>
      </c>
      <c r="P80" s="25">
        <f>AVERAGE($O$21:O80)</f>
        <v>35.435479541208913</v>
      </c>
      <c r="Q80" s="26">
        <f>SUM($J$21:J80)/N80</f>
        <v>-53.984242535303395</v>
      </c>
    </row>
    <row r="81" spans="1:18" ht="13.5" thickBot="1" x14ac:dyDescent="0.25">
      <c r="A81" s="47" t="s">
        <v>63</v>
      </c>
      <c r="B81" s="15" t="s">
        <v>1</v>
      </c>
      <c r="C81" s="41">
        <v>61</v>
      </c>
      <c r="F81" s="28" t="s">
        <v>47</v>
      </c>
      <c r="G81" s="29"/>
      <c r="H81" s="57">
        <f>($T$52+C81*$T$53)*$T$58</f>
        <v>4104.0468067641496</v>
      </c>
      <c r="I81" s="30"/>
      <c r="J81" s="30"/>
      <c r="K81" s="30"/>
      <c r="L81" s="30"/>
      <c r="M81" s="34" t="s">
        <v>54</v>
      </c>
      <c r="N81" s="35">
        <f>N80*1.25</f>
        <v>2801.6396273327855</v>
      </c>
      <c r="O81" s="30"/>
      <c r="P81" s="30"/>
      <c r="Q81" s="31"/>
      <c r="R81" s="32"/>
    </row>
    <row r="82" spans="1:18" x14ac:dyDescent="0.2">
      <c r="A82" s="27"/>
      <c r="B82" s="15" t="s">
        <v>2</v>
      </c>
      <c r="C82" s="42">
        <v>62</v>
      </c>
      <c r="G82" s="29"/>
      <c r="H82" s="57">
        <f>($T$52+C82*$T$53)*$T$59</f>
        <v>4097.90125692944</v>
      </c>
      <c r="I82" s="30"/>
      <c r="J82" s="30"/>
      <c r="K82" s="30"/>
      <c r="L82" s="30"/>
      <c r="M82" s="30"/>
      <c r="N82" s="30"/>
      <c r="O82" s="30"/>
      <c r="P82" s="30"/>
      <c r="Q82" s="31"/>
      <c r="R82" s="32"/>
    </row>
    <row r="83" spans="1:18" x14ac:dyDescent="0.2">
      <c r="A83" s="27"/>
      <c r="B83" s="15" t="s">
        <v>3</v>
      </c>
      <c r="C83" s="42">
        <v>63</v>
      </c>
      <c r="G83" s="29"/>
      <c r="H83" s="57">
        <f>($T$52+C83*$T$53)*$T$60</f>
        <v>4157.8611033356701</v>
      </c>
      <c r="I83" s="30"/>
      <c r="J83" s="30"/>
      <c r="K83" s="30"/>
      <c r="L83" s="30"/>
      <c r="M83" s="30"/>
      <c r="N83" s="30"/>
      <c r="O83" s="30"/>
      <c r="P83" s="30"/>
      <c r="Q83" s="31"/>
      <c r="R83" s="32"/>
    </row>
    <row r="84" spans="1:18" x14ac:dyDescent="0.2">
      <c r="A84" s="27"/>
      <c r="B84" s="15" t="s">
        <v>4</v>
      </c>
      <c r="C84" s="42">
        <v>64</v>
      </c>
      <c r="G84" s="29"/>
      <c r="H84" s="57">
        <f>($T$52+C84*$T$53)*$T$61</f>
        <v>4231.5104481962398</v>
      </c>
      <c r="I84" s="30"/>
      <c r="J84" s="30"/>
      <c r="K84" s="30"/>
      <c r="L84" s="30"/>
      <c r="M84" s="30"/>
      <c r="N84" s="30"/>
      <c r="O84" s="30"/>
      <c r="P84" s="30"/>
      <c r="Q84" s="31"/>
      <c r="R84" s="32"/>
    </row>
    <row r="85" spans="1:18" x14ac:dyDescent="0.2">
      <c r="A85" s="27"/>
      <c r="B85" s="15" t="s">
        <v>5</v>
      </c>
      <c r="C85" s="42">
        <v>65</v>
      </c>
      <c r="G85" s="29"/>
      <c r="H85" s="57">
        <f>($T$52+C85*$T$53)*$T$62</f>
        <v>4384.0712518927767</v>
      </c>
      <c r="I85" s="30"/>
      <c r="J85" s="30"/>
      <c r="K85" s="30"/>
      <c r="L85" s="30"/>
      <c r="M85" s="30"/>
      <c r="N85" s="30"/>
      <c r="O85" s="30"/>
      <c r="P85" s="30"/>
      <c r="Q85" s="31"/>
      <c r="R85" s="32"/>
    </row>
    <row r="86" spans="1:18" x14ac:dyDescent="0.2">
      <c r="A86" s="27"/>
      <c r="B86" s="15" t="s">
        <v>6</v>
      </c>
      <c r="C86" s="42">
        <v>66</v>
      </c>
      <c r="G86" s="29"/>
      <c r="H86" s="57">
        <f>($T$52+C86*$T$53)*$T$63</f>
        <v>4211.4830894997776</v>
      </c>
      <c r="I86" s="30"/>
      <c r="J86" s="30"/>
      <c r="K86" s="30"/>
      <c r="L86" s="30"/>
      <c r="M86" s="30"/>
      <c r="N86" s="30"/>
      <c r="O86" s="30"/>
      <c r="P86" s="30"/>
      <c r="Q86" s="31"/>
      <c r="R86" s="32"/>
    </row>
    <row r="87" spans="1:18" x14ac:dyDescent="0.2">
      <c r="A87" s="27"/>
      <c r="B87" s="15" t="s">
        <v>7</v>
      </c>
      <c r="C87" s="42">
        <v>67</v>
      </c>
      <c r="G87" s="29"/>
      <c r="H87" s="57">
        <f>($T$52+C87*$T$53)*$T$64</f>
        <v>4295.6647628923529</v>
      </c>
      <c r="I87" s="30"/>
      <c r="J87" s="30"/>
      <c r="K87" s="30"/>
      <c r="L87" s="30"/>
      <c r="M87" s="30"/>
      <c r="N87" s="30"/>
      <c r="O87" s="30"/>
      <c r="P87" s="30"/>
      <c r="Q87" s="31"/>
      <c r="R87" s="32"/>
    </row>
    <row r="88" spans="1:18" x14ac:dyDescent="0.2">
      <c r="A88" s="27"/>
      <c r="B88" s="15" t="s">
        <v>8</v>
      </c>
      <c r="C88" s="42">
        <v>68</v>
      </c>
      <c r="G88" s="29"/>
      <c r="H88" s="57">
        <f>($T$52+C88*$T$53)*$T$65</f>
        <v>4314.6745090412105</v>
      </c>
      <c r="I88" s="30"/>
      <c r="J88" s="30"/>
      <c r="K88" s="30"/>
      <c r="L88" s="30"/>
      <c r="M88" s="30"/>
      <c r="N88" s="30"/>
      <c r="O88" s="30"/>
      <c r="P88" s="30"/>
      <c r="Q88" s="31"/>
      <c r="R88" s="32"/>
    </row>
    <row r="89" spans="1:18" x14ac:dyDescent="0.2">
      <c r="A89" s="27"/>
      <c r="B89" s="15" t="s">
        <v>9</v>
      </c>
      <c r="C89" s="42">
        <v>69</v>
      </c>
      <c r="G89" s="29"/>
      <c r="H89" s="57">
        <f>($T$52+C89*$T$53)*$T$66</f>
        <v>4130.4300016565467</v>
      </c>
      <c r="I89" s="30"/>
      <c r="J89" s="30"/>
      <c r="K89" s="30"/>
      <c r="L89" s="30"/>
      <c r="M89" s="30"/>
      <c r="N89" s="30"/>
      <c r="O89" s="30"/>
      <c r="P89" s="30"/>
      <c r="Q89" s="31"/>
      <c r="R89" s="32"/>
    </row>
    <row r="90" spans="1:18" x14ac:dyDescent="0.2">
      <c r="A90" s="27"/>
      <c r="B90" s="15" t="s">
        <v>10</v>
      </c>
      <c r="C90" s="42">
        <v>70</v>
      </c>
      <c r="G90" s="29"/>
      <c r="H90" s="57">
        <f>($T$52+C90*$T$53)*$T$67</f>
        <v>4034.0030532579813</v>
      </c>
      <c r="I90" s="30"/>
      <c r="J90" s="30"/>
      <c r="K90" s="30"/>
      <c r="L90" s="30"/>
      <c r="M90" s="30"/>
      <c r="N90" s="30"/>
      <c r="O90" s="30"/>
      <c r="P90" s="30"/>
      <c r="Q90" s="31"/>
      <c r="R90" s="32"/>
    </row>
    <row r="91" spans="1:18" x14ac:dyDescent="0.2">
      <c r="A91" s="27"/>
      <c r="B91" s="15" t="s">
        <v>11</v>
      </c>
      <c r="C91" s="42">
        <v>71</v>
      </c>
      <c r="H91" s="57">
        <f>($T$52+C91*$T$53)*$T$68</f>
        <v>3884.8595562046435</v>
      </c>
      <c r="I91" s="30"/>
      <c r="J91" s="30"/>
      <c r="K91" s="30"/>
      <c r="L91" s="30"/>
      <c r="M91" s="30"/>
      <c r="N91" s="30"/>
      <c r="O91" s="30"/>
      <c r="P91" s="30"/>
      <c r="Q91" s="31"/>
      <c r="R91" s="32"/>
    </row>
    <row r="92" spans="1:18" x14ac:dyDescent="0.2">
      <c r="A92" s="27"/>
      <c r="B92" s="22" t="s">
        <v>12</v>
      </c>
      <c r="C92" s="43">
        <v>72</v>
      </c>
      <c r="H92" s="57">
        <f>($T$52+C92*$T$53)*$T$69</f>
        <v>3889.5569743687306</v>
      </c>
      <c r="I92" s="30"/>
      <c r="J92" s="30"/>
      <c r="K92" s="30"/>
      <c r="L92" s="30"/>
      <c r="M92" s="30"/>
      <c r="N92" s="30"/>
      <c r="O92" s="30"/>
      <c r="P92" s="30"/>
      <c r="Q92" s="31"/>
      <c r="R92" s="32"/>
    </row>
    <row r="93" spans="1:18" x14ac:dyDescent="0.2">
      <c r="C93" s="44"/>
      <c r="I93" s="32"/>
      <c r="J93" s="32"/>
      <c r="K93" s="32"/>
      <c r="L93" s="32"/>
      <c r="M93" s="32"/>
      <c r="N93" s="32"/>
      <c r="O93" s="32"/>
      <c r="P93" s="32"/>
      <c r="Q93" s="33"/>
      <c r="R93" s="32"/>
    </row>
    <row r="94" spans="1:18" x14ac:dyDescent="0.2">
      <c r="C94" s="44"/>
      <c r="I94" s="32"/>
      <c r="J94" s="32"/>
      <c r="K94" s="32"/>
      <c r="L94" s="32"/>
      <c r="M94" s="32"/>
      <c r="N94" s="32"/>
      <c r="O94" s="32"/>
      <c r="P94" s="32"/>
      <c r="Q94" s="33"/>
      <c r="R94" s="32"/>
    </row>
    <row r="95" spans="1:18" x14ac:dyDescent="0.2">
      <c r="C95" s="44"/>
      <c r="I95" s="32"/>
      <c r="J95" s="32"/>
      <c r="K95" s="32"/>
      <c r="L95" s="32"/>
      <c r="M95" s="32"/>
      <c r="N95" s="32"/>
      <c r="O95" s="32"/>
      <c r="P95" s="32"/>
      <c r="Q95" s="33"/>
      <c r="R95" s="32"/>
    </row>
    <row r="96" spans="1:18" x14ac:dyDescent="0.2">
      <c r="C96" s="44"/>
      <c r="I96" s="32"/>
      <c r="J96" s="32"/>
      <c r="K96" s="32"/>
      <c r="L96" s="32"/>
      <c r="M96" s="32"/>
      <c r="N96" s="32"/>
      <c r="O96" s="32"/>
      <c r="P96" s="32"/>
      <c r="Q96" s="33"/>
      <c r="R96" s="32"/>
    </row>
    <row r="97" spans="9:18" x14ac:dyDescent="0.2">
      <c r="I97" s="32"/>
      <c r="J97" s="32"/>
      <c r="K97" s="32"/>
      <c r="L97" s="32"/>
      <c r="M97" s="32"/>
      <c r="N97" s="32"/>
      <c r="O97" s="32"/>
      <c r="P97" s="32"/>
      <c r="Q97" s="33"/>
      <c r="R97" s="32"/>
    </row>
    <row r="98" spans="9:18" x14ac:dyDescent="0.2">
      <c r="I98" s="32"/>
      <c r="J98" s="32"/>
      <c r="K98" s="32"/>
      <c r="L98" s="32"/>
      <c r="M98" s="32"/>
      <c r="N98" s="32"/>
      <c r="O98" s="32"/>
      <c r="P98" s="32"/>
      <c r="Q98" s="33"/>
      <c r="R98" s="32"/>
    </row>
    <row r="99" spans="9:18" x14ac:dyDescent="0.2">
      <c r="I99" s="32"/>
      <c r="J99" s="32"/>
      <c r="K99" s="32"/>
      <c r="L99" s="32"/>
      <c r="M99" s="32"/>
      <c r="N99" s="32"/>
      <c r="O99" s="32"/>
      <c r="P99" s="32"/>
      <c r="Q99" s="33"/>
      <c r="R99" s="32"/>
    </row>
    <row r="100" spans="9:18" x14ac:dyDescent="0.2">
      <c r="I100" s="32"/>
      <c r="J100" s="32"/>
      <c r="K100" s="32"/>
      <c r="L100" s="32"/>
      <c r="M100" s="32"/>
      <c r="N100" s="32"/>
      <c r="O100" s="32"/>
      <c r="P100" s="32"/>
      <c r="Q100" s="33"/>
      <c r="R100" s="32"/>
    </row>
    <row r="101" spans="9:18" x14ac:dyDescent="0.2">
      <c r="I101" s="32"/>
      <c r="J101" s="32"/>
      <c r="K101" s="32"/>
      <c r="L101" s="32"/>
      <c r="M101" s="32"/>
      <c r="N101" s="32"/>
      <c r="O101" s="32"/>
      <c r="P101" s="32"/>
      <c r="Q101" s="33"/>
      <c r="R101" s="32"/>
    </row>
    <row r="102" spans="9:18" x14ac:dyDescent="0.2">
      <c r="I102" s="32"/>
      <c r="J102" s="32"/>
      <c r="K102" s="32"/>
      <c r="L102" s="32"/>
      <c r="M102" s="32"/>
      <c r="N102" s="32"/>
      <c r="O102" s="32"/>
      <c r="P102" s="32"/>
      <c r="Q102" s="33"/>
      <c r="R102" s="32"/>
    </row>
    <row r="103" spans="9:18" x14ac:dyDescent="0.2">
      <c r="I103" s="32"/>
      <c r="J103" s="32"/>
      <c r="K103" s="32"/>
      <c r="L103" s="32"/>
      <c r="M103" s="32"/>
      <c r="N103" s="32"/>
      <c r="O103" s="32"/>
      <c r="P103" s="32"/>
      <c r="Q103" s="33"/>
      <c r="R103" s="32"/>
    </row>
    <row r="104" spans="9:18" x14ac:dyDescent="0.2">
      <c r="I104" s="32"/>
      <c r="J104" s="32"/>
      <c r="K104" s="32"/>
      <c r="L104" s="32"/>
      <c r="M104" s="32"/>
      <c r="N104" s="32"/>
      <c r="O104" s="32"/>
      <c r="P104" s="32"/>
      <c r="Q104" s="33"/>
      <c r="R104" s="32"/>
    </row>
    <row r="105" spans="9:18" x14ac:dyDescent="0.2">
      <c r="I105" s="32"/>
      <c r="J105" s="32"/>
      <c r="K105" s="32"/>
      <c r="L105" s="32"/>
      <c r="M105" s="32"/>
      <c r="N105" s="32"/>
      <c r="O105" s="32"/>
      <c r="P105" s="32"/>
      <c r="Q105" s="33"/>
      <c r="R105" s="32"/>
    </row>
    <row r="106" spans="9:18" x14ac:dyDescent="0.2">
      <c r="I106" s="32"/>
      <c r="J106" s="32"/>
      <c r="K106" s="32"/>
      <c r="L106" s="32"/>
      <c r="M106" s="32"/>
      <c r="N106" s="32"/>
      <c r="O106" s="32"/>
      <c r="P106" s="32"/>
      <c r="Q106" s="33"/>
      <c r="R106" s="32"/>
    </row>
    <row r="107" spans="9:18" x14ac:dyDescent="0.2">
      <c r="I107" s="32"/>
      <c r="J107" s="32"/>
      <c r="K107" s="32"/>
      <c r="L107" s="32"/>
      <c r="M107" s="32"/>
      <c r="N107" s="32"/>
      <c r="O107" s="32"/>
      <c r="P107" s="32"/>
      <c r="Q107" s="33"/>
      <c r="R107" s="32"/>
    </row>
    <row r="108" spans="9:18" x14ac:dyDescent="0.2">
      <c r="I108" s="32"/>
      <c r="J108" s="32"/>
      <c r="K108" s="32"/>
      <c r="L108" s="32"/>
      <c r="M108" s="32"/>
      <c r="N108" s="32"/>
      <c r="O108" s="32"/>
      <c r="P108" s="32"/>
      <c r="Q108" s="33"/>
      <c r="R108" s="32"/>
    </row>
    <row r="109" spans="9:18" x14ac:dyDescent="0.2">
      <c r="I109" s="32"/>
      <c r="J109" s="32"/>
      <c r="K109" s="32"/>
      <c r="L109" s="32"/>
      <c r="M109" s="32"/>
      <c r="N109" s="32"/>
      <c r="O109" s="32"/>
      <c r="P109" s="32"/>
      <c r="Q109" s="33"/>
      <c r="R109" s="32"/>
    </row>
    <row r="110" spans="9:18" x14ac:dyDescent="0.2">
      <c r="I110" s="32"/>
      <c r="J110" s="32"/>
      <c r="K110" s="32"/>
      <c r="L110" s="32"/>
      <c r="M110" s="32"/>
      <c r="N110" s="32"/>
      <c r="O110" s="32"/>
      <c r="P110" s="32"/>
      <c r="Q110" s="33"/>
      <c r="R110" s="32"/>
    </row>
    <row r="111" spans="9:18" x14ac:dyDescent="0.2">
      <c r="I111" s="32"/>
      <c r="J111" s="32"/>
      <c r="K111" s="32"/>
      <c r="L111" s="32"/>
      <c r="M111" s="32"/>
      <c r="N111" s="32"/>
      <c r="O111" s="32"/>
      <c r="P111" s="32"/>
      <c r="Q111" s="33"/>
      <c r="R111" s="32"/>
    </row>
    <row r="112" spans="9:18" x14ac:dyDescent="0.2">
      <c r="I112" s="32"/>
      <c r="J112" s="32"/>
      <c r="K112" s="32"/>
      <c r="L112" s="32"/>
      <c r="M112" s="32"/>
      <c r="N112" s="32"/>
      <c r="O112" s="32"/>
      <c r="P112" s="32"/>
      <c r="Q112" s="33"/>
      <c r="R112" s="32"/>
    </row>
    <row r="113" spans="9:18" x14ac:dyDescent="0.2">
      <c r="I113" s="32"/>
      <c r="J113" s="32"/>
      <c r="K113" s="32"/>
      <c r="L113" s="32"/>
      <c r="M113" s="32"/>
      <c r="N113" s="32"/>
      <c r="O113" s="32"/>
      <c r="P113" s="32"/>
      <c r="Q113" s="33"/>
      <c r="R113" s="32"/>
    </row>
    <row r="114" spans="9:18" x14ac:dyDescent="0.2">
      <c r="I114" s="32"/>
      <c r="J114" s="32"/>
      <c r="K114" s="32"/>
      <c r="L114" s="32"/>
      <c r="M114" s="32"/>
      <c r="N114" s="32"/>
      <c r="O114" s="32"/>
      <c r="P114" s="32"/>
      <c r="Q114" s="33"/>
      <c r="R114" s="32"/>
    </row>
    <row r="115" spans="9:18" x14ac:dyDescent="0.2">
      <c r="I115" s="32"/>
      <c r="J115" s="32"/>
      <c r="K115" s="32"/>
      <c r="L115" s="32"/>
      <c r="M115" s="32"/>
      <c r="N115" s="32"/>
      <c r="O115" s="32"/>
      <c r="P115" s="32"/>
      <c r="Q115" s="33"/>
      <c r="R115" s="32"/>
    </row>
  </sheetData>
  <mergeCells count="1">
    <mergeCell ref="K2:N2"/>
  </mergeCells>
  <pageMargins left="0.7" right="0.7" top="0.75" bottom="0.75" header="0.3" footer="0.3"/>
  <pageSetup paperSize="9"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49A3E-1273-41A1-A401-144A5FF35F9A}">
  <dimension ref="A1:AA115"/>
  <sheetViews>
    <sheetView workbookViewId="0">
      <selection sqref="A1:XFD1048576"/>
    </sheetView>
  </sheetViews>
  <sheetFormatPr baseColWidth="10" defaultColWidth="8.85546875" defaultRowHeight="12.75" x14ac:dyDescent="0.2"/>
  <cols>
    <col min="1" max="2" width="8.42578125" customWidth="1"/>
    <col min="3" max="4" width="8.42578125" style="2" customWidth="1"/>
    <col min="5" max="5" width="13.85546875" style="2" customWidth="1"/>
    <col min="6" max="6" width="9.5703125" style="2" bestFit="1" customWidth="1"/>
    <col min="7" max="7" width="9.42578125" style="2" customWidth="1"/>
    <col min="8" max="8" width="8.42578125" customWidth="1"/>
    <col min="9" max="9" width="3.140625" customWidth="1"/>
    <col min="10" max="12" width="8.5703125" customWidth="1"/>
    <col min="13" max="13" width="12.28515625" customWidth="1"/>
    <col min="14" max="16" width="8.5703125" customWidth="1"/>
    <col min="17" max="17" width="8.5703125" style="3" customWidth="1"/>
    <col min="19" max="19" width="17.85546875" bestFit="1" customWidth="1"/>
    <col min="20" max="20" width="30.85546875" bestFit="1" customWidth="1"/>
    <col min="21" max="21" width="32.7109375" bestFit="1" customWidth="1"/>
  </cols>
  <sheetData>
    <row r="1" spans="1:14" ht="13.5" thickBot="1" x14ac:dyDescent="0.25">
      <c r="A1" s="1" t="s">
        <v>56</v>
      </c>
      <c r="B1" s="36"/>
    </row>
    <row r="2" spans="1:14" ht="13.5" thickBot="1" x14ac:dyDescent="0.25">
      <c r="K2" s="339" t="s">
        <v>90</v>
      </c>
      <c r="L2" s="340"/>
      <c r="M2" s="340"/>
      <c r="N2" s="341"/>
    </row>
    <row r="3" spans="1:14" x14ac:dyDescent="0.2">
      <c r="B3" s="4" t="s">
        <v>0</v>
      </c>
      <c r="C3" s="5" t="s">
        <v>58</v>
      </c>
      <c r="D3" s="5" t="s">
        <v>59</v>
      </c>
      <c r="E3" s="5" t="s">
        <v>60</v>
      </c>
      <c r="F3" s="5" t="s">
        <v>61</v>
      </c>
      <c r="G3" s="6" t="s">
        <v>62</v>
      </c>
    </row>
    <row r="4" spans="1:14" x14ac:dyDescent="0.2">
      <c r="B4" s="7" t="s">
        <v>1</v>
      </c>
      <c r="C4" s="60">
        <v>2000</v>
      </c>
      <c r="D4" s="60">
        <v>4000</v>
      </c>
      <c r="E4" s="60">
        <v>8000</v>
      </c>
      <c r="F4" s="60">
        <v>7500</v>
      </c>
      <c r="G4" s="61">
        <v>7000</v>
      </c>
      <c r="K4" s="21" t="s">
        <v>23</v>
      </c>
      <c r="L4" s="21" t="s">
        <v>24</v>
      </c>
    </row>
    <row r="5" spans="1:14" x14ac:dyDescent="0.2">
      <c r="B5" s="7" t="s">
        <v>2</v>
      </c>
      <c r="C5" s="60">
        <v>2500</v>
      </c>
      <c r="D5" s="60">
        <v>2000</v>
      </c>
      <c r="E5" s="60">
        <v>5000</v>
      </c>
      <c r="F5" s="60">
        <v>4000</v>
      </c>
      <c r="G5" s="61">
        <v>4000</v>
      </c>
    </row>
    <row r="6" spans="1:14" x14ac:dyDescent="0.2">
      <c r="B6" s="7" t="s">
        <v>3</v>
      </c>
      <c r="C6" s="60">
        <v>3000</v>
      </c>
      <c r="D6" s="60">
        <v>3000</v>
      </c>
      <c r="E6" s="60">
        <v>4000</v>
      </c>
      <c r="F6" s="60">
        <v>4000</v>
      </c>
      <c r="G6" s="61">
        <v>3000</v>
      </c>
    </row>
    <row r="7" spans="1:14" x14ac:dyDescent="0.2">
      <c r="B7" s="7" t="s">
        <v>4</v>
      </c>
      <c r="C7" s="60">
        <v>2000</v>
      </c>
      <c r="D7" s="60">
        <v>2500</v>
      </c>
      <c r="E7" s="60">
        <v>3000</v>
      </c>
      <c r="F7" s="60">
        <v>2000</v>
      </c>
      <c r="G7" s="61">
        <v>3500</v>
      </c>
    </row>
    <row r="8" spans="1:14" x14ac:dyDescent="0.2">
      <c r="B8" s="7" t="s">
        <v>5</v>
      </c>
      <c r="C8" s="60">
        <v>3000</v>
      </c>
      <c r="D8" s="60">
        <v>3000</v>
      </c>
      <c r="E8" s="60">
        <v>4000</v>
      </c>
      <c r="F8" s="60">
        <v>4500</v>
      </c>
      <c r="G8" s="61">
        <v>6000</v>
      </c>
    </row>
    <row r="9" spans="1:14" x14ac:dyDescent="0.2">
      <c r="B9" s="7" t="s">
        <v>6</v>
      </c>
      <c r="C9" s="60">
        <v>3200</v>
      </c>
      <c r="D9" s="60">
        <v>3750</v>
      </c>
      <c r="E9" s="60">
        <v>6000</v>
      </c>
      <c r="F9" s="60">
        <v>5000</v>
      </c>
      <c r="G9" s="61">
        <v>6000</v>
      </c>
    </row>
    <row r="10" spans="1:14" x14ac:dyDescent="0.2">
      <c r="B10" s="7" t="s">
        <v>7</v>
      </c>
      <c r="C10" s="60">
        <v>4500</v>
      </c>
      <c r="D10" s="60">
        <v>4500</v>
      </c>
      <c r="E10" s="60">
        <v>7000</v>
      </c>
      <c r="F10" s="60">
        <v>7500</v>
      </c>
      <c r="G10" s="61">
        <v>8000</v>
      </c>
    </row>
    <row r="11" spans="1:14" x14ac:dyDescent="0.2">
      <c r="B11" s="7" t="s">
        <v>8</v>
      </c>
      <c r="C11" s="60">
        <v>6000</v>
      </c>
      <c r="D11" s="60">
        <v>5500</v>
      </c>
      <c r="E11" s="60">
        <v>9000</v>
      </c>
      <c r="F11" s="60">
        <v>9500</v>
      </c>
      <c r="G11" s="61">
        <v>10000</v>
      </c>
    </row>
    <row r="12" spans="1:14" x14ac:dyDescent="0.2">
      <c r="B12" s="7" t="s">
        <v>9</v>
      </c>
      <c r="C12" s="60">
        <v>5000</v>
      </c>
      <c r="D12" s="60">
        <v>3500</v>
      </c>
      <c r="E12" s="60">
        <v>6000</v>
      </c>
      <c r="F12" s="60">
        <v>5000</v>
      </c>
      <c r="G12" s="61">
        <v>4500</v>
      </c>
    </row>
    <row r="13" spans="1:14" x14ac:dyDescent="0.2">
      <c r="B13" s="7" t="s">
        <v>10</v>
      </c>
      <c r="C13" s="60">
        <v>4000</v>
      </c>
      <c r="D13" s="60">
        <v>3250</v>
      </c>
      <c r="E13" s="60">
        <v>5000</v>
      </c>
      <c r="F13" s="60">
        <v>3500</v>
      </c>
      <c r="G13" s="61">
        <v>6000</v>
      </c>
    </row>
    <row r="14" spans="1:14" x14ac:dyDescent="0.2">
      <c r="B14" s="7" t="s">
        <v>11</v>
      </c>
      <c r="C14" s="60">
        <v>7000</v>
      </c>
      <c r="D14" s="60">
        <v>7250</v>
      </c>
      <c r="E14" s="60">
        <v>6000</v>
      </c>
      <c r="F14" s="60">
        <v>6500</v>
      </c>
      <c r="G14" s="61">
        <v>8000</v>
      </c>
    </row>
    <row r="15" spans="1:14" x14ac:dyDescent="0.2">
      <c r="B15" s="7" t="s">
        <v>12</v>
      </c>
      <c r="C15" s="60">
        <v>8000</v>
      </c>
      <c r="D15" s="60">
        <v>9000</v>
      </c>
      <c r="E15" s="60">
        <v>11000</v>
      </c>
      <c r="F15" s="60">
        <v>11000</v>
      </c>
      <c r="G15" s="61">
        <v>8000</v>
      </c>
    </row>
    <row r="16" spans="1:14" x14ac:dyDescent="0.2">
      <c r="B16" s="4" t="s">
        <v>13</v>
      </c>
      <c r="C16" s="9">
        <f>SUM(C4:C15)</f>
        <v>50200</v>
      </c>
      <c r="D16" s="9">
        <f>SUM(D4:D15)</f>
        <v>51250</v>
      </c>
      <c r="E16" s="9">
        <f>SUM(E4:E15)</f>
        <v>74000</v>
      </c>
      <c r="F16" s="9">
        <f>SUM(F4:F15)</f>
        <v>70000</v>
      </c>
      <c r="G16" s="10">
        <f>SUM(G4:G15)</f>
        <v>74000</v>
      </c>
    </row>
    <row r="17" spans="1:17" x14ac:dyDescent="0.2">
      <c r="B17" s="45"/>
      <c r="C17" s="8"/>
      <c r="D17" s="8"/>
      <c r="E17" s="8"/>
      <c r="F17" s="8"/>
      <c r="G17" s="8"/>
    </row>
    <row r="18" spans="1:17" x14ac:dyDescent="0.2">
      <c r="A18" s="21" t="s">
        <v>57</v>
      </c>
      <c r="B18" s="45"/>
      <c r="C18" s="46"/>
      <c r="D18" s="8"/>
      <c r="E18" s="8"/>
      <c r="F18" s="8"/>
      <c r="G18" s="8"/>
    </row>
    <row r="19" spans="1:17" ht="8.25" customHeight="1" x14ac:dyDescent="0.2"/>
    <row r="20" spans="1:17" s="244" customFormat="1" ht="61.5" customHeight="1" x14ac:dyDescent="0.3">
      <c r="A20" s="11" t="s">
        <v>14</v>
      </c>
      <c r="B20" s="11" t="s">
        <v>15</v>
      </c>
      <c r="C20" s="38" t="s">
        <v>55</v>
      </c>
      <c r="D20" s="37" t="s">
        <v>48</v>
      </c>
      <c r="E20" s="11" t="s">
        <v>49</v>
      </c>
      <c r="F20" s="50" t="s">
        <v>50</v>
      </c>
      <c r="G20" s="50" t="s">
        <v>51</v>
      </c>
      <c r="H20" s="51" t="s">
        <v>16</v>
      </c>
      <c r="I20" s="12"/>
      <c r="J20" s="11" t="s">
        <v>52</v>
      </c>
      <c r="K20" s="11" t="s">
        <v>53</v>
      </c>
      <c r="L20" s="11" t="s">
        <v>17</v>
      </c>
      <c r="M20" s="11" t="s">
        <v>18</v>
      </c>
      <c r="N20" s="11" t="s">
        <v>19</v>
      </c>
      <c r="O20" s="11" t="s">
        <v>20</v>
      </c>
      <c r="P20" s="11" t="s">
        <v>21</v>
      </c>
      <c r="Q20" s="13" t="s">
        <v>22</v>
      </c>
    </row>
    <row r="21" spans="1:17" x14ac:dyDescent="0.2">
      <c r="A21" s="15" t="s">
        <v>58</v>
      </c>
      <c r="B21" s="15" t="s">
        <v>1</v>
      </c>
      <c r="C21" s="39">
        <v>1</v>
      </c>
      <c r="D21" s="8">
        <f>C4</f>
        <v>2000</v>
      </c>
      <c r="E21" s="16"/>
      <c r="F21" s="16">
        <f>$T$52+C21*$T$53</f>
        <v>4392.82</v>
      </c>
      <c r="G21" s="17">
        <f>D21/F21</f>
        <v>0.4552884024385247</v>
      </c>
      <c r="H21" s="18">
        <f>($T$52+C21*$T$53)*$T$58</f>
        <v>2679.590562110352</v>
      </c>
      <c r="I21" s="19"/>
      <c r="J21" s="18">
        <f>H21-D21</f>
        <v>679.59056211035204</v>
      </c>
      <c r="K21" s="18">
        <f>ABS(J21)</f>
        <v>679.59056211035204</v>
      </c>
      <c r="L21" s="18">
        <f>SUM($J$21:J21)</f>
        <v>679.59056211035204</v>
      </c>
      <c r="M21" s="18">
        <f>SUMSQ($J$21:J21)/C21</f>
        <v>461843.33210946427</v>
      </c>
      <c r="N21" s="18">
        <f>SUM($K$21:K21)/C21</f>
        <v>679.59056211035204</v>
      </c>
      <c r="O21" s="18">
        <f>K21/D21*100</f>
        <v>33.979528105517602</v>
      </c>
      <c r="P21" s="18">
        <f>AVERAGE($O$21:O21)</f>
        <v>33.979528105517602</v>
      </c>
      <c r="Q21" s="20">
        <f>SUM($J$21:J21)/N21</f>
        <v>1</v>
      </c>
    </row>
    <row r="22" spans="1:17" x14ac:dyDescent="0.2">
      <c r="A22" s="15"/>
      <c r="B22" s="15" t="s">
        <v>2</v>
      </c>
      <c r="C22" s="39">
        <v>2</v>
      </c>
      <c r="D22" s="8">
        <f t="shared" ref="D22:D32" si="0">C5</f>
        <v>2500</v>
      </c>
      <c r="E22" s="16"/>
      <c r="F22" s="16">
        <f>$T$52+C22*$T$53</f>
        <v>4431.74</v>
      </c>
      <c r="G22" s="17">
        <f t="shared" ref="G22:G80" si="1">D22/F22</f>
        <v>0.56411251562591669</v>
      </c>
      <c r="H22" s="18">
        <f>($T$52+C22*$T$53)*$T$59</f>
        <v>2683.758525475987</v>
      </c>
      <c r="I22" s="19"/>
      <c r="J22" s="18">
        <f t="shared" ref="J22:J80" si="2">H22-D22</f>
        <v>183.75852547598697</v>
      </c>
      <c r="K22" s="18">
        <f t="shared" ref="K22:K80" si="3">ABS(J22)</f>
        <v>183.75852547598697</v>
      </c>
      <c r="L22" s="18">
        <f>SUM($J$21:J22)</f>
        <v>863.34908758633901</v>
      </c>
      <c r="M22" s="18">
        <f>SUMSQ($J$21:J22)/C22</f>
        <v>247805.26389728661</v>
      </c>
      <c r="N22" s="18">
        <f>SUM($K$21:K22)/C22</f>
        <v>431.67454379316951</v>
      </c>
      <c r="O22" s="18">
        <f t="shared" ref="O22:O80" si="4">K22/D22*100</f>
        <v>7.3503410190394787</v>
      </c>
      <c r="P22" s="18">
        <f>AVERAGE($O$21:O22)</f>
        <v>20.664934562278539</v>
      </c>
      <c r="Q22" s="20">
        <f>SUM($J$21:J22)/N22</f>
        <v>2</v>
      </c>
    </row>
    <row r="23" spans="1:17" x14ac:dyDescent="0.2">
      <c r="A23" s="15"/>
      <c r="B23" s="15" t="s">
        <v>3</v>
      </c>
      <c r="C23" s="39">
        <v>3</v>
      </c>
      <c r="D23" s="8">
        <f t="shared" si="0"/>
        <v>3000</v>
      </c>
      <c r="E23" s="16"/>
      <c r="F23" s="16">
        <f t="shared" ref="F23:F80" si="5">$T$52+C23*$T$53</f>
        <v>4470.66</v>
      </c>
      <c r="G23" s="17">
        <f t="shared" si="1"/>
        <v>0.67104185959120133</v>
      </c>
      <c r="H23" s="18">
        <f>($T$52+C23*$T$53)*$T$60</f>
        <v>2731.232102958134</v>
      </c>
      <c r="I23" s="19"/>
      <c r="J23" s="18">
        <f t="shared" si="2"/>
        <v>-268.76789704186604</v>
      </c>
      <c r="K23" s="18">
        <f t="shared" si="3"/>
        <v>268.76789704186604</v>
      </c>
      <c r="L23" s="18">
        <f>SUM($J$21:J23)</f>
        <v>594.58119054447297</v>
      </c>
      <c r="M23" s="18">
        <f>SUMSQ($J$21:J23)/C23</f>
        <v>189282.23675829344</v>
      </c>
      <c r="N23" s="18">
        <f>SUM($K$21:K23)/C23</f>
        <v>377.3723282094017</v>
      </c>
      <c r="O23" s="18">
        <f t="shared" si="4"/>
        <v>8.9589299013955355</v>
      </c>
      <c r="P23" s="18">
        <f>AVERAGE($O$21:O23)</f>
        <v>16.762933008650872</v>
      </c>
      <c r="Q23" s="20">
        <f>SUM($J$21:J23)/N23</f>
        <v>1.575582378723178</v>
      </c>
    </row>
    <row r="24" spans="1:17" x14ac:dyDescent="0.2">
      <c r="A24" s="15"/>
      <c r="B24" s="15" t="s">
        <v>4</v>
      </c>
      <c r="C24" s="39">
        <v>4</v>
      </c>
      <c r="D24" s="8">
        <f t="shared" si="0"/>
        <v>2000</v>
      </c>
      <c r="E24" s="16"/>
      <c r="F24" s="16">
        <f t="shared" si="5"/>
        <v>4509.58</v>
      </c>
      <c r="G24" s="17">
        <f t="shared" si="1"/>
        <v>0.44350028162267885</v>
      </c>
      <c r="H24" s="18">
        <f>($T$52+C24*$T$53)*$T$61</f>
        <v>2787.8667958614883</v>
      </c>
      <c r="I24" s="19"/>
      <c r="J24" s="18">
        <f t="shared" si="2"/>
        <v>787.8667958614883</v>
      </c>
      <c r="K24" s="18">
        <f t="shared" si="3"/>
        <v>787.8667958614883</v>
      </c>
      <c r="L24" s="18">
        <f>SUM($J$21:J24)</f>
        <v>1382.4479864059613</v>
      </c>
      <c r="M24" s="18">
        <f>SUMSQ($J$21:J24)/C24</f>
        <v>297145.1995739821</v>
      </c>
      <c r="N24" s="18">
        <f>SUM($K$21:K24)/C24</f>
        <v>479.99594512242334</v>
      </c>
      <c r="O24" s="18">
        <f t="shared" si="4"/>
        <v>39.393339793074418</v>
      </c>
      <c r="P24" s="18">
        <f>AVERAGE($O$21:O24)</f>
        <v>22.420534704756758</v>
      </c>
      <c r="Q24" s="20">
        <f>SUM($J$21:J24)/N24</f>
        <v>2.880124301994607</v>
      </c>
    </row>
    <row r="25" spans="1:17" x14ac:dyDescent="0.2">
      <c r="A25" s="15"/>
      <c r="B25" s="15" t="s">
        <v>5</v>
      </c>
      <c r="C25" s="39">
        <v>5</v>
      </c>
      <c r="D25" s="8">
        <f t="shared" si="0"/>
        <v>3000</v>
      </c>
      <c r="E25" s="16"/>
      <c r="F25" s="16">
        <f t="shared" si="5"/>
        <v>4548.5</v>
      </c>
      <c r="G25" s="17">
        <f t="shared" si="1"/>
        <v>0.65955809607562932</v>
      </c>
      <c r="H25" s="18">
        <f>($T$52+C25*$T$53)*$T$62</f>
        <v>2896.835726314961</v>
      </c>
      <c r="I25" s="19"/>
      <c r="J25" s="18">
        <f t="shared" si="2"/>
        <v>-103.16427368503901</v>
      </c>
      <c r="K25" s="18">
        <f t="shared" si="3"/>
        <v>103.16427368503901</v>
      </c>
      <c r="L25" s="18">
        <f>SUM($J$21:J25)</f>
        <v>1279.2837127209223</v>
      </c>
      <c r="M25" s="18">
        <f>SUMSQ($J$21:J25)/C25</f>
        <v>239844.73313217802</v>
      </c>
      <c r="N25" s="18">
        <f>SUM($K$21:K25)/C25</f>
        <v>404.62961083494645</v>
      </c>
      <c r="O25" s="18">
        <f t="shared" si="4"/>
        <v>3.4388091228346336</v>
      </c>
      <c r="P25" s="18">
        <f>AVERAGE($O$21:O25)</f>
        <v>18.624189588372332</v>
      </c>
      <c r="Q25" s="20">
        <f>SUM($J$21:J25)/N25</f>
        <v>3.1616166451119128</v>
      </c>
    </row>
    <row r="26" spans="1:17" x14ac:dyDescent="0.2">
      <c r="A26" s="15"/>
      <c r="B26" s="15" t="s">
        <v>6</v>
      </c>
      <c r="C26" s="39">
        <v>6</v>
      </c>
      <c r="D26" s="8">
        <f t="shared" si="0"/>
        <v>3200</v>
      </c>
      <c r="E26" s="16"/>
      <c r="F26" s="16">
        <f t="shared" si="5"/>
        <v>4587.42</v>
      </c>
      <c r="G26" s="17">
        <f t="shared" si="1"/>
        <v>0.69755984845512287</v>
      </c>
      <c r="H26" s="18">
        <f>($T$52+C26*$T$53)*$T$63</f>
        <v>2790.8280036219053</v>
      </c>
      <c r="I26" s="19"/>
      <c r="J26" s="18">
        <f t="shared" si="2"/>
        <v>-409.17199637809472</v>
      </c>
      <c r="K26" s="18">
        <f t="shared" si="3"/>
        <v>409.17199637809472</v>
      </c>
      <c r="L26" s="18">
        <f>SUM($J$21:J26)</f>
        <v>870.11171634282755</v>
      </c>
      <c r="M26" s="18">
        <f>SUMSQ($J$21:J26)/C26</f>
        <v>227774.23138015426</v>
      </c>
      <c r="N26" s="18">
        <f>SUM($K$21:K26)/C26</f>
        <v>405.38667509213786</v>
      </c>
      <c r="O26" s="18">
        <f t="shared" si="4"/>
        <v>12.78662488681546</v>
      </c>
      <c r="P26" s="18">
        <f>AVERAGE($O$21:O26)</f>
        <v>17.651262138112852</v>
      </c>
      <c r="Q26" s="20">
        <f>SUM($J$21:J26)/N26</f>
        <v>2.1463747325810973</v>
      </c>
    </row>
    <row r="27" spans="1:17" x14ac:dyDescent="0.2">
      <c r="A27" s="15"/>
      <c r="B27" s="15" t="s">
        <v>7</v>
      </c>
      <c r="C27" s="39">
        <v>7</v>
      </c>
      <c r="D27" s="8">
        <f t="shared" si="0"/>
        <v>4500</v>
      </c>
      <c r="E27" s="16">
        <f>(D21+D33+2*SUM(D22:D32))/(2*12)</f>
        <v>4266.666666666667</v>
      </c>
      <c r="F27" s="16">
        <f t="shared" si="5"/>
        <v>4626.3399999999992</v>
      </c>
      <c r="G27" s="17">
        <f t="shared" si="1"/>
        <v>0.9726911554274007</v>
      </c>
      <c r="H27" s="18">
        <f>($T$52+C27*$T$53)*$T$64</f>
        <v>2854.7140028153835</v>
      </c>
      <c r="I27" s="19"/>
      <c r="J27" s="18">
        <f t="shared" si="2"/>
        <v>-1645.2859971846165</v>
      </c>
      <c r="K27" s="18">
        <f t="shared" si="3"/>
        <v>1645.2859971846165</v>
      </c>
      <c r="L27" s="18">
        <f>SUM($J$21:J27)</f>
        <v>-775.17428084178891</v>
      </c>
      <c r="M27" s="18">
        <f>SUMSQ($J$21:J27)/C27</f>
        <v>581944.48583038617</v>
      </c>
      <c r="N27" s="18">
        <f>SUM($K$21:K27)/C27</f>
        <v>582.5151496767777</v>
      </c>
      <c r="O27" s="18">
        <f t="shared" si="4"/>
        <v>36.561911048547032</v>
      </c>
      <c r="P27" s="18">
        <f>AVERAGE($O$21:O27)</f>
        <v>20.352783411032021</v>
      </c>
      <c r="Q27" s="20">
        <f>SUM($J$21:J27)/N27</f>
        <v>-1.3307366877443663</v>
      </c>
    </row>
    <row r="28" spans="1:17" x14ac:dyDescent="0.2">
      <c r="A28" s="15"/>
      <c r="B28" s="15" t="s">
        <v>8</v>
      </c>
      <c r="C28" s="39">
        <v>8</v>
      </c>
      <c r="D28" s="8">
        <f t="shared" si="0"/>
        <v>6000</v>
      </c>
      <c r="E28" s="16">
        <f t="shared" ref="E28:E74" si="6">(D22+D34+2*SUM(D23:D33))/(2*12)</f>
        <v>4329.166666666667</v>
      </c>
      <c r="F28" s="16">
        <f t="shared" si="5"/>
        <v>4665.2599999999993</v>
      </c>
      <c r="G28" s="17">
        <f t="shared" si="1"/>
        <v>1.2861019535888676</v>
      </c>
      <c r="H28" s="18">
        <f>($T$52+C28*$T$53)*$T$65</f>
        <v>2875.3936741370703</v>
      </c>
      <c r="I28" s="19"/>
      <c r="J28" s="18">
        <f t="shared" si="2"/>
        <v>-3124.6063258629297</v>
      </c>
      <c r="K28" s="18">
        <f t="shared" si="3"/>
        <v>3124.6063258629297</v>
      </c>
      <c r="L28" s="18">
        <f>SUM($J$21:J28)</f>
        <v>-3899.7806067047186</v>
      </c>
      <c r="M28" s="18">
        <f>SUMSQ($J$21:J28)/C28</f>
        <v>1729597.0115544177</v>
      </c>
      <c r="N28" s="18">
        <f>SUM($K$21:K28)/C28</f>
        <v>900.27654670004665</v>
      </c>
      <c r="O28" s="18">
        <f t="shared" si="4"/>
        <v>52.076772097715498</v>
      </c>
      <c r="P28" s="18">
        <f>AVERAGE($O$21:O28)</f>
        <v>24.318281996867455</v>
      </c>
      <c r="Q28" s="20">
        <f>SUM($J$21:J28)/N28</f>
        <v>-4.3317585257544691</v>
      </c>
    </row>
    <row r="29" spans="1:17" x14ac:dyDescent="0.2">
      <c r="A29" s="15"/>
      <c r="B29" s="15" t="s">
        <v>9</v>
      </c>
      <c r="C29" s="39">
        <v>9</v>
      </c>
      <c r="D29" s="8">
        <f t="shared" si="0"/>
        <v>5000</v>
      </c>
      <c r="E29" s="16">
        <f t="shared" si="6"/>
        <v>4308.333333333333</v>
      </c>
      <c r="F29" s="16">
        <f t="shared" si="5"/>
        <v>4704.1799999999994</v>
      </c>
      <c r="G29" s="17">
        <f t="shared" si="1"/>
        <v>1.0628844984673207</v>
      </c>
      <c r="H29" s="18">
        <f>($T$52+C29*$T$53)*$T$66</f>
        <v>2760.2269241314848</v>
      </c>
      <c r="I29" s="19"/>
      <c r="J29" s="18">
        <f t="shared" si="2"/>
        <v>-2239.7730758685152</v>
      </c>
      <c r="K29" s="18">
        <f t="shared" si="3"/>
        <v>2239.7730758685152</v>
      </c>
      <c r="L29" s="18">
        <f>SUM($J$21:J29)</f>
        <v>-6139.5536825732343</v>
      </c>
      <c r="M29" s="18">
        <f>SUMSQ($J$21:J29)/C29</f>
        <v>2094817.7248689835</v>
      </c>
      <c r="N29" s="18">
        <f>SUM($K$21:K29)/C29</f>
        <v>1049.1094943854321</v>
      </c>
      <c r="O29" s="18">
        <f t="shared" si="4"/>
        <v>44.795461517370306</v>
      </c>
      <c r="P29" s="18">
        <f>AVERAGE($O$21:O29)</f>
        <v>26.593524165812216</v>
      </c>
      <c r="Q29" s="20">
        <f>SUM($J$21:J29)/N29</f>
        <v>-5.8521572013508294</v>
      </c>
    </row>
    <row r="30" spans="1:17" x14ac:dyDescent="0.2">
      <c r="A30" s="15"/>
      <c r="B30" s="15" t="s">
        <v>10</v>
      </c>
      <c r="C30" s="39">
        <v>10</v>
      </c>
      <c r="D30" s="8">
        <f t="shared" si="0"/>
        <v>4000</v>
      </c>
      <c r="E30" s="16">
        <f t="shared" si="6"/>
        <v>4329.166666666667</v>
      </c>
      <c r="F30" s="16">
        <f>$T$52+C30*$T$53</f>
        <v>4743.0999999999995</v>
      </c>
      <c r="G30" s="17">
        <f t="shared" si="1"/>
        <v>0.84333031139971759</v>
      </c>
      <c r="H30" s="18">
        <f>($T$52+C30*$T$53)*$T$67</f>
        <v>2703.1462189943813</v>
      </c>
      <c r="I30" s="19"/>
      <c r="J30" s="18">
        <f t="shared" si="2"/>
        <v>-1296.8537810056187</v>
      </c>
      <c r="K30" s="18">
        <f t="shared" si="3"/>
        <v>1296.8537810056187</v>
      </c>
      <c r="L30" s="18">
        <f>SUM($J$21:J30)</f>
        <v>-7436.4074635788529</v>
      </c>
      <c r="M30" s="18">
        <f>SUMSQ($J$21:J30)/C30</f>
        <v>2053518.9253129419</v>
      </c>
      <c r="N30" s="18">
        <f>SUM($K$21:K30)/C30</f>
        <v>1073.8839230474507</v>
      </c>
      <c r="O30" s="18">
        <f t="shared" si="4"/>
        <v>32.421344525140469</v>
      </c>
      <c r="P30" s="18">
        <f>AVERAGE($O$21:O30)</f>
        <v>27.176306201745042</v>
      </c>
      <c r="Q30" s="20">
        <f>SUM($J$21:J30)/N30</f>
        <v>-6.9247777194353874</v>
      </c>
    </row>
    <row r="31" spans="1:17" x14ac:dyDescent="0.2">
      <c r="A31" s="15"/>
      <c r="B31" s="15" t="s">
        <v>11</v>
      </c>
      <c r="C31" s="39">
        <v>11</v>
      </c>
      <c r="D31" s="8">
        <f t="shared" si="0"/>
        <v>7000</v>
      </c>
      <c r="E31" s="16">
        <f t="shared" si="6"/>
        <v>4350</v>
      </c>
      <c r="F31" s="16">
        <f t="shared" si="5"/>
        <v>4782.0199999999995</v>
      </c>
      <c r="G31" s="17">
        <f t="shared" si="1"/>
        <v>1.4638165461457713</v>
      </c>
      <c r="H31" s="18">
        <f>($T$52+C31*$T$53)*$T$68</f>
        <v>2610.2152378262481</v>
      </c>
      <c r="I31" s="19"/>
      <c r="J31" s="18">
        <f t="shared" si="2"/>
        <v>-4389.7847621737519</v>
      </c>
      <c r="K31" s="18">
        <f t="shared" si="3"/>
        <v>4389.7847621737519</v>
      </c>
      <c r="L31" s="18">
        <f>SUM($J$21:J31)</f>
        <v>-11826.192225752606</v>
      </c>
      <c r="M31" s="18">
        <f>SUMSQ($J$21:J31)/C31</f>
        <v>3618672.6828492987</v>
      </c>
      <c r="N31" s="18">
        <f>SUM($K$21:K31)/C31</f>
        <v>1375.3294538771145</v>
      </c>
      <c r="O31" s="18">
        <f t="shared" si="4"/>
        <v>62.711210888196455</v>
      </c>
      <c r="P31" s="18">
        <f>AVERAGE($O$21:O31)</f>
        <v>30.406752082331533</v>
      </c>
      <c r="Q31" s="20">
        <f>SUM($J$21:J31)/N31</f>
        <v>-8.5988067749251265</v>
      </c>
    </row>
    <row r="32" spans="1:17" x14ac:dyDescent="0.2">
      <c r="A32" s="15"/>
      <c r="B32" s="15" t="s">
        <v>12</v>
      </c>
      <c r="C32" s="39">
        <v>12</v>
      </c>
      <c r="D32" s="8">
        <f t="shared" si="0"/>
        <v>8000</v>
      </c>
      <c r="E32" s="16">
        <f t="shared" si="6"/>
        <v>4372.916666666667</v>
      </c>
      <c r="F32" s="16">
        <f t="shared" si="5"/>
        <v>4820.9399999999996</v>
      </c>
      <c r="G32" s="17">
        <f t="shared" si="1"/>
        <v>1.6594274145706025</v>
      </c>
      <c r="H32" s="18">
        <f>($T$52+C32*$T$53)*$T$69</f>
        <v>2620.3121794728986</v>
      </c>
      <c r="I32" s="19"/>
      <c r="J32" s="18">
        <f t="shared" si="2"/>
        <v>-5379.6878205271014</v>
      </c>
      <c r="K32" s="18">
        <f t="shared" si="3"/>
        <v>5379.6878205271014</v>
      </c>
      <c r="L32" s="18">
        <f>SUM($J$21:J32)</f>
        <v>-17205.880046279708</v>
      </c>
      <c r="M32" s="18">
        <f>SUMSQ($J$21:J32)/C32</f>
        <v>5728870.0464724936</v>
      </c>
      <c r="N32" s="18">
        <f>SUM($K$21:K32)/C32</f>
        <v>1709.0259844312802</v>
      </c>
      <c r="O32" s="18">
        <f t="shared" si="4"/>
        <v>67.246097756588767</v>
      </c>
      <c r="P32" s="18">
        <f>AVERAGE($O$21:O32)</f>
        <v>33.476697555186298</v>
      </c>
      <c r="Q32" s="20">
        <f>SUM($J$21:J32)/N32</f>
        <v>-10.06765268815113</v>
      </c>
    </row>
    <row r="33" spans="1:24" x14ac:dyDescent="0.2">
      <c r="A33" s="15" t="s">
        <v>59</v>
      </c>
      <c r="B33" s="15" t="s">
        <v>1</v>
      </c>
      <c r="C33" s="39">
        <v>13</v>
      </c>
      <c r="D33" s="8">
        <f>D4</f>
        <v>4000</v>
      </c>
      <c r="E33" s="16">
        <f t="shared" si="6"/>
        <v>4395.833333333333</v>
      </c>
      <c r="F33" s="16">
        <f t="shared" si="5"/>
        <v>4859.8599999999997</v>
      </c>
      <c r="G33" s="17">
        <f t="shared" si="1"/>
        <v>0.82306897729564232</v>
      </c>
      <c r="H33" s="18">
        <f>($T$52+C33*$T$53)*$T$58</f>
        <v>2964.4818110411115</v>
      </c>
      <c r="I33" s="19"/>
      <c r="J33" s="18">
        <f t="shared" si="2"/>
        <v>-1035.5181889588885</v>
      </c>
      <c r="K33" s="18">
        <f t="shared" si="3"/>
        <v>1035.5181889588885</v>
      </c>
      <c r="L33" s="18">
        <f>SUM($J$21:J33)</f>
        <v>-18241.398235238597</v>
      </c>
      <c r="M33" s="18">
        <f>SUMSQ($J$21:J33)/C33</f>
        <v>5370672.1905642012</v>
      </c>
      <c r="N33" s="18">
        <f>SUM($K$21:K33)/C33</f>
        <v>1657.2176924718656</v>
      </c>
      <c r="O33" s="18">
        <f t="shared" si="4"/>
        <v>25.887954723972211</v>
      </c>
      <c r="P33" s="18">
        <f>AVERAGE($O$21:O33)</f>
        <v>32.892948106631373</v>
      </c>
      <c r="Q33" s="20">
        <f>SUM($J$21:J33)/N33</f>
        <v>-11.007243235516134</v>
      </c>
    </row>
    <row r="34" spans="1:24" x14ac:dyDescent="0.2">
      <c r="A34" s="15"/>
      <c r="B34" s="15" t="s">
        <v>2</v>
      </c>
      <c r="C34" s="39">
        <v>14</v>
      </c>
      <c r="D34" s="8">
        <f t="shared" ref="D34:D44" si="7">D5</f>
        <v>2000</v>
      </c>
      <c r="E34" s="16">
        <f t="shared" si="6"/>
        <v>4375</v>
      </c>
      <c r="F34" s="16">
        <f t="shared" si="5"/>
        <v>4898.78</v>
      </c>
      <c r="G34" s="17">
        <f t="shared" si="1"/>
        <v>0.40826491493800499</v>
      </c>
      <c r="H34" s="18">
        <f>($T$52+C34*$T$53)*$T$59</f>
        <v>2966.5870717666776</v>
      </c>
      <c r="I34" s="19"/>
      <c r="J34" s="18">
        <f t="shared" si="2"/>
        <v>966.58707176667758</v>
      </c>
      <c r="K34" s="18">
        <f t="shared" si="3"/>
        <v>966.58707176667758</v>
      </c>
      <c r="L34" s="18">
        <f>SUM($J$21:J34)</f>
        <v>-17274.811163471921</v>
      </c>
      <c r="M34" s="18">
        <f>SUMSQ($J$21:J34)/C34</f>
        <v>5053787.7889029356</v>
      </c>
      <c r="N34" s="18">
        <f>SUM($K$21:K34)/C34</f>
        <v>1607.8869338500663</v>
      </c>
      <c r="O34" s="18">
        <f t="shared" si="4"/>
        <v>48.329353588333881</v>
      </c>
      <c r="P34" s="18">
        <f>AVERAGE($O$21:O34)</f>
        <v>33.995548498181549</v>
      </c>
      <c r="Q34" s="20">
        <f>SUM($J$21:J34)/N34</f>
        <v>-10.743797215956963</v>
      </c>
    </row>
    <row r="35" spans="1:24" x14ac:dyDescent="0.2">
      <c r="A35" s="15"/>
      <c r="B35" s="15" t="s">
        <v>3</v>
      </c>
      <c r="C35" s="39">
        <v>15</v>
      </c>
      <c r="D35" s="8">
        <f t="shared" si="7"/>
        <v>3000</v>
      </c>
      <c r="E35" s="16">
        <f t="shared" si="6"/>
        <v>4291.666666666667</v>
      </c>
      <c r="F35" s="16">
        <f t="shared" si="5"/>
        <v>4937.7</v>
      </c>
      <c r="G35" s="17">
        <f t="shared" si="1"/>
        <v>0.60757032626526519</v>
      </c>
      <c r="H35" s="18">
        <f>($T$52+C35*$T$53)*$T$60</f>
        <v>3016.5579030336412</v>
      </c>
      <c r="I35" s="19"/>
      <c r="J35" s="18">
        <f t="shared" si="2"/>
        <v>16.557903033641196</v>
      </c>
      <c r="K35" s="18">
        <f t="shared" si="3"/>
        <v>16.557903033641196</v>
      </c>
      <c r="L35" s="18">
        <f>SUM($J$21:J35)</f>
        <v>-17258.25326043828</v>
      </c>
      <c r="M35" s="18">
        <f>SUMSQ($J$21:J35)/C35</f>
        <v>4716886.8805862647</v>
      </c>
      <c r="N35" s="18">
        <f>SUM($K$21:K35)/C35</f>
        <v>1501.798331795638</v>
      </c>
      <c r="O35" s="18">
        <f t="shared" si="4"/>
        <v>0.5519301011213732</v>
      </c>
      <c r="P35" s="18">
        <f>AVERAGE($O$21:O35)</f>
        <v>31.765973938377542</v>
      </c>
      <c r="Q35" s="20">
        <f>SUM($J$21:J35)/N35</f>
        <v>-11.491724884128285</v>
      </c>
    </row>
    <row r="36" spans="1:24" x14ac:dyDescent="0.2">
      <c r="A36" s="15"/>
      <c r="B36" s="15" t="s">
        <v>4</v>
      </c>
      <c r="C36" s="39">
        <v>16</v>
      </c>
      <c r="D36" s="8">
        <f t="shared" si="7"/>
        <v>2500</v>
      </c>
      <c r="E36" s="16">
        <f t="shared" si="6"/>
        <v>4197.916666666667</v>
      </c>
      <c r="F36" s="16">
        <f t="shared" si="5"/>
        <v>4976.62</v>
      </c>
      <c r="G36" s="17">
        <f t="shared" si="1"/>
        <v>0.50234898384847548</v>
      </c>
      <c r="H36" s="18">
        <f>($T$52+C36*$T$53)*$T$61</f>
        <v>3076.5955263284386</v>
      </c>
      <c r="I36" s="19"/>
      <c r="J36" s="18">
        <f t="shared" si="2"/>
        <v>576.59552632843861</v>
      </c>
      <c r="K36" s="18">
        <f t="shared" si="3"/>
        <v>576.59552632843861</v>
      </c>
      <c r="L36" s="18">
        <f>SUM($J$21:J36)</f>
        <v>-16681.657734109842</v>
      </c>
      <c r="M36" s="18">
        <f>SUMSQ($J$21:J36)/C36</f>
        <v>4442860.3506109957</v>
      </c>
      <c r="N36" s="18">
        <f>SUM($K$21:K36)/C36</f>
        <v>1443.9731564539379</v>
      </c>
      <c r="O36" s="18">
        <f t="shared" si="4"/>
        <v>23.063821053137545</v>
      </c>
      <c r="P36" s="18">
        <f>AVERAGE($O$21:O36)</f>
        <v>31.22208938305004</v>
      </c>
      <c r="Q36" s="20">
        <f>SUM($J$21:J36)/N36</f>
        <v>-11.552609312403087</v>
      </c>
      <c r="S36" t="s">
        <v>25</v>
      </c>
    </row>
    <row r="37" spans="1:24" ht="13.5" thickBot="1" x14ac:dyDescent="0.25">
      <c r="A37" s="15"/>
      <c r="B37" s="15" t="s">
        <v>5</v>
      </c>
      <c r="C37" s="39">
        <v>17</v>
      </c>
      <c r="D37" s="8">
        <f t="shared" si="7"/>
        <v>3000</v>
      </c>
      <c r="E37" s="16">
        <f t="shared" si="6"/>
        <v>4177.083333333333</v>
      </c>
      <c r="F37" s="16">
        <f t="shared" si="5"/>
        <v>5015.54</v>
      </c>
      <c r="G37" s="17">
        <f t="shared" si="1"/>
        <v>0.59814097784087061</v>
      </c>
      <c r="H37" s="18">
        <f>($T$52+C37*$T$53)*$T$62</f>
        <v>3194.2828314305243</v>
      </c>
      <c r="I37" s="19"/>
      <c r="J37" s="18">
        <f t="shared" si="2"/>
        <v>194.28283143052431</v>
      </c>
      <c r="K37" s="18">
        <f t="shared" si="3"/>
        <v>194.28283143052431</v>
      </c>
      <c r="L37" s="18">
        <f>SUM($J$21:J37)</f>
        <v>-16487.374902679316</v>
      </c>
      <c r="M37" s="18">
        <f>SUMSQ($J$21:J37)/C37</f>
        <v>4183735.9663743875</v>
      </c>
      <c r="N37" s="18">
        <f>SUM($K$21:K37)/C37</f>
        <v>1370.4619608643252</v>
      </c>
      <c r="O37" s="18">
        <f t="shared" si="4"/>
        <v>6.4760943810174778</v>
      </c>
      <c r="P37" s="18">
        <f>AVERAGE($O$21:O37)</f>
        <v>29.766442618224598</v>
      </c>
      <c r="Q37" s="20">
        <f>SUM($J$21:J37)/N37</f>
        <v>-12.030523555926376</v>
      </c>
    </row>
    <row r="38" spans="1:24" x14ac:dyDescent="0.2">
      <c r="A38" s="15"/>
      <c r="B38" s="15" t="s">
        <v>6</v>
      </c>
      <c r="C38" s="39">
        <v>18</v>
      </c>
      <c r="D38" s="8">
        <f t="shared" si="7"/>
        <v>3750</v>
      </c>
      <c r="E38" s="16">
        <f t="shared" si="6"/>
        <v>4229.166666666667</v>
      </c>
      <c r="F38" s="16">
        <f t="shared" si="5"/>
        <v>5054.46</v>
      </c>
      <c r="G38" s="17">
        <f t="shared" si="1"/>
        <v>0.74191901805534122</v>
      </c>
      <c r="H38" s="18">
        <f>($T$52+C38*$T$53)*$T$63</f>
        <v>3074.9590207974798</v>
      </c>
      <c r="I38" s="19"/>
      <c r="J38" s="18">
        <f t="shared" si="2"/>
        <v>-675.04097920252025</v>
      </c>
      <c r="K38" s="18">
        <f t="shared" si="3"/>
        <v>675.04097920252025</v>
      </c>
      <c r="L38" s="18">
        <f>SUM($J$21:J38)</f>
        <v>-17162.415881881836</v>
      </c>
      <c r="M38" s="18">
        <f>SUMSQ($J$21:J38)/C38</f>
        <v>3976621.7639981825</v>
      </c>
      <c r="N38" s="18">
        <f>SUM($K$21:K38)/C38</f>
        <v>1331.8274618831138</v>
      </c>
      <c r="O38" s="18">
        <f t="shared" si="4"/>
        <v>18.001092778733874</v>
      </c>
      <c r="P38" s="18">
        <f>AVERAGE($O$21:O38)</f>
        <v>29.11281207158622</v>
      </c>
      <c r="Q38" s="20">
        <f>SUM($J$21:J38)/N38</f>
        <v>-12.88636581919954</v>
      </c>
      <c r="S38" s="55" t="s">
        <v>26</v>
      </c>
      <c r="T38" s="55"/>
    </row>
    <row r="39" spans="1:24" x14ac:dyDescent="0.2">
      <c r="A39" s="15"/>
      <c r="B39" s="15" t="s">
        <v>7</v>
      </c>
      <c r="C39" s="39">
        <v>19</v>
      </c>
      <c r="D39" s="8">
        <f t="shared" si="7"/>
        <v>4500</v>
      </c>
      <c r="E39" s="16">
        <f t="shared" si="6"/>
        <v>4437.5</v>
      </c>
      <c r="F39" s="16">
        <f t="shared" si="5"/>
        <v>5093.3799999999992</v>
      </c>
      <c r="G39" s="17">
        <f t="shared" si="1"/>
        <v>0.88349975851006612</v>
      </c>
      <c r="H39" s="18">
        <f>($T$52+C39*$T$53)*$T$64</f>
        <v>3142.9041548307773</v>
      </c>
      <c r="I39" s="19"/>
      <c r="J39" s="18">
        <f t="shared" si="2"/>
        <v>-1357.0958451692227</v>
      </c>
      <c r="K39" s="18">
        <f t="shared" si="3"/>
        <v>1357.0958451692227</v>
      </c>
      <c r="L39" s="18">
        <f>SUM($J$21:J39)</f>
        <v>-18519.51172705106</v>
      </c>
      <c r="M39" s="18">
        <f>SUMSQ($J$21:J39)/C39</f>
        <v>3864257.9413127811</v>
      </c>
      <c r="N39" s="18">
        <f>SUM($K$21:K39)/C39</f>
        <v>1333.1573767929092</v>
      </c>
      <c r="O39" s="18">
        <f t="shared" si="4"/>
        <v>30.157685448204948</v>
      </c>
      <c r="P39" s="18">
        <f>AVERAGE($O$21:O39)</f>
        <v>29.167805407197733</v>
      </c>
      <c r="Q39" s="20">
        <f>SUM($J$21:J39)/N39</f>
        <v>-13.891467016146478</v>
      </c>
      <c r="S39" s="52" t="s">
        <v>27</v>
      </c>
      <c r="T39" s="52">
        <f>SQRT(T40)</f>
        <v>0.87504285609334587</v>
      </c>
    </row>
    <row r="40" spans="1:24" x14ac:dyDescent="0.2">
      <c r="A40" s="15"/>
      <c r="B40" s="15" t="s">
        <v>8</v>
      </c>
      <c r="C40" s="39">
        <v>20</v>
      </c>
      <c r="D40" s="8">
        <f t="shared" si="7"/>
        <v>5500</v>
      </c>
      <c r="E40" s="16">
        <f t="shared" si="6"/>
        <v>4729.166666666667</v>
      </c>
      <c r="F40" s="16">
        <f t="shared" si="5"/>
        <v>5132.2999999999993</v>
      </c>
      <c r="G40" s="17">
        <f t="shared" si="1"/>
        <v>1.071644292032812</v>
      </c>
      <c r="H40" s="18">
        <f>($T$52+C40*$T$53)*$T$65</f>
        <v>3163.2498411178985</v>
      </c>
      <c r="I40" s="19"/>
      <c r="J40" s="18">
        <f t="shared" si="2"/>
        <v>-2336.7501588821015</v>
      </c>
      <c r="K40" s="18">
        <f t="shared" si="3"/>
        <v>2336.7501588821015</v>
      </c>
      <c r="L40" s="18">
        <f>SUM($J$21:J40)</f>
        <v>-20856.261885933163</v>
      </c>
      <c r="M40" s="18">
        <f>SUMSQ($J$21:J40)/C40</f>
        <v>3944065.109498919</v>
      </c>
      <c r="N40" s="18">
        <f>SUM($K$21:K40)/C40</f>
        <v>1383.3370158973689</v>
      </c>
      <c r="O40" s="18">
        <f t="shared" si="4"/>
        <v>42.486366525129114</v>
      </c>
      <c r="P40" s="18">
        <f>AVERAGE($O$21:O40)</f>
        <v>29.833733463094301</v>
      </c>
      <c r="Q40" s="20">
        <f>SUM($J$21:J40)/N40</f>
        <v>-15.076775685355122</v>
      </c>
      <c r="S40" s="52" t="s">
        <v>28</v>
      </c>
      <c r="T40" s="52">
        <v>0.76570000000000005</v>
      </c>
    </row>
    <row r="41" spans="1:24" x14ac:dyDescent="0.2">
      <c r="A41" s="15"/>
      <c r="B41" s="15" t="s">
        <v>9</v>
      </c>
      <c r="C41" s="39">
        <v>21</v>
      </c>
      <c r="D41" s="8">
        <f t="shared" si="7"/>
        <v>3500</v>
      </c>
      <c r="E41" s="16">
        <f t="shared" si="6"/>
        <v>4895.833333333333</v>
      </c>
      <c r="F41" s="16">
        <f t="shared" si="5"/>
        <v>5171.2199999999993</v>
      </c>
      <c r="G41" s="17">
        <f t="shared" si="1"/>
        <v>0.67682287738676761</v>
      </c>
      <c r="H41" s="18">
        <f>($T$52+C41*$T$53)*$T$66</f>
        <v>3034.2675396364971</v>
      </c>
      <c r="I41" s="19"/>
      <c r="J41" s="18">
        <f t="shared" si="2"/>
        <v>-465.73246036350292</v>
      </c>
      <c r="K41" s="18">
        <f t="shared" si="3"/>
        <v>465.73246036350292</v>
      </c>
      <c r="L41" s="18">
        <f>SUM($J$21:J41)</f>
        <v>-21321.994346296666</v>
      </c>
      <c r="M41" s="18">
        <f>SUMSQ($J$21:J41)/C41</f>
        <v>3766581.3768864102</v>
      </c>
      <c r="N41" s="18">
        <f>SUM($K$21:K41)/C41</f>
        <v>1339.6415608719467</v>
      </c>
      <c r="O41" s="18">
        <f t="shared" si="4"/>
        <v>13.306641724671511</v>
      </c>
      <c r="P41" s="18">
        <f>AVERAGE($O$21:O41)</f>
        <v>29.046729094597978</v>
      </c>
      <c r="Q41" s="20">
        <f>SUM($J$21:J41)/N41</f>
        <v>-15.916193531961335</v>
      </c>
      <c r="S41" s="52" t="s">
        <v>29</v>
      </c>
      <c r="T41" s="52">
        <v>0.91088044174102922</v>
      </c>
    </row>
    <row r="42" spans="1:24" x14ac:dyDescent="0.2">
      <c r="A42" s="15"/>
      <c r="B42" s="15" t="s">
        <v>10</v>
      </c>
      <c r="C42" s="39">
        <v>22</v>
      </c>
      <c r="D42" s="8">
        <f t="shared" si="7"/>
        <v>3250</v>
      </c>
      <c r="E42" s="16">
        <f t="shared" si="6"/>
        <v>4958.333333333333</v>
      </c>
      <c r="F42" s="16">
        <f t="shared" si="5"/>
        <v>5210.1399999999994</v>
      </c>
      <c r="G42" s="17">
        <f t="shared" si="1"/>
        <v>0.62378362193722248</v>
      </c>
      <c r="H42" s="18">
        <f>($T$52+C42*$T$53)*$T$67</f>
        <v>2969.3175858471013</v>
      </c>
      <c r="I42" s="19"/>
      <c r="J42" s="18">
        <f t="shared" si="2"/>
        <v>-280.68241415289867</v>
      </c>
      <c r="K42" s="18">
        <f t="shared" si="3"/>
        <v>280.68241415289867</v>
      </c>
      <c r="L42" s="18">
        <f>SUM($J$21:J42)</f>
        <v>-21602.676760449565</v>
      </c>
      <c r="M42" s="18">
        <f>SUMSQ($J$21:J42)/C42</f>
        <v>3598954.1605558782</v>
      </c>
      <c r="N42" s="18">
        <f>SUM($K$21:K42)/C42</f>
        <v>1291.5070542028991</v>
      </c>
      <c r="O42" s="18">
        <f t="shared" si="4"/>
        <v>8.6363819739353431</v>
      </c>
      <c r="P42" s="18">
        <f>AVERAGE($O$21:O42)</f>
        <v>28.118986043658769</v>
      </c>
      <c r="Q42" s="20">
        <f>SUM($J$21:J42)/N42</f>
        <v>-16.726719912329436</v>
      </c>
      <c r="S42" s="52" t="s">
        <v>30</v>
      </c>
      <c r="T42" s="52">
        <v>316.82998036150366</v>
      </c>
    </row>
    <row r="43" spans="1:24" ht="13.5" thickBot="1" x14ac:dyDescent="0.25">
      <c r="A43" s="15"/>
      <c r="B43" s="15" t="s">
        <v>11</v>
      </c>
      <c r="C43" s="39">
        <v>23</v>
      </c>
      <c r="D43" s="8">
        <f t="shared" si="7"/>
        <v>7250</v>
      </c>
      <c r="E43" s="16">
        <f t="shared" si="6"/>
        <v>5020.833333333333</v>
      </c>
      <c r="F43" s="16">
        <f t="shared" si="5"/>
        <v>5249.0599999999995</v>
      </c>
      <c r="G43" s="17">
        <f t="shared" si="1"/>
        <v>1.3811996814667771</v>
      </c>
      <c r="H43" s="18">
        <f>($T$52+C43*$T$53)*$T$68</f>
        <v>2865.1441015019273</v>
      </c>
      <c r="I43" s="19"/>
      <c r="J43" s="18">
        <f t="shared" si="2"/>
        <v>-4384.8558984980727</v>
      </c>
      <c r="K43" s="18">
        <f t="shared" si="3"/>
        <v>4384.8558984980727</v>
      </c>
      <c r="L43" s="18">
        <f>SUM($J$21:J43)</f>
        <v>-25987.532658947639</v>
      </c>
      <c r="M43" s="18">
        <f>SUMSQ($J$21:J43)/C43</f>
        <v>4278432.7296879422</v>
      </c>
      <c r="N43" s="18">
        <f>SUM($K$21:K43)/C43</f>
        <v>1426.0004822157327</v>
      </c>
      <c r="O43" s="18">
        <f t="shared" si="4"/>
        <v>60.480771013766521</v>
      </c>
      <c r="P43" s="18">
        <f>AVERAGE($O$21:O43)</f>
        <v>29.526020172793892</v>
      </c>
      <c r="Q43" s="20">
        <f>SUM($J$21:J43)/N43</f>
        <v>-18.224070035774442</v>
      </c>
      <c r="S43" s="53" t="s">
        <v>31</v>
      </c>
      <c r="T43" s="53">
        <v>60</v>
      </c>
    </row>
    <row r="44" spans="1:24" x14ac:dyDescent="0.2">
      <c r="A44" s="15"/>
      <c r="B44" s="15" t="s">
        <v>12</v>
      </c>
      <c r="C44" s="39">
        <v>24</v>
      </c>
      <c r="D44" s="8">
        <f t="shared" si="7"/>
        <v>9000</v>
      </c>
      <c r="E44" s="16">
        <f>(D38+D50+2*SUM(D39:D49))/(2*12)</f>
        <v>5156.25</v>
      </c>
      <c r="F44" s="16">
        <f t="shared" si="5"/>
        <v>5287.98</v>
      </c>
      <c r="G44" s="17">
        <f t="shared" si="1"/>
        <v>1.7019731542101144</v>
      </c>
      <c r="H44" s="18">
        <f>($T$52+C44*$T$53)*$T$69</f>
        <v>2874.1611384520647</v>
      </c>
      <c r="I44" s="19"/>
      <c r="J44" s="18">
        <f t="shared" si="2"/>
        <v>-6125.8388615479353</v>
      </c>
      <c r="K44" s="18">
        <f t="shared" si="3"/>
        <v>6125.8388615479353</v>
      </c>
      <c r="L44" s="18">
        <f>SUM($J$21:J44)</f>
        <v>-32113.371520495573</v>
      </c>
      <c r="M44" s="18">
        <f>SUMSQ($J$21:J44)/C44</f>
        <v>5663743.9391863989</v>
      </c>
      <c r="N44" s="18">
        <f>SUM($K$21:K44)/C44</f>
        <v>1621.8270813545744</v>
      </c>
      <c r="O44" s="18">
        <f t="shared" si="4"/>
        <v>68.064876239421494</v>
      </c>
      <c r="P44" s="18">
        <f>AVERAGE($O$21:O44)</f>
        <v>31.131805842236712</v>
      </c>
      <c r="Q44" s="20">
        <f>SUM($J$21:J44)/N44</f>
        <v>-19.800737014253087</v>
      </c>
    </row>
    <row r="45" spans="1:24" ht="13.5" thickBot="1" x14ac:dyDescent="0.25">
      <c r="A45" s="15" t="s">
        <v>60</v>
      </c>
      <c r="B45" s="15" t="s">
        <v>1</v>
      </c>
      <c r="C45" s="39">
        <v>25</v>
      </c>
      <c r="D45" s="60">
        <f>E4</f>
        <v>8000</v>
      </c>
      <c r="E45" s="16">
        <f t="shared" si="6"/>
        <v>5354.166666666667</v>
      </c>
      <c r="F45" s="16">
        <f t="shared" si="5"/>
        <v>5326.9</v>
      </c>
      <c r="G45" s="17">
        <f t="shared" si="1"/>
        <v>1.5018115601944848</v>
      </c>
      <c r="H45" s="18">
        <f>($T$52+C45*$T$53)*$T$58</f>
        <v>3249.3730599718706</v>
      </c>
      <c r="I45" s="19"/>
      <c r="J45" s="18">
        <f t="shared" si="2"/>
        <v>-4750.626940028129</v>
      </c>
      <c r="K45" s="18">
        <f t="shared" si="3"/>
        <v>4750.626940028129</v>
      </c>
      <c r="L45" s="18">
        <f>SUM($J$21:J45)</f>
        <v>-36863.998460523704</v>
      </c>
      <c r="M45" s="18">
        <f>SUMSQ($J$21:J45)/C45</f>
        <v>6339932.4345517838</v>
      </c>
      <c r="N45" s="18">
        <f>SUM($K$21:K45)/C45</f>
        <v>1746.9790757015166</v>
      </c>
      <c r="O45" s="18">
        <f t="shared" si="4"/>
        <v>59.382836750351608</v>
      </c>
      <c r="P45" s="18">
        <f>AVERAGE($O$21:O45)</f>
        <v>32.26184707856131</v>
      </c>
      <c r="Q45" s="20">
        <f>SUM($J$21:J45)/N45</f>
        <v>-21.101568400709439</v>
      </c>
      <c r="S45" t="s">
        <v>32</v>
      </c>
    </row>
    <row r="46" spans="1:24" x14ac:dyDescent="0.2">
      <c r="A46" s="15"/>
      <c r="B46" s="15" t="s">
        <v>2</v>
      </c>
      <c r="C46" s="39">
        <v>26</v>
      </c>
      <c r="D46" s="60">
        <f t="shared" ref="D46:D56" si="8">E5</f>
        <v>5000</v>
      </c>
      <c r="E46" s="16">
        <f t="shared" si="6"/>
        <v>5604.166666666667</v>
      </c>
      <c r="F46" s="16">
        <f t="shared" si="5"/>
        <v>5365.82</v>
      </c>
      <c r="G46" s="17">
        <f t="shared" si="1"/>
        <v>0.93182402689616872</v>
      </c>
      <c r="H46" s="18">
        <f>($T$52+C46*$T$53)*$T$59</f>
        <v>3249.4156180573682</v>
      </c>
      <c r="I46" s="19"/>
      <c r="J46" s="18">
        <f t="shared" si="2"/>
        <v>-1750.5843819426318</v>
      </c>
      <c r="K46" s="18">
        <f t="shared" si="3"/>
        <v>1750.5843819426318</v>
      </c>
      <c r="L46" s="18">
        <f>SUM($J$21:J46)</f>
        <v>-38614.582842466334</v>
      </c>
      <c r="M46" s="18">
        <f>SUMSQ($J$21:J46)/C46</f>
        <v>6213956.0208498482</v>
      </c>
      <c r="N46" s="18">
        <f>SUM($K$21:K46)/C46</f>
        <v>1747.1177413261748</v>
      </c>
      <c r="O46" s="18">
        <f t="shared" si="4"/>
        <v>35.011687638852635</v>
      </c>
      <c r="P46" s="18">
        <f>AVERAGE($O$21:O46)</f>
        <v>32.367610177034052</v>
      </c>
      <c r="Q46" s="20">
        <f>SUM($J$21:J46)/N46</f>
        <v>-22.101877812284922</v>
      </c>
      <c r="S46" s="54"/>
      <c r="T46" s="54" t="s">
        <v>33</v>
      </c>
      <c r="U46" s="54" t="s">
        <v>34</v>
      </c>
      <c r="V46" s="54" t="s">
        <v>35</v>
      </c>
      <c r="W46" s="54" t="s">
        <v>36</v>
      </c>
      <c r="X46" s="54" t="s">
        <v>37</v>
      </c>
    </row>
    <row r="47" spans="1:24" x14ac:dyDescent="0.2">
      <c r="A47" s="15"/>
      <c r="B47" s="15" t="s">
        <v>3</v>
      </c>
      <c r="C47" s="39">
        <v>27</v>
      </c>
      <c r="D47" s="60">
        <f t="shared" si="8"/>
        <v>4000</v>
      </c>
      <c r="E47" s="16">
        <f t="shared" si="6"/>
        <v>5854.166666666667</v>
      </c>
      <c r="F47" s="16">
        <f t="shared" si="5"/>
        <v>5404.74</v>
      </c>
      <c r="G47" s="17">
        <f t="shared" si="1"/>
        <v>0.74009110521505195</v>
      </c>
      <c r="H47" s="18">
        <f>($T$52+C47*$T$53)*$T$60</f>
        <v>3301.8837031091484</v>
      </c>
      <c r="I47" s="19"/>
      <c r="J47" s="18">
        <f t="shared" si="2"/>
        <v>-698.11629689085157</v>
      </c>
      <c r="K47" s="18">
        <f t="shared" si="3"/>
        <v>698.11629689085157</v>
      </c>
      <c r="L47" s="18">
        <f>SUM($J$21:J47)</f>
        <v>-39312.699139357188</v>
      </c>
      <c r="M47" s="18">
        <f>SUMSQ($J$21:J47)/C47</f>
        <v>6001860.1076326156</v>
      </c>
      <c r="N47" s="18">
        <f>SUM($K$21:K47)/C47</f>
        <v>1708.2658359767186</v>
      </c>
      <c r="O47" s="18">
        <f t="shared" si="4"/>
        <v>17.452907422271288</v>
      </c>
      <c r="P47" s="18">
        <f>AVERAGE($O$21:O47)</f>
        <v>31.815213778709509</v>
      </c>
      <c r="Q47" s="20">
        <f>SUM($J$21:J47)/N47</f>
        <v>-23.013220958598488</v>
      </c>
      <c r="S47" s="52" t="s">
        <v>38</v>
      </c>
      <c r="T47" s="52">
        <v>1</v>
      </c>
      <c r="U47" s="52">
        <v>48321663.065159589</v>
      </c>
      <c r="V47" s="52">
        <v>48321663.065159589</v>
      </c>
      <c r="W47" s="52">
        <v>481.38142915187711</v>
      </c>
      <c r="X47" s="52">
        <v>5.2688669029353572E-26</v>
      </c>
    </row>
    <row r="48" spans="1:24" x14ac:dyDescent="0.2">
      <c r="A48" s="15"/>
      <c r="B48" s="15" t="s">
        <v>4</v>
      </c>
      <c r="C48" s="39">
        <v>28</v>
      </c>
      <c r="D48" s="60">
        <f t="shared" si="8"/>
        <v>3000</v>
      </c>
      <c r="E48" s="16">
        <f t="shared" si="6"/>
        <v>6031.25</v>
      </c>
      <c r="F48" s="16">
        <f t="shared" si="5"/>
        <v>5443.66</v>
      </c>
      <c r="G48" s="17">
        <f t="shared" si="1"/>
        <v>0.55109981152386445</v>
      </c>
      <c r="H48" s="18">
        <f>($T$52+C48*$T$53)*$T$61</f>
        <v>3365.3242567953889</v>
      </c>
      <c r="I48" s="19"/>
      <c r="J48" s="18">
        <f t="shared" si="2"/>
        <v>365.32425679538892</v>
      </c>
      <c r="K48" s="18">
        <f t="shared" si="3"/>
        <v>365.32425679538892</v>
      </c>
      <c r="L48" s="18">
        <f>SUM($J$21:J48)</f>
        <v>-38947.374882561802</v>
      </c>
      <c r="M48" s="18">
        <f>SUMSQ($J$21:J48)/C48</f>
        <v>5792274.4542387053</v>
      </c>
      <c r="N48" s="18">
        <f>SUM($K$21:K48)/C48</f>
        <v>1660.3036367202424</v>
      </c>
      <c r="O48" s="18">
        <f t="shared" si="4"/>
        <v>12.177475226512964</v>
      </c>
      <c r="P48" s="18">
        <f>AVERAGE($O$21:O48)</f>
        <v>31.113865973273914</v>
      </c>
      <c r="Q48" s="20">
        <f>SUM($J$21:J48)/N48</f>
        <v>-23.457983239438239</v>
      </c>
      <c r="S48" s="52" t="s">
        <v>39</v>
      </c>
      <c r="T48" s="52">
        <v>59</v>
      </c>
      <c r="U48" s="52">
        <v>4617536.8769700564</v>
      </c>
      <c r="V48" s="52">
        <v>100381.23645587079</v>
      </c>
      <c r="W48" s="52"/>
      <c r="X48" s="52"/>
    </row>
    <row r="49" spans="1:27" ht="13.5" thickBot="1" x14ac:dyDescent="0.25">
      <c r="A49" s="15"/>
      <c r="B49" s="15" t="s">
        <v>5</v>
      </c>
      <c r="C49" s="39">
        <v>29</v>
      </c>
      <c r="D49" s="60">
        <f t="shared" si="8"/>
        <v>4000</v>
      </c>
      <c r="E49" s="16">
        <f t="shared" si="6"/>
        <v>6052.083333333333</v>
      </c>
      <c r="F49" s="16">
        <f t="shared" si="5"/>
        <v>5482.58</v>
      </c>
      <c r="G49" s="17">
        <f t="shared" si="1"/>
        <v>0.72958351724917836</v>
      </c>
      <c r="H49" s="18">
        <f>($T$52+C49*$T$53)*$T$62</f>
        <v>3491.7299365460872</v>
      </c>
      <c r="I49" s="19"/>
      <c r="J49" s="18">
        <f t="shared" si="2"/>
        <v>-508.27006345391283</v>
      </c>
      <c r="K49" s="18">
        <f t="shared" si="3"/>
        <v>508.27006345391283</v>
      </c>
      <c r="L49" s="18">
        <f>SUM($J$21:J49)</f>
        <v>-39455.644946015716</v>
      </c>
      <c r="M49" s="18">
        <f>SUMSQ($J$21:J49)/C49</f>
        <v>5601449.0750374896</v>
      </c>
      <c r="N49" s="18">
        <f>SUM($K$21:K49)/C49</f>
        <v>1620.5783410903691</v>
      </c>
      <c r="O49" s="18">
        <f t="shared" si="4"/>
        <v>12.706751586347821</v>
      </c>
      <c r="P49" s="18">
        <f>AVERAGE($O$21:O49)</f>
        <v>30.479137890966122</v>
      </c>
      <c r="Q49" s="20">
        <f>SUM($J$21:J49)/N49</f>
        <v>-24.346644617913928</v>
      </c>
      <c r="S49" s="53" t="s">
        <v>13</v>
      </c>
      <c r="T49" s="53">
        <v>60</v>
      </c>
      <c r="U49" s="53">
        <v>52939199.942129642</v>
      </c>
      <c r="V49" s="53"/>
      <c r="W49" s="53"/>
      <c r="X49" s="53"/>
    </row>
    <row r="50" spans="1:27" ht="13.5" thickBot="1" x14ac:dyDescent="0.25">
      <c r="A50" s="15"/>
      <c r="B50" s="15" t="s">
        <v>6</v>
      </c>
      <c r="C50" s="39">
        <v>30</v>
      </c>
      <c r="D50" s="60">
        <f t="shared" si="8"/>
        <v>6000</v>
      </c>
      <c r="E50" s="16">
        <f t="shared" si="6"/>
        <v>6083.333333333333</v>
      </c>
      <c r="F50" s="16">
        <f t="shared" si="5"/>
        <v>5521.5</v>
      </c>
      <c r="G50" s="17">
        <f t="shared" si="1"/>
        <v>1.0866612333604999</v>
      </c>
      <c r="H50" s="18">
        <f>($T$52+C50*$T$53)*$T$63</f>
        <v>3359.0900379730542</v>
      </c>
      <c r="I50" s="19"/>
      <c r="J50" s="18">
        <f t="shared" si="2"/>
        <v>-2640.9099620269458</v>
      </c>
      <c r="K50" s="18">
        <f t="shared" si="3"/>
        <v>2640.9099620269458</v>
      </c>
      <c r="L50" s="18">
        <f>SUM($J$21:J50)</f>
        <v>-42096.554908042664</v>
      </c>
      <c r="M50" s="18">
        <f>SUMSQ($J$21:J50)/C50</f>
        <v>5647214.2867873451</v>
      </c>
      <c r="N50" s="18">
        <f>SUM($K$21:K50)/C50</f>
        <v>1654.5893951215883</v>
      </c>
      <c r="O50" s="18">
        <f t="shared" si="4"/>
        <v>44.015166033782428</v>
      </c>
      <c r="P50" s="18">
        <f>AVERAGE($O$21:O50)</f>
        <v>30.930338829059998</v>
      </c>
      <c r="Q50" s="20">
        <f>SUM($J$21:J50)/N50</f>
        <v>-25.442297063042144</v>
      </c>
    </row>
    <row r="51" spans="1:27" x14ac:dyDescent="0.2">
      <c r="A51" s="15"/>
      <c r="B51" s="15" t="s">
        <v>7</v>
      </c>
      <c r="C51" s="39">
        <v>31</v>
      </c>
      <c r="D51" s="60">
        <f t="shared" si="8"/>
        <v>7000</v>
      </c>
      <c r="E51" s="16">
        <f t="shared" si="6"/>
        <v>6145.833333333333</v>
      </c>
      <c r="F51" s="16">
        <f t="shared" si="5"/>
        <v>5560.42</v>
      </c>
      <c r="G51" s="17">
        <f t="shared" si="1"/>
        <v>1.2588977091658544</v>
      </c>
      <c r="H51" s="18">
        <f>($T$52+C51*$T$53)*$T$64</f>
        <v>3431.0943068461715</v>
      </c>
      <c r="I51" s="19"/>
      <c r="J51" s="18">
        <f t="shared" si="2"/>
        <v>-3568.9056931538285</v>
      </c>
      <c r="K51" s="18">
        <f t="shared" si="3"/>
        <v>3568.9056931538285</v>
      </c>
      <c r="L51" s="18">
        <f>SUM($J$21:J51)</f>
        <v>-45665.460601196493</v>
      </c>
      <c r="M51" s="18">
        <f>SUMSQ($J$21:J51)/C51</f>
        <v>5875919.8854918117</v>
      </c>
      <c r="N51" s="18">
        <f>SUM($K$21:K51)/C51</f>
        <v>1716.3415337677895</v>
      </c>
      <c r="O51" s="18">
        <f t="shared" si="4"/>
        <v>50.98436704505469</v>
      </c>
      <c r="P51" s="18">
        <f>AVERAGE($O$21:O51)</f>
        <v>31.577242965059824</v>
      </c>
      <c r="Q51" s="20">
        <f>SUM($J$21:J51)/N51</f>
        <v>-26.606278355887383</v>
      </c>
      <c r="S51" s="54"/>
      <c r="T51" s="54" t="s">
        <v>40</v>
      </c>
      <c r="U51" s="54" t="s">
        <v>30</v>
      </c>
      <c r="V51" s="54" t="s">
        <v>41</v>
      </c>
      <c r="W51" s="54" t="s">
        <v>42</v>
      </c>
      <c r="X51" s="54" t="s">
        <v>43</v>
      </c>
      <c r="Y51" s="54" t="s">
        <v>44</v>
      </c>
      <c r="Z51" s="54" t="s">
        <v>64</v>
      </c>
      <c r="AA51" s="54" t="s">
        <v>65</v>
      </c>
    </row>
    <row r="52" spans="1:27" x14ac:dyDescent="0.2">
      <c r="A52" s="15"/>
      <c r="B52" s="15" t="s">
        <v>8</v>
      </c>
      <c r="C52" s="39">
        <v>32</v>
      </c>
      <c r="D52" s="60">
        <f t="shared" si="8"/>
        <v>9000</v>
      </c>
      <c r="E52" s="16">
        <f t="shared" si="6"/>
        <v>6083.333333333333</v>
      </c>
      <c r="F52" s="16">
        <f t="shared" si="5"/>
        <v>5599.34</v>
      </c>
      <c r="G52" s="17">
        <f t="shared" si="1"/>
        <v>1.6073322927345008</v>
      </c>
      <c r="H52" s="18">
        <f>($T$52+C52*$T$53)*$T$65</f>
        <v>3451.1060080987268</v>
      </c>
      <c r="I52" s="19"/>
      <c r="J52" s="18">
        <f t="shared" si="2"/>
        <v>-5548.8939919012737</v>
      </c>
      <c r="K52" s="18">
        <f t="shared" si="3"/>
        <v>5548.8939919012737</v>
      </c>
      <c r="L52" s="18">
        <f>SUM($J$21:J52)</f>
        <v>-51214.354593097771</v>
      </c>
      <c r="M52" s="18">
        <f>SUMSQ($J$21:J52)/C52</f>
        <v>6654491.905737631</v>
      </c>
      <c r="N52" s="18">
        <f>SUM($K$21:K52)/C52</f>
        <v>1836.1087980844609</v>
      </c>
      <c r="O52" s="18">
        <f t="shared" si="4"/>
        <v>61.654377687791929</v>
      </c>
      <c r="P52" s="18">
        <f>AVERAGE($O$21:O52)</f>
        <v>32.517153425145203</v>
      </c>
      <c r="Q52" s="20">
        <f>SUM($J$21:J52)/N52</f>
        <v>-27.892875763422989</v>
      </c>
      <c r="S52" s="52" t="s">
        <v>45</v>
      </c>
      <c r="T52" s="56">
        <v>4353.8999999999996</v>
      </c>
      <c r="U52" s="52">
        <v>110.580357032511</v>
      </c>
      <c r="V52" s="52">
        <v>53.633093544368208</v>
      </c>
      <c r="W52" s="52">
        <v>4.0044961385689567E-43</v>
      </c>
      <c r="X52" s="52">
        <v>5708.1799188966115</v>
      </c>
      <c r="Y52" s="52">
        <v>6153.3533468919732</v>
      </c>
      <c r="Z52" s="52">
        <v>5708.1799188966115</v>
      </c>
      <c r="AA52" s="52">
        <v>6153.3533468919732</v>
      </c>
    </row>
    <row r="53" spans="1:27" ht="13.5" thickBot="1" x14ac:dyDescent="0.25">
      <c r="A53" s="15"/>
      <c r="B53" s="15" t="s">
        <v>9</v>
      </c>
      <c r="C53" s="39">
        <v>33</v>
      </c>
      <c r="D53" s="60">
        <f t="shared" si="8"/>
        <v>6000</v>
      </c>
      <c r="E53" s="16">
        <f t="shared" si="6"/>
        <v>6041.666666666667</v>
      </c>
      <c r="F53" s="16">
        <f t="shared" si="5"/>
        <v>5638.26</v>
      </c>
      <c r="G53" s="17">
        <f t="shared" si="1"/>
        <v>1.0641580913260473</v>
      </c>
      <c r="H53" s="18">
        <f>($T$52+C53*$T$53)*$T$66</f>
        <v>3308.3081551415098</v>
      </c>
      <c r="I53" s="19"/>
      <c r="J53" s="18">
        <f t="shared" si="2"/>
        <v>-2691.6918448584902</v>
      </c>
      <c r="K53" s="18">
        <f t="shared" si="3"/>
        <v>2691.6918448584902</v>
      </c>
      <c r="L53" s="18">
        <f>SUM($J$21:J53)</f>
        <v>-53906.046437956262</v>
      </c>
      <c r="M53" s="18">
        <f>SUMSQ($J$21:J53)/C53</f>
        <v>6672392.3021600572</v>
      </c>
      <c r="N53" s="18">
        <f>SUM($K$21:K53)/C53</f>
        <v>1862.0355570776132</v>
      </c>
      <c r="O53" s="18">
        <f t="shared" si="4"/>
        <v>44.861530747641503</v>
      </c>
      <c r="P53" s="18">
        <f>AVERAGE($O$21:O53)</f>
        <v>32.891225465220849</v>
      </c>
      <c r="Q53" s="20">
        <f>SUM($J$21:J53)/N53</f>
        <v>-28.950062866983885</v>
      </c>
      <c r="S53" s="53" t="s">
        <v>46</v>
      </c>
      <c r="T53" s="48">
        <v>38.92</v>
      </c>
      <c r="U53" s="53">
        <v>3.3010287422649198</v>
      </c>
      <c r="V53" s="53">
        <v>21.940406312369802</v>
      </c>
      <c r="W53" s="53">
        <v>5.2688669029354709E-26</v>
      </c>
      <c r="X53" s="53">
        <v>65.781285626891744</v>
      </c>
      <c r="Y53" s="53">
        <v>79.070538081314922</v>
      </c>
      <c r="Z53" s="53">
        <v>65.781285626891744</v>
      </c>
      <c r="AA53" s="53">
        <v>79.070538081314922</v>
      </c>
    </row>
    <row r="54" spans="1:27" x14ac:dyDescent="0.2">
      <c r="A54" s="15"/>
      <c r="B54" s="15" t="s">
        <v>10</v>
      </c>
      <c r="C54" s="39">
        <v>34</v>
      </c>
      <c r="D54" s="60">
        <f t="shared" si="8"/>
        <v>5000</v>
      </c>
      <c r="E54" s="16">
        <f t="shared" si="6"/>
        <v>6000</v>
      </c>
      <c r="F54" s="16">
        <f t="shared" si="5"/>
        <v>5677.1799999999994</v>
      </c>
      <c r="G54" s="17">
        <f t="shared" si="1"/>
        <v>0.88071894849203314</v>
      </c>
      <c r="H54" s="18">
        <f>($T$52+C54*$T$53)*$T$67</f>
        <v>3235.4889526998213</v>
      </c>
      <c r="I54" s="19"/>
      <c r="J54" s="18">
        <f t="shared" si="2"/>
        <v>-1764.5110473001787</v>
      </c>
      <c r="K54" s="18">
        <f t="shared" si="3"/>
        <v>1764.5110473001787</v>
      </c>
      <c r="L54" s="18">
        <f>SUM($J$21:J54)</f>
        <v>-55670.557485256439</v>
      </c>
      <c r="M54" s="18">
        <f>SUMSQ($J$21:J54)/C54</f>
        <v>6567718.9766860669</v>
      </c>
      <c r="N54" s="18">
        <f>SUM($K$21:K54)/C54</f>
        <v>1859.1671891429828</v>
      </c>
      <c r="O54" s="18">
        <f t="shared" si="4"/>
        <v>35.290220946003572</v>
      </c>
      <c r="P54" s="18">
        <f>AVERAGE($O$21:O54)</f>
        <v>32.961784155832106</v>
      </c>
      <c r="Q54" s="20">
        <f>SUM($J$21:J54)/N54</f>
        <v>-29.94381452639491</v>
      </c>
    </row>
    <row r="55" spans="1:27" x14ac:dyDescent="0.2">
      <c r="A55" s="15"/>
      <c r="B55" s="15" t="s">
        <v>11</v>
      </c>
      <c r="C55" s="39">
        <v>35</v>
      </c>
      <c r="D55" s="60">
        <f t="shared" si="8"/>
        <v>6000</v>
      </c>
      <c r="E55" s="16">
        <f t="shared" si="6"/>
        <v>5979.166666666667</v>
      </c>
      <c r="F55" s="16">
        <f t="shared" si="5"/>
        <v>5716.0999999999995</v>
      </c>
      <c r="G55" s="17">
        <f t="shared" si="1"/>
        <v>1.049666730812967</v>
      </c>
      <c r="H55" s="18">
        <f>($T$52+C55*$T$53)*$T$68</f>
        <v>3120.072965177606</v>
      </c>
      <c r="I55" s="19"/>
      <c r="J55" s="18">
        <f t="shared" si="2"/>
        <v>-2879.927034822394</v>
      </c>
      <c r="K55" s="18">
        <f t="shared" si="3"/>
        <v>2879.927034822394</v>
      </c>
      <c r="L55" s="18">
        <f>SUM($J$21:J55)</f>
        <v>-58550.484520078833</v>
      </c>
      <c r="M55" s="18">
        <f>SUMSQ($J$21:J55)/C55</f>
        <v>6617040.7123779198</v>
      </c>
      <c r="N55" s="18">
        <f>SUM($K$21:K55)/C55</f>
        <v>1888.3317561623944</v>
      </c>
      <c r="O55" s="18">
        <f t="shared" si="4"/>
        <v>47.998783913706568</v>
      </c>
      <c r="P55" s="18">
        <f>AVERAGE($O$21:O55)</f>
        <v>33.391412720342807</v>
      </c>
      <c r="Q55" s="20">
        <f>SUM($J$21:J55)/N55</f>
        <v>-31.00646077099789</v>
      </c>
      <c r="S55" s="62" t="s">
        <v>85</v>
      </c>
      <c r="T55" t="s">
        <v>88</v>
      </c>
    </row>
    <row r="56" spans="1:27" x14ac:dyDescent="0.2">
      <c r="A56" s="15"/>
      <c r="B56" s="15" t="s">
        <v>12</v>
      </c>
      <c r="C56" s="39">
        <v>36</v>
      </c>
      <c r="D56" s="60">
        <f t="shared" si="8"/>
        <v>11000</v>
      </c>
      <c r="E56" s="16">
        <f t="shared" si="6"/>
        <v>5958.333333333333</v>
      </c>
      <c r="F56" s="16">
        <f t="shared" si="5"/>
        <v>5755.0199999999995</v>
      </c>
      <c r="G56" s="17">
        <f t="shared" si="1"/>
        <v>1.9113747649877848</v>
      </c>
      <c r="H56" s="18">
        <f>($T$52+C56*$T$53)*$T$69</f>
        <v>3128.0100974312313</v>
      </c>
      <c r="I56" s="19"/>
      <c r="J56" s="18">
        <f t="shared" si="2"/>
        <v>-7871.9899025687682</v>
      </c>
      <c r="K56" s="18">
        <f t="shared" si="3"/>
        <v>7871.9899025687682</v>
      </c>
      <c r="L56" s="18">
        <f>SUM($J$21:J56)</f>
        <v>-66422.474422647603</v>
      </c>
      <c r="M56" s="18">
        <f>SUMSQ($J$21:J56)/C56</f>
        <v>8154573.6099825501</v>
      </c>
      <c r="N56" s="18">
        <f>SUM($K$21:K56)/C56</f>
        <v>2054.5444824514602</v>
      </c>
      <c r="O56" s="18">
        <f t="shared" si="4"/>
        <v>71.563544568806975</v>
      </c>
      <c r="P56" s="18">
        <f>AVERAGE($O$21:O56)</f>
        <v>34.451749716133477</v>
      </c>
      <c r="Q56" s="20">
        <f>SUM($J$21:J56)/N56</f>
        <v>-32.329538245574042</v>
      </c>
    </row>
    <row r="57" spans="1:27" x14ac:dyDescent="0.2">
      <c r="A57" s="15" t="s">
        <v>61</v>
      </c>
      <c r="B57" s="15" t="s">
        <v>1</v>
      </c>
      <c r="C57" s="39">
        <v>37</v>
      </c>
      <c r="D57" s="60">
        <f>F4</f>
        <v>7500</v>
      </c>
      <c r="E57" s="16">
        <f t="shared" si="6"/>
        <v>5937.5</v>
      </c>
      <c r="F57" s="16">
        <f t="shared" si="5"/>
        <v>5793.94</v>
      </c>
      <c r="G57" s="17">
        <f t="shared" si="1"/>
        <v>1.2944559315422666</v>
      </c>
      <c r="H57" s="18">
        <f>($T$52+C57*$T$53)*$T$58</f>
        <v>3534.2643089026301</v>
      </c>
      <c r="I57" s="19"/>
      <c r="J57" s="18">
        <f t="shared" si="2"/>
        <v>-3965.7356910973699</v>
      </c>
      <c r="K57" s="18">
        <f t="shared" si="3"/>
        <v>3965.7356910973699</v>
      </c>
      <c r="L57" s="18">
        <f>SUM($J$21:J57)</f>
        <v>-70388.210113744979</v>
      </c>
      <c r="M57" s="18">
        <f>SUMSQ($J$21:J57)/C57</f>
        <v>8359235.3927301439</v>
      </c>
      <c r="N57" s="18">
        <f>SUM($K$21:K57)/C57</f>
        <v>2106.19829890135</v>
      </c>
      <c r="O57" s="18">
        <f t="shared" si="4"/>
        <v>52.876475881298269</v>
      </c>
      <c r="P57" s="18">
        <f>AVERAGE($O$21:O57)</f>
        <v>34.94971528816496</v>
      </c>
      <c r="Q57" s="20">
        <f>SUM($J$21:J57)/N57</f>
        <v>-33.419555105737849</v>
      </c>
      <c r="S57" s="48" t="s">
        <v>86</v>
      </c>
      <c r="T57" s="48" t="s">
        <v>89</v>
      </c>
      <c r="U57" s="62"/>
      <c r="V57" s="62"/>
      <c r="W57" s="62"/>
      <c r="X57" s="62"/>
      <c r="Y57" s="62"/>
      <c r="Z57" s="62"/>
      <c r="AA57" s="62"/>
    </row>
    <row r="58" spans="1:27" x14ac:dyDescent="0.2">
      <c r="A58" s="15"/>
      <c r="B58" s="15" t="s">
        <v>2</v>
      </c>
      <c r="C58" s="39">
        <v>38</v>
      </c>
      <c r="D58" s="60">
        <f t="shared" ref="D58:D68" si="9">F5</f>
        <v>4000</v>
      </c>
      <c r="E58" s="16">
        <f t="shared" si="6"/>
        <v>5979.166666666667</v>
      </c>
      <c r="F58" s="16">
        <f t="shared" si="5"/>
        <v>5832.86</v>
      </c>
      <c r="G58" s="17">
        <f t="shared" si="1"/>
        <v>0.6857699310458335</v>
      </c>
      <c r="H58" s="18">
        <f>($T$52+C58*$T$53)*$T$59</f>
        <v>3532.2441643480588</v>
      </c>
      <c r="I58" s="19"/>
      <c r="J58" s="18">
        <f t="shared" si="2"/>
        <v>-467.7558356519412</v>
      </c>
      <c r="K58" s="18">
        <f t="shared" si="3"/>
        <v>467.7558356519412</v>
      </c>
      <c r="L58" s="18">
        <f>SUM($J$21:J58)</f>
        <v>-70855.965949396923</v>
      </c>
      <c r="M58" s="18">
        <f>SUMSQ($J$21:J58)/C58</f>
        <v>8145013.2908632047</v>
      </c>
      <c r="N58" s="18">
        <f>SUM($K$21:K58)/C58</f>
        <v>2063.0813919737338</v>
      </c>
      <c r="O58" s="18">
        <f t="shared" si="4"/>
        <v>11.69389589129853</v>
      </c>
      <c r="P58" s="18">
        <f>AVERAGE($O$21:O58)</f>
        <v>34.337720040878999</v>
      </c>
      <c r="Q58" s="20">
        <f>SUM($J$21:J58)/N58</f>
        <v>-34.344726400546698</v>
      </c>
      <c r="S58" s="49" t="s">
        <v>1</v>
      </c>
      <c r="T58" s="64">
        <v>0.60999325310628527</v>
      </c>
    </row>
    <row r="59" spans="1:27" x14ac:dyDescent="0.2">
      <c r="A59" s="15"/>
      <c r="B59" s="15" t="s">
        <v>3</v>
      </c>
      <c r="C59" s="39">
        <v>39</v>
      </c>
      <c r="D59" s="60">
        <f t="shared" si="9"/>
        <v>4000</v>
      </c>
      <c r="E59" s="16">
        <f t="shared" si="6"/>
        <v>5958.333333333333</v>
      </c>
      <c r="F59" s="16">
        <f t="shared" si="5"/>
        <v>5871.78</v>
      </c>
      <c r="G59" s="17">
        <f t="shared" si="1"/>
        <v>0.68122443279550671</v>
      </c>
      <c r="H59" s="18">
        <f>($T$52+C59*$T$53)*$T$60</f>
        <v>3587.2095031846552</v>
      </c>
      <c r="I59" s="19"/>
      <c r="J59" s="18">
        <f t="shared" si="2"/>
        <v>-412.7904968153448</v>
      </c>
      <c r="K59" s="18">
        <f t="shared" si="3"/>
        <v>412.7904968153448</v>
      </c>
      <c r="L59" s="18">
        <f>SUM($J$21:J59)</f>
        <v>-71268.756446212268</v>
      </c>
      <c r="M59" s="18">
        <f>SUMSQ($J$21:J59)/C59</f>
        <v>7940535.9242836637</v>
      </c>
      <c r="N59" s="18">
        <f>SUM($K$21:K59)/C59</f>
        <v>2020.7662408158264</v>
      </c>
      <c r="O59" s="18">
        <f t="shared" si="4"/>
        <v>10.31976242038362</v>
      </c>
      <c r="P59" s="18">
        <f>AVERAGE($O$21:O59)</f>
        <v>33.721874973686809</v>
      </c>
      <c r="Q59" s="20">
        <f>SUM($J$21:J59)/N59</f>
        <v>-35.268184417728371</v>
      </c>
      <c r="S59" s="49" t="s">
        <v>2</v>
      </c>
      <c r="T59" s="64">
        <v>0.605576709255504</v>
      </c>
    </row>
    <row r="60" spans="1:27" x14ac:dyDescent="0.2">
      <c r="A60" s="15"/>
      <c r="B60" s="15" t="s">
        <v>4</v>
      </c>
      <c r="C60" s="39">
        <v>40</v>
      </c>
      <c r="D60" s="60">
        <f t="shared" si="9"/>
        <v>2000</v>
      </c>
      <c r="E60" s="16">
        <f t="shared" si="6"/>
        <v>5854.166666666667</v>
      </c>
      <c r="F60" s="16">
        <f t="shared" si="5"/>
        <v>5910.7</v>
      </c>
      <c r="G60" s="17">
        <f t="shared" si="1"/>
        <v>0.33836939787165649</v>
      </c>
      <c r="H60" s="18">
        <f>($T$52+C60*$T$53)*$T$61</f>
        <v>3654.0529872623388</v>
      </c>
      <c r="I60" s="19"/>
      <c r="J60" s="18">
        <f t="shared" si="2"/>
        <v>1654.0529872623388</v>
      </c>
      <c r="K60" s="18">
        <f t="shared" si="3"/>
        <v>1654.0529872623388</v>
      </c>
      <c r="L60" s="18">
        <f>SUM($J$21:J60)</f>
        <v>-69614.703458949924</v>
      </c>
      <c r="M60" s="18">
        <f>SUMSQ($J$21:J60)/C60</f>
        <v>7810419.8082933594</v>
      </c>
      <c r="N60" s="18">
        <f>SUM($K$21:K60)/C60</f>
        <v>2011.5984094769894</v>
      </c>
      <c r="O60" s="18">
        <f t="shared" si="4"/>
        <v>82.702649363116947</v>
      </c>
      <c r="P60" s="18">
        <f>AVERAGE($O$21:O60)</f>
        <v>34.94639433342256</v>
      </c>
      <c r="Q60" s="20">
        <f>SUM($J$21:J60)/N60</f>
        <v>-34.606660619228457</v>
      </c>
      <c r="S60" s="49" t="s">
        <v>3</v>
      </c>
      <c r="T60" s="64">
        <v>0.61092368978140454</v>
      </c>
    </row>
    <row r="61" spans="1:27" x14ac:dyDescent="0.2">
      <c r="A61" s="15"/>
      <c r="B61" s="15" t="s">
        <v>5</v>
      </c>
      <c r="C61" s="39">
        <v>41</v>
      </c>
      <c r="D61" s="60">
        <f t="shared" si="9"/>
        <v>4500</v>
      </c>
      <c r="E61" s="16">
        <f t="shared" si="6"/>
        <v>5812.5</v>
      </c>
      <c r="F61" s="16">
        <f t="shared" si="5"/>
        <v>5949.62</v>
      </c>
      <c r="G61" s="17">
        <f t="shared" si="1"/>
        <v>0.75635082576702384</v>
      </c>
      <c r="H61" s="18">
        <f>($T$52+C61*$T$53)*$T$62</f>
        <v>3789.1770416616505</v>
      </c>
      <c r="I61" s="19"/>
      <c r="J61" s="18">
        <f t="shared" si="2"/>
        <v>-710.82295833834951</v>
      </c>
      <c r="K61" s="18">
        <f t="shared" si="3"/>
        <v>710.82295833834951</v>
      </c>
      <c r="L61" s="18">
        <f>SUM($J$21:J61)</f>
        <v>-70325.526417288274</v>
      </c>
      <c r="M61" s="18">
        <f>SUMSQ($J$21:J61)/C61</f>
        <v>7632245.4051179336</v>
      </c>
      <c r="N61" s="18">
        <f>SUM($K$21:K61)/C61</f>
        <v>1979.8721789614128</v>
      </c>
      <c r="O61" s="18">
        <f t="shared" si="4"/>
        <v>15.79606574085221</v>
      </c>
      <c r="P61" s="18">
        <f>AVERAGE($O$21:O61)</f>
        <v>34.479313148237921</v>
      </c>
      <c r="Q61" s="20">
        <f>SUM($J$21:J61)/N61</f>
        <v>-35.520235682173755</v>
      </c>
      <c r="S61" s="49" t="s">
        <v>4</v>
      </c>
      <c r="T61" s="64">
        <v>0.61820985454554267</v>
      </c>
    </row>
    <row r="62" spans="1:27" x14ac:dyDescent="0.2">
      <c r="A62" s="15"/>
      <c r="B62" s="15" t="s">
        <v>6</v>
      </c>
      <c r="C62" s="39">
        <v>42</v>
      </c>
      <c r="D62" s="60">
        <f t="shared" si="9"/>
        <v>5000</v>
      </c>
      <c r="E62" s="16">
        <f t="shared" si="6"/>
        <v>5833.333333333333</v>
      </c>
      <c r="F62" s="16">
        <f t="shared" si="5"/>
        <v>5988.54</v>
      </c>
      <c r="G62" s="17">
        <f t="shared" si="1"/>
        <v>0.83492804590100422</v>
      </c>
      <c r="H62" s="18">
        <f>($T$52+C62*$T$53)*$T$63</f>
        <v>3643.2210551486287</v>
      </c>
      <c r="I62" s="19"/>
      <c r="J62" s="18">
        <f t="shared" si="2"/>
        <v>-1356.7789448513713</v>
      </c>
      <c r="K62" s="18">
        <f t="shared" si="3"/>
        <v>1356.7789448513713</v>
      </c>
      <c r="L62" s="18">
        <f>SUM($J$21:J62)</f>
        <v>-71682.305362139639</v>
      </c>
      <c r="M62" s="18">
        <f>SUMSQ($J$21:J62)/C62</f>
        <v>7494355.0170244593</v>
      </c>
      <c r="N62" s="18">
        <f>SUM($K$21:K62)/C62</f>
        <v>1965.0366257683165</v>
      </c>
      <c r="O62" s="18">
        <f t="shared" si="4"/>
        <v>27.135578897027422</v>
      </c>
      <c r="P62" s="18">
        <f>AVERAGE($O$21:O62)</f>
        <v>34.304462332732911</v>
      </c>
      <c r="Q62" s="20">
        <f>SUM($J$21:J62)/N62</f>
        <v>-36.478864781521473</v>
      </c>
      <c r="S62" s="49" t="s">
        <v>5</v>
      </c>
      <c r="T62" s="64">
        <v>0.63687715209738616</v>
      </c>
    </row>
    <row r="63" spans="1:27" x14ac:dyDescent="0.2">
      <c r="A63" s="15"/>
      <c r="B63" s="15" t="s">
        <v>7</v>
      </c>
      <c r="C63" s="39">
        <v>43</v>
      </c>
      <c r="D63" s="60">
        <f t="shared" si="9"/>
        <v>7500</v>
      </c>
      <c r="E63" s="16">
        <f t="shared" si="6"/>
        <v>5812.5</v>
      </c>
      <c r="F63" s="16">
        <f t="shared" si="5"/>
        <v>6027.46</v>
      </c>
      <c r="G63" s="17">
        <f t="shared" si="1"/>
        <v>1.2443052297319268</v>
      </c>
      <c r="H63" s="18">
        <f>($T$52+C63*$T$53)*$T$64</f>
        <v>3719.2844588615653</v>
      </c>
      <c r="I63" s="19"/>
      <c r="J63" s="18">
        <f t="shared" si="2"/>
        <v>-3780.7155411384347</v>
      </c>
      <c r="K63" s="18">
        <f t="shared" si="3"/>
        <v>3780.7155411384347</v>
      </c>
      <c r="L63" s="18">
        <f>SUM($J$21:J63)</f>
        <v>-75463.020903278069</v>
      </c>
      <c r="M63" s="18">
        <f>SUMSQ($J$21:J63)/C63</f>
        <v>7652481.8771635573</v>
      </c>
      <c r="N63" s="18">
        <f>SUM($K$21:K63)/C63</f>
        <v>2007.2617168234353</v>
      </c>
      <c r="O63" s="18">
        <f t="shared" si="4"/>
        <v>50.409540548512467</v>
      </c>
      <c r="P63" s="18">
        <f>AVERAGE($O$21:O63)</f>
        <v>34.678999035425456</v>
      </c>
      <c r="Q63" s="20">
        <f>SUM($J$21:J63)/N63</f>
        <v>-37.595008299516138</v>
      </c>
      <c r="S63" s="49" t="s">
        <v>6</v>
      </c>
      <c r="T63" s="64">
        <v>0.60836548727212791</v>
      </c>
    </row>
    <row r="64" spans="1:27" x14ac:dyDescent="0.2">
      <c r="A64" s="15"/>
      <c r="B64" s="15" t="s">
        <v>8</v>
      </c>
      <c r="C64" s="39">
        <v>44</v>
      </c>
      <c r="D64" s="60">
        <f t="shared" si="9"/>
        <v>9500</v>
      </c>
      <c r="E64" s="16">
        <f t="shared" si="6"/>
        <v>5791.666666666667</v>
      </c>
      <c r="F64" s="16">
        <f t="shared" si="5"/>
        <v>6066.3799999999992</v>
      </c>
      <c r="G64" s="17">
        <f t="shared" si="1"/>
        <v>1.5660080641173157</v>
      </c>
      <c r="H64" s="18">
        <f>($T$52+C64*$T$53)*$T$65</f>
        <v>3738.9621750795545</v>
      </c>
      <c r="I64" s="19"/>
      <c r="J64" s="18">
        <f t="shared" si="2"/>
        <v>-5761.0378249204459</v>
      </c>
      <c r="K64" s="18">
        <f t="shared" si="3"/>
        <v>5761.0378249204459</v>
      </c>
      <c r="L64" s="18">
        <f>SUM($J$21:J64)</f>
        <v>-81224.058728198521</v>
      </c>
      <c r="M64" s="18">
        <f>SUMSQ($J$21:J64)/C64</f>
        <v>8232869.944049933</v>
      </c>
      <c r="N64" s="18">
        <f>SUM($K$21:K64)/C64</f>
        <v>2092.5748101892768</v>
      </c>
      <c r="O64" s="18">
        <f t="shared" si="4"/>
        <v>60.64250342021522</v>
      </c>
      <c r="P64" s="18">
        <f>AVERAGE($O$21:O64)</f>
        <v>35.269078680534314</v>
      </c>
      <c r="Q64" s="20">
        <f>SUM($J$21:J64)/N64</f>
        <v>-38.815366759027206</v>
      </c>
      <c r="S64" s="49" t="s">
        <v>7</v>
      </c>
      <c r="T64" s="64">
        <v>0.61705668040295003</v>
      </c>
    </row>
    <row r="65" spans="1:20" x14ac:dyDescent="0.2">
      <c r="A65" s="15"/>
      <c r="B65" s="15" t="s">
        <v>9</v>
      </c>
      <c r="C65" s="39">
        <v>45</v>
      </c>
      <c r="D65" s="60">
        <f t="shared" si="9"/>
        <v>5000</v>
      </c>
      <c r="E65" s="16">
        <f t="shared" si="6"/>
        <v>5750</v>
      </c>
      <c r="F65" s="16">
        <f t="shared" si="5"/>
        <v>6105.2999999999993</v>
      </c>
      <c r="G65" s="17">
        <f t="shared" si="1"/>
        <v>0.81896057523790811</v>
      </c>
      <c r="H65" s="18">
        <f>($T$52+C65*$T$53)*$T$66</f>
        <v>3582.3487706465216</v>
      </c>
      <c r="I65" s="19"/>
      <c r="J65" s="18">
        <f t="shared" si="2"/>
        <v>-1417.6512293534784</v>
      </c>
      <c r="K65" s="18">
        <f t="shared" si="3"/>
        <v>1417.6512293534784</v>
      </c>
      <c r="L65" s="18">
        <f>SUM($J$21:J65)</f>
        <v>-82641.709957551997</v>
      </c>
      <c r="M65" s="18">
        <f>SUMSQ($J$21:J65)/C65</f>
        <v>8094578.0565841002</v>
      </c>
      <c r="N65" s="18">
        <f>SUM($K$21:K65)/C65</f>
        <v>2077.5765083929255</v>
      </c>
      <c r="O65" s="18">
        <f t="shared" si="4"/>
        <v>28.353024587069569</v>
      </c>
      <c r="P65" s="18">
        <f>AVERAGE($O$21:O65)</f>
        <v>35.115388589568433</v>
      </c>
      <c r="Q65" s="20">
        <f>SUM($J$21:J65)/N65</f>
        <v>-39.777938200445917</v>
      </c>
      <c r="S65" s="49" t="s">
        <v>8</v>
      </c>
      <c r="T65" s="64">
        <v>0.61634157027412639</v>
      </c>
    </row>
    <row r="66" spans="1:20" x14ac:dyDescent="0.2">
      <c r="A66" s="15"/>
      <c r="B66" s="15" t="s">
        <v>10</v>
      </c>
      <c r="C66" s="39">
        <v>46</v>
      </c>
      <c r="D66" s="60">
        <f t="shared" si="9"/>
        <v>3500</v>
      </c>
      <c r="E66" s="16">
        <f t="shared" si="6"/>
        <v>5770.833333333333</v>
      </c>
      <c r="F66" s="16">
        <f t="shared" si="5"/>
        <v>6144.2199999999993</v>
      </c>
      <c r="G66" s="17">
        <f t="shared" si="1"/>
        <v>0.56964106102971579</v>
      </c>
      <c r="H66" s="18">
        <f>($T$52+C66*$T$53)*$T$67</f>
        <v>3501.6603195525413</v>
      </c>
      <c r="I66" s="19"/>
      <c r="J66" s="18">
        <f t="shared" si="2"/>
        <v>1.6603195525412957</v>
      </c>
      <c r="K66" s="18">
        <f t="shared" si="3"/>
        <v>1.6603195525412957</v>
      </c>
      <c r="L66" s="18">
        <f>SUM($J$21:J66)</f>
        <v>-82640.049637999458</v>
      </c>
      <c r="M66" s="18">
        <f>SUMSQ($J$21:J66)/C66</f>
        <v>7918609.0283249021</v>
      </c>
      <c r="N66" s="18">
        <f>SUM($K$21:K66)/C66</f>
        <v>2032.4478955920476</v>
      </c>
      <c r="O66" s="18">
        <f t="shared" si="4"/>
        <v>4.7437701501179874E-2</v>
      </c>
      <c r="P66" s="18">
        <f>AVERAGE($O$21:O66)</f>
        <v>34.353041831132188</v>
      </c>
      <c r="Q66" s="20">
        <f>SUM($J$21:J66)/N66</f>
        <v>-40.660353368580004</v>
      </c>
      <c r="S66" s="49" t="s">
        <v>9</v>
      </c>
      <c r="T66" s="64">
        <v>0.58676048198229769</v>
      </c>
    </row>
    <row r="67" spans="1:20" x14ac:dyDescent="0.2">
      <c r="A67" s="15"/>
      <c r="B67" s="15" t="s">
        <v>11</v>
      </c>
      <c r="C67" s="39">
        <v>47</v>
      </c>
      <c r="D67" s="60">
        <f t="shared" si="9"/>
        <v>6500</v>
      </c>
      <c r="E67" s="16">
        <f t="shared" si="6"/>
        <v>5895.833333333333</v>
      </c>
      <c r="F67" s="16">
        <f t="shared" si="5"/>
        <v>6183.1399999999994</v>
      </c>
      <c r="G67" s="17">
        <f t="shared" si="1"/>
        <v>1.0512458071465309</v>
      </c>
      <c r="H67" s="18">
        <f>($T$52+C67*$T$53)*$T$68</f>
        <v>3375.0018288532851</v>
      </c>
      <c r="I67" s="19"/>
      <c r="J67" s="18">
        <f t="shared" si="2"/>
        <v>-3124.9981711467149</v>
      </c>
      <c r="K67" s="18">
        <f t="shared" si="3"/>
        <v>3124.9981711467149</v>
      </c>
      <c r="L67" s="18">
        <f>SUM($J$21:J67)</f>
        <v>-85765.04780914617</v>
      </c>
      <c r="M67" s="18">
        <f>SUMSQ($J$21:J67)/C67</f>
        <v>7957906.9972896986</v>
      </c>
      <c r="N67" s="18">
        <f>SUM($K$21:K67)/C67</f>
        <v>2055.6936461357636</v>
      </c>
      <c r="O67" s="18">
        <f t="shared" si="4"/>
        <v>48.076894940718688</v>
      </c>
      <c r="P67" s="18">
        <f>AVERAGE($O$21:O67)</f>
        <v>34.645038705804239</v>
      </c>
      <c r="Q67" s="20">
        <f>SUM($J$21:J67)/N67</f>
        <v>-41.720734006433766</v>
      </c>
      <c r="S67" s="49" t="s">
        <v>10</v>
      </c>
      <c r="T67" s="64">
        <v>0.56991128565587523</v>
      </c>
    </row>
    <row r="68" spans="1:20" x14ac:dyDescent="0.2">
      <c r="A68" s="15"/>
      <c r="B68" s="15" t="s">
        <v>12</v>
      </c>
      <c r="C68" s="39">
        <v>48</v>
      </c>
      <c r="D68" s="60">
        <f t="shared" si="9"/>
        <v>11000</v>
      </c>
      <c r="E68" s="16">
        <f t="shared" si="6"/>
        <v>6000</v>
      </c>
      <c r="F68" s="16">
        <f t="shared" si="5"/>
        <v>6222.0599999999995</v>
      </c>
      <c r="G68" s="17">
        <f t="shared" si="1"/>
        <v>1.7679032346200456</v>
      </c>
      <c r="H68" s="18">
        <f>($T$52+C68*$T$53)*$T$69</f>
        <v>3381.8590564103974</v>
      </c>
      <c r="I68" s="19"/>
      <c r="J68" s="18">
        <f t="shared" si="2"/>
        <v>-7618.1409435896021</v>
      </c>
      <c r="K68" s="18">
        <f t="shared" si="3"/>
        <v>7618.1409435896021</v>
      </c>
      <c r="L68" s="18">
        <f>SUM($J$21:J68)</f>
        <v>-93383.188752735776</v>
      </c>
      <c r="M68" s="18">
        <f>SUMSQ($J$21:J68)/C68</f>
        <v>9001202.0897710845</v>
      </c>
      <c r="N68" s="18">
        <f>SUM($K$21:K68)/C68</f>
        <v>2171.5779648327189</v>
      </c>
      <c r="O68" s="18">
        <f t="shared" si="4"/>
        <v>69.255826759905474</v>
      </c>
      <c r="P68" s="18">
        <f>AVERAGE($O$21:O68)</f>
        <v>35.366096790264677</v>
      </c>
      <c r="Q68" s="20">
        <f>SUM($J$21:J68)/N68</f>
        <v>-43.002457321365057</v>
      </c>
      <c r="S68" s="49" t="s">
        <v>11</v>
      </c>
      <c r="T68" s="64">
        <v>0.545839464875983</v>
      </c>
    </row>
    <row r="69" spans="1:20" x14ac:dyDescent="0.2">
      <c r="A69" s="15" t="s">
        <v>62</v>
      </c>
      <c r="B69" s="15" t="s">
        <v>1</v>
      </c>
      <c r="C69" s="39">
        <v>49</v>
      </c>
      <c r="D69" s="61">
        <f>G4</f>
        <v>7000</v>
      </c>
      <c r="E69" s="16">
        <f t="shared" si="6"/>
        <v>6062.5</v>
      </c>
      <c r="F69" s="16">
        <f t="shared" si="5"/>
        <v>6260.98</v>
      </c>
      <c r="G69" s="17">
        <f t="shared" si="1"/>
        <v>1.1180358346456944</v>
      </c>
      <c r="H69" s="18">
        <f>($T$52+C69*$T$53)*$T$58</f>
        <v>3819.1555578333896</v>
      </c>
      <c r="I69" s="19"/>
      <c r="J69" s="18">
        <f t="shared" si="2"/>
        <v>-3180.8444421666104</v>
      </c>
      <c r="K69" s="18">
        <f t="shared" si="3"/>
        <v>3180.8444421666104</v>
      </c>
      <c r="L69" s="18">
        <f>SUM($J$21:J69)</f>
        <v>-96564.033194902382</v>
      </c>
      <c r="M69" s="18">
        <f>SUMSQ($J$21:J69)/C69</f>
        <v>9023989.2178423312</v>
      </c>
      <c r="N69" s="18">
        <f>SUM($K$21:K69)/C69</f>
        <v>2192.1752398803492</v>
      </c>
      <c r="O69" s="18">
        <f t="shared" si="4"/>
        <v>45.440634888094436</v>
      </c>
      <c r="P69" s="18">
        <f>AVERAGE($O$21:O69)</f>
        <v>35.571699608587728</v>
      </c>
      <c r="Q69" s="20">
        <f>SUM($J$21:J69)/N69</f>
        <v>-44.049413312492725</v>
      </c>
      <c r="S69" s="49" t="s">
        <v>12</v>
      </c>
      <c r="T69" s="64">
        <v>0.54352723316882157</v>
      </c>
    </row>
    <row r="70" spans="1:20" x14ac:dyDescent="0.2">
      <c r="A70" s="15"/>
      <c r="B70" s="15" t="s">
        <v>2</v>
      </c>
      <c r="C70" s="39">
        <v>50</v>
      </c>
      <c r="D70" s="61">
        <f t="shared" ref="D70:D80" si="10">G5</f>
        <v>4000</v>
      </c>
      <c r="E70" s="16">
        <f t="shared" si="6"/>
        <v>6104.166666666667</v>
      </c>
      <c r="F70" s="16">
        <f t="shared" si="5"/>
        <v>6299.9</v>
      </c>
      <c r="G70" s="17">
        <f t="shared" si="1"/>
        <v>0.63493071318592365</v>
      </c>
      <c r="H70" s="18">
        <f>($T$52+C70*$T$53)*$T$59</f>
        <v>3815.0727106387494</v>
      </c>
      <c r="I70" s="19"/>
      <c r="J70" s="18">
        <f t="shared" si="2"/>
        <v>-184.92728936125059</v>
      </c>
      <c r="K70" s="18">
        <f t="shared" si="3"/>
        <v>184.92728936125059</v>
      </c>
      <c r="L70" s="18">
        <f>SUM($J$21:J70)</f>
        <v>-96748.960484263633</v>
      </c>
      <c r="M70" s="18">
        <f>SUMSQ($J$21:J70)/C70</f>
        <v>8844193.3955324944</v>
      </c>
      <c r="N70" s="18">
        <f>SUM($K$21:K70)/C70</f>
        <v>2152.0302808699671</v>
      </c>
      <c r="O70" s="18">
        <f t="shared" si="4"/>
        <v>4.6231822340312645</v>
      </c>
      <c r="P70" s="18">
        <f>AVERAGE($O$21:O70)</f>
        <v>34.9527292610966</v>
      </c>
      <c r="Q70" s="20">
        <f>SUM($J$21:J70)/N70</f>
        <v>-44.957062799856359</v>
      </c>
      <c r="S70" s="36" t="s">
        <v>87</v>
      </c>
      <c r="T70" s="63">
        <v>0.59744857186819189</v>
      </c>
    </row>
    <row r="71" spans="1:20" x14ac:dyDescent="0.2">
      <c r="A71" s="15"/>
      <c r="B71" s="15" t="s">
        <v>3</v>
      </c>
      <c r="C71" s="39">
        <v>51</v>
      </c>
      <c r="D71" s="61">
        <f t="shared" si="10"/>
        <v>3000</v>
      </c>
      <c r="E71" s="16">
        <f t="shared" si="6"/>
        <v>6104.166666666667</v>
      </c>
      <c r="F71" s="16">
        <f t="shared" si="5"/>
        <v>6338.82</v>
      </c>
      <c r="G71" s="17">
        <f t="shared" si="1"/>
        <v>0.47327420560924588</v>
      </c>
      <c r="H71" s="18">
        <f>($T$52+C71*$T$53)*$T$60</f>
        <v>3872.5353032601624</v>
      </c>
      <c r="I71" s="19"/>
      <c r="J71" s="18">
        <f t="shared" si="2"/>
        <v>872.53530326016244</v>
      </c>
      <c r="K71" s="18">
        <f t="shared" si="3"/>
        <v>872.53530326016244</v>
      </c>
      <c r="L71" s="18">
        <f>SUM($J$21:J71)</f>
        <v>-95876.425181003477</v>
      </c>
      <c r="M71" s="18">
        <f>SUMSQ($J$21:J71)/C71</f>
        <v>8685705.6398443151</v>
      </c>
      <c r="N71" s="18">
        <f>SUM($K$21:K71)/C71</f>
        <v>2126.9421440540887</v>
      </c>
      <c r="O71" s="18">
        <f t="shared" si="4"/>
        <v>29.084510108672077</v>
      </c>
      <c r="P71" s="18">
        <f>AVERAGE($O$21:O71)</f>
        <v>34.837666140460826</v>
      </c>
      <c r="Q71" s="20">
        <f>SUM($J$21:J71)/N71</f>
        <v>-45.07711949242627</v>
      </c>
    </row>
    <row r="72" spans="1:20" x14ac:dyDescent="0.2">
      <c r="A72" s="15"/>
      <c r="B72" s="15" t="s">
        <v>4</v>
      </c>
      <c r="C72" s="39">
        <v>52</v>
      </c>
      <c r="D72" s="61">
        <f t="shared" si="10"/>
        <v>3500</v>
      </c>
      <c r="E72" s="16">
        <f t="shared" si="6"/>
        <v>6187.5</v>
      </c>
      <c r="F72" s="16">
        <f t="shared" si="5"/>
        <v>6377.74</v>
      </c>
      <c r="G72" s="17">
        <f t="shared" si="1"/>
        <v>0.54878373844026251</v>
      </c>
      <c r="H72" s="18">
        <f>($T$52+C72*$T$53)*$T$61</f>
        <v>3942.7817177292891</v>
      </c>
      <c r="I72" s="19"/>
      <c r="J72" s="18">
        <f t="shared" si="2"/>
        <v>442.78171772928908</v>
      </c>
      <c r="K72" s="18">
        <f t="shared" si="3"/>
        <v>442.78171772928908</v>
      </c>
      <c r="L72" s="18">
        <f>SUM($J$21:J72)</f>
        <v>-95433.643463274188</v>
      </c>
      <c r="M72" s="18">
        <f>SUMSQ($J$21:J72)/C72</f>
        <v>8522443.1400310658</v>
      </c>
      <c r="N72" s="18">
        <f>SUM($K$21:K72)/C72</f>
        <v>2094.5544435478423</v>
      </c>
      <c r="O72" s="18">
        <f t="shared" si="4"/>
        <v>12.650906220836831</v>
      </c>
      <c r="P72" s="18">
        <f>AVERAGE($O$21:O72)</f>
        <v>34.410997680468057</v>
      </c>
      <c r="Q72" s="20">
        <f>SUM($J$21:J72)/N72</f>
        <v>-45.562741879186852</v>
      </c>
    </row>
    <row r="73" spans="1:20" x14ac:dyDescent="0.2">
      <c r="A73" s="15"/>
      <c r="B73" s="15" t="s">
        <v>5</v>
      </c>
      <c r="C73" s="39">
        <v>53</v>
      </c>
      <c r="D73" s="61">
        <f t="shared" si="10"/>
        <v>6000</v>
      </c>
      <c r="E73" s="16">
        <f t="shared" si="6"/>
        <v>6354.166666666667</v>
      </c>
      <c r="F73" s="16">
        <f t="shared" si="5"/>
        <v>6416.66</v>
      </c>
      <c r="G73" s="17">
        <f t="shared" si="1"/>
        <v>0.93506590656198085</v>
      </c>
      <c r="H73" s="18">
        <f>($T$52+C73*$T$53)*$T$62</f>
        <v>4086.6241467772138</v>
      </c>
      <c r="I73" s="19"/>
      <c r="J73" s="18">
        <f t="shared" si="2"/>
        <v>-1913.3758532227862</v>
      </c>
      <c r="K73" s="18">
        <f t="shared" si="3"/>
        <v>1913.3758532227862</v>
      </c>
      <c r="L73" s="18">
        <f>SUM($J$21:J73)</f>
        <v>-97347.019316496968</v>
      </c>
      <c r="M73" s="18">
        <f>SUMSQ($J$21:J73)/C73</f>
        <v>8430717.9327794611</v>
      </c>
      <c r="N73" s="18">
        <f>SUM($K$21:K73)/C73</f>
        <v>2091.1359795794451</v>
      </c>
      <c r="O73" s="18">
        <f t="shared" si="4"/>
        <v>31.889597553713102</v>
      </c>
      <c r="P73" s="18">
        <f>AVERAGE($O$21:O73)</f>
        <v>34.363424093170792</v>
      </c>
      <c r="Q73" s="20">
        <f>SUM($J$21:J73)/N73</f>
        <v>-46.552218634808597</v>
      </c>
    </row>
    <row r="74" spans="1:20" x14ac:dyDescent="0.2">
      <c r="A74" s="15"/>
      <c r="B74" s="15" t="s">
        <v>6</v>
      </c>
      <c r="C74" s="39">
        <v>54</v>
      </c>
      <c r="D74" s="61">
        <f t="shared" si="10"/>
        <v>6000</v>
      </c>
      <c r="E74" s="16">
        <f t="shared" si="6"/>
        <v>6291.666666666667</v>
      </c>
      <c r="F74" s="16">
        <f t="shared" si="5"/>
        <v>6455.58</v>
      </c>
      <c r="G74" s="17">
        <f t="shared" si="1"/>
        <v>0.92942849441878195</v>
      </c>
      <c r="H74" s="18">
        <f>($T$52+C74*$T$53)*$T$63</f>
        <v>3927.3520723242036</v>
      </c>
      <c r="I74" s="19"/>
      <c r="J74" s="18">
        <f t="shared" si="2"/>
        <v>-2072.6479276757964</v>
      </c>
      <c r="K74" s="18">
        <f t="shared" si="3"/>
        <v>2072.6479276757964</v>
      </c>
      <c r="L74" s="18">
        <f>SUM($J$21:J74)</f>
        <v>-99419.667244172771</v>
      </c>
      <c r="M74" s="18">
        <f>SUMSQ($J$21:J74)/C74</f>
        <v>8354146.6642483361</v>
      </c>
      <c r="N74" s="18">
        <f>SUM($K$21:K74)/C74</f>
        <v>2090.7936082478959</v>
      </c>
      <c r="O74" s="18">
        <f t="shared" si="4"/>
        <v>34.544132127929942</v>
      </c>
      <c r="P74" s="18">
        <f>AVERAGE($O$21:O74)</f>
        <v>34.366770538258926</v>
      </c>
      <c r="Q74" s="20">
        <f>SUM($J$21:J74)/N74</f>
        <v>-47.551162798650104</v>
      </c>
    </row>
    <row r="75" spans="1:20" x14ac:dyDescent="0.2">
      <c r="A75" s="15"/>
      <c r="B75" s="15" t="s">
        <v>7</v>
      </c>
      <c r="C75" s="39">
        <v>55</v>
      </c>
      <c r="D75" s="61">
        <f t="shared" si="10"/>
        <v>8000</v>
      </c>
      <c r="E75" s="16"/>
      <c r="F75" s="16">
        <f t="shared" si="5"/>
        <v>6494.5</v>
      </c>
      <c r="G75" s="17">
        <f t="shared" si="1"/>
        <v>1.2318115328354762</v>
      </c>
      <c r="H75" s="18">
        <f>($T$52+C75*$T$53)*$T$64</f>
        <v>4007.4746108769591</v>
      </c>
      <c r="I75" s="19"/>
      <c r="J75" s="18">
        <f t="shared" si="2"/>
        <v>-3992.5253891230409</v>
      </c>
      <c r="K75" s="18">
        <f t="shared" si="3"/>
        <v>3992.5253891230409</v>
      </c>
      <c r="L75" s="18">
        <f>SUM($J$21:J75)</f>
        <v>-103412.19263329581</v>
      </c>
      <c r="M75" s="18">
        <f>SUMSQ($J$21:J75)/C75</f>
        <v>8492075.9791309498</v>
      </c>
      <c r="N75" s="18">
        <f>SUM($K$21:K75)/C75</f>
        <v>2125.3705497183532</v>
      </c>
      <c r="O75" s="18">
        <f t="shared" si="4"/>
        <v>49.906567364038011</v>
      </c>
      <c r="P75" s="18">
        <f>AVERAGE($O$21:O75)</f>
        <v>34.649312298727637</v>
      </c>
      <c r="Q75" s="20">
        <f>SUM($J$21:J75)/N75</f>
        <v>-48.656076770706939</v>
      </c>
    </row>
    <row r="76" spans="1:20" x14ac:dyDescent="0.2">
      <c r="A76" s="15"/>
      <c r="B76" s="15" t="s">
        <v>8</v>
      </c>
      <c r="C76" s="39">
        <v>56</v>
      </c>
      <c r="D76" s="61">
        <f t="shared" si="10"/>
        <v>10000</v>
      </c>
      <c r="E76" s="16"/>
      <c r="F76" s="16">
        <f t="shared" si="5"/>
        <v>6533.42</v>
      </c>
      <c r="G76" s="17">
        <f t="shared" si="1"/>
        <v>1.5305919411273115</v>
      </c>
      <c r="H76" s="18">
        <f>($T$52+C76*$T$53)*$T$65</f>
        <v>4026.8183420603827</v>
      </c>
      <c r="I76" s="19"/>
      <c r="J76" s="18">
        <f t="shared" si="2"/>
        <v>-5973.1816579396173</v>
      </c>
      <c r="K76" s="18">
        <f t="shared" si="3"/>
        <v>5973.1816579396173</v>
      </c>
      <c r="L76" s="18">
        <f>SUM($J$21:J76)</f>
        <v>-109385.37429123542</v>
      </c>
      <c r="M76" s="18">
        <f>SUMSQ($J$21:J76)/C76</f>
        <v>8977554.9637669381</v>
      </c>
      <c r="N76" s="18">
        <f>SUM($K$21:K76)/C76</f>
        <v>2194.0814623651613</v>
      </c>
      <c r="O76" s="18">
        <f t="shared" si="4"/>
        <v>59.731816579396167</v>
      </c>
      <c r="P76" s="18">
        <f>AVERAGE($O$21:O76)</f>
        <v>35.09721416088243</v>
      </c>
      <c r="Q76" s="20">
        <f>SUM($J$21:J76)/N76</f>
        <v>-49.854746128396208</v>
      </c>
    </row>
    <row r="77" spans="1:20" x14ac:dyDescent="0.2">
      <c r="A77" s="15"/>
      <c r="B77" s="15" t="s">
        <v>9</v>
      </c>
      <c r="C77" s="39">
        <v>57</v>
      </c>
      <c r="D77" s="61">
        <f t="shared" si="10"/>
        <v>4500</v>
      </c>
      <c r="E77" s="16"/>
      <c r="F77" s="16">
        <f t="shared" si="5"/>
        <v>6572.34</v>
      </c>
      <c r="G77" s="17">
        <f t="shared" si="1"/>
        <v>0.68468764549612471</v>
      </c>
      <c r="H77" s="18">
        <f>($T$52+C77*$T$53)*$T$66</f>
        <v>3856.3893861515344</v>
      </c>
      <c r="I77" s="19"/>
      <c r="J77" s="18">
        <f t="shared" si="2"/>
        <v>-643.61061384846562</v>
      </c>
      <c r="K77" s="18">
        <f t="shared" si="3"/>
        <v>643.61061384846562</v>
      </c>
      <c r="L77" s="18">
        <f>SUM($J$21:J77)</f>
        <v>-110028.98490508388</v>
      </c>
      <c r="M77" s="18">
        <f>SUMSQ($J$21:J77)/C77</f>
        <v>8827321.2735650335</v>
      </c>
      <c r="N77" s="18">
        <f>SUM($K$21:K77)/C77</f>
        <v>2166.880219408728</v>
      </c>
      <c r="O77" s="18">
        <f t="shared" si="4"/>
        <v>14.302458085521458</v>
      </c>
      <c r="P77" s="18">
        <f>AVERAGE($O$21:O77)</f>
        <v>34.732393878858552</v>
      </c>
      <c r="Q77" s="20">
        <f>SUM($J$21:J77)/N77</f>
        <v>-50.777603634734945</v>
      </c>
    </row>
    <row r="78" spans="1:20" x14ac:dyDescent="0.2">
      <c r="A78" s="15"/>
      <c r="B78" s="15" t="s">
        <v>10</v>
      </c>
      <c r="C78" s="39">
        <v>58</v>
      </c>
      <c r="D78" s="61">
        <f t="shared" si="10"/>
        <v>6000</v>
      </c>
      <c r="E78" s="16"/>
      <c r="F78" s="16">
        <f t="shared" si="5"/>
        <v>6611.26</v>
      </c>
      <c r="G78" s="17">
        <f t="shared" si="1"/>
        <v>0.90754258643586849</v>
      </c>
      <c r="H78" s="18">
        <f>($T$52+C78*$T$53)*$T$67</f>
        <v>3767.8316864052617</v>
      </c>
      <c r="I78" s="19"/>
      <c r="J78" s="18">
        <f t="shared" si="2"/>
        <v>-2232.1683135947383</v>
      </c>
      <c r="K78" s="18">
        <f t="shared" si="3"/>
        <v>2232.1683135947383</v>
      </c>
      <c r="L78" s="18">
        <f>SUM($J$21:J78)</f>
        <v>-112261.15321867862</v>
      </c>
      <c r="M78" s="18">
        <f>SUMSQ($J$21:J78)/C78</f>
        <v>8761032.5512659196</v>
      </c>
      <c r="N78" s="18">
        <f>SUM($K$21:K78)/C78</f>
        <v>2168.0058762050385</v>
      </c>
      <c r="O78" s="18">
        <f t="shared" si="4"/>
        <v>37.202805226578974</v>
      </c>
      <c r="P78" s="18">
        <f>AVERAGE($O$21:O78)</f>
        <v>34.774987177957179</v>
      </c>
      <c r="Q78" s="20">
        <f>SUM($J$21:J78)/N78</f>
        <v>-51.780834383707898</v>
      </c>
    </row>
    <row r="79" spans="1:20" x14ac:dyDescent="0.2">
      <c r="A79" s="15"/>
      <c r="B79" s="15" t="s">
        <v>11</v>
      </c>
      <c r="C79" s="39">
        <v>59</v>
      </c>
      <c r="D79" s="61">
        <f t="shared" si="10"/>
        <v>8000</v>
      </c>
      <c r="E79" s="16"/>
      <c r="F79" s="16">
        <f t="shared" si="5"/>
        <v>6650.18</v>
      </c>
      <c r="G79" s="17">
        <f t="shared" si="1"/>
        <v>1.2029749570688311</v>
      </c>
      <c r="H79" s="18">
        <f>($T$52+C79*$T$53)*$T$68</f>
        <v>3629.9306925289648</v>
      </c>
      <c r="I79" s="19"/>
      <c r="J79" s="18">
        <f t="shared" si="2"/>
        <v>-4370.0693074710352</v>
      </c>
      <c r="K79" s="18">
        <f t="shared" si="3"/>
        <v>4370.0693074710352</v>
      </c>
      <c r="L79" s="18">
        <f>SUM($J$21:J79)</f>
        <v>-116631.22252614965</v>
      </c>
      <c r="M79" s="18">
        <f>SUMSQ($J$21:J79)/C79</f>
        <v>8936227.0122970119</v>
      </c>
      <c r="N79" s="18">
        <f>SUM($K$21:K79)/C79</f>
        <v>2205.3289852095468</v>
      </c>
      <c r="O79" s="18">
        <f t="shared" si="4"/>
        <v>54.625866343387941</v>
      </c>
      <c r="P79" s="18">
        <f>AVERAGE($O$21:O79)</f>
        <v>35.111442757032279</v>
      </c>
      <c r="Q79" s="20">
        <f>SUM($J$21:J79)/N79</f>
        <v>-52.886087884555486</v>
      </c>
    </row>
    <row r="80" spans="1:20" ht="13.5" thickBot="1" x14ac:dyDescent="0.25">
      <c r="A80" s="15"/>
      <c r="B80" s="22" t="s">
        <v>12</v>
      </c>
      <c r="C80" s="40">
        <v>60</v>
      </c>
      <c r="D80" s="61">
        <f t="shared" si="10"/>
        <v>8000</v>
      </c>
      <c r="E80" s="23"/>
      <c r="F80" s="16">
        <f t="shared" si="5"/>
        <v>6689.1</v>
      </c>
      <c r="G80" s="24">
        <f t="shared" si="1"/>
        <v>1.1959755423001599</v>
      </c>
      <c r="H80" s="18">
        <f>($T$52+C80*$T$53)*$T$69</f>
        <v>3635.7080153895645</v>
      </c>
      <c r="I80" s="19"/>
      <c r="J80" s="25">
        <f t="shared" si="2"/>
        <v>-4364.291984610436</v>
      </c>
      <c r="K80" s="25">
        <f t="shared" si="3"/>
        <v>4364.291984610436</v>
      </c>
      <c r="L80" s="25">
        <f>SUM($J$21:J80)</f>
        <v>-120995.51451076008</v>
      </c>
      <c r="M80" s="25">
        <f>SUMSQ($J$21:J80)/C80</f>
        <v>9104740.6375409756</v>
      </c>
      <c r="N80" s="18">
        <f>SUM($K$21:K80)/C80</f>
        <v>2241.3117018662283</v>
      </c>
      <c r="O80" s="25">
        <f t="shared" si="4"/>
        <v>54.553649807630443</v>
      </c>
      <c r="P80" s="25">
        <f>AVERAGE($O$21:O80)</f>
        <v>35.435479541208913</v>
      </c>
      <c r="Q80" s="26">
        <f>SUM($J$21:J80)/N80</f>
        <v>-53.984242535303395</v>
      </c>
    </row>
    <row r="81" spans="1:18" ht="13.5" thickBot="1" x14ac:dyDescent="0.25">
      <c r="A81" s="47" t="s">
        <v>63</v>
      </c>
      <c r="B81" s="15" t="s">
        <v>1</v>
      </c>
      <c r="C81" s="41">
        <v>61</v>
      </c>
      <c r="F81" s="28" t="s">
        <v>47</v>
      </c>
      <c r="G81" s="29"/>
      <c r="H81" s="57">
        <f>($T$52+C81*$T$53)*$T$58</f>
        <v>4104.0468067641496</v>
      </c>
      <c r="I81" s="30"/>
      <c r="J81" s="30"/>
      <c r="K81" s="30"/>
      <c r="L81" s="30"/>
      <c r="M81" s="34" t="s">
        <v>54</v>
      </c>
      <c r="N81" s="35">
        <f>N80*1.25</f>
        <v>2801.6396273327855</v>
      </c>
      <c r="O81" s="30"/>
      <c r="P81" s="30"/>
      <c r="Q81" s="31"/>
      <c r="R81" s="32"/>
    </row>
    <row r="82" spans="1:18" x14ac:dyDescent="0.2">
      <c r="A82" s="27"/>
      <c r="B82" s="15" t="s">
        <v>2</v>
      </c>
      <c r="C82" s="42">
        <v>62</v>
      </c>
      <c r="G82" s="29"/>
      <c r="H82" s="57">
        <f>($T$52+C82*$T$53)*$T$59</f>
        <v>4097.90125692944</v>
      </c>
      <c r="I82" s="30"/>
      <c r="J82" s="30"/>
      <c r="K82" s="30"/>
      <c r="L82" s="30"/>
      <c r="M82" s="30"/>
      <c r="N82" s="30"/>
      <c r="O82" s="30"/>
      <c r="P82" s="30"/>
      <c r="Q82" s="31"/>
      <c r="R82" s="32"/>
    </row>
    <row r="83" spans="1:18" x14ac:dyDescent="0.2">
      <c r="A83" s="27"/>
      <c r="B83" s="15" t="s">
        <v>3</v>
      </c>
      <c r="C83" s="42">
        <v>63</v>
      </c>
      <c r="G83" s="29"/>
      <c r="H83" s="57">
        <f>($T$52+C83*$T$53)*$T$60</f>
        <v>4157.8611033356701</v>
      </c>
      <c r="I83" s="30"/>
      <c r="J83" s="30"/>
      <c r="K83" s="30"/>
      <c r="L83" s="30"/>
      <c r="M83" s="30"/>
      <c r="N83" s="30"/>
      <c r="O83" s="30"/>
      <c r="P83" s="30"/>
      <c r="Q83" s="31"/>
      <c r="R83" s="32"/>
    </row>
    <row r="84" spans="1:18" x14ac:dyDescent="0.2">
      <c r="A84" s="27"/>
      <c r="B84" s="15" t="s">
        <v>4</v>
      </c>
      <c r="C84" s="42">
        <v>64</v>
      </c>
      <c r="G84" s="29"/>
      <c r="H84" s="57">
        <f>($T$52+C84*$T$53)*$T$61</f>
        <v>4231.5104481962398</v>
      </c>
      <c r="I84" s="30"/>
      <c r="J84" s="30"/>
      <c r="K84" s="30"/>
      <c r="L84" s="30"/>
      <c r="M84" s="30"/>
      <c r="N84" s="30"/>
      <c r="O84" s="30"/>
      <c r="P84" s="30"/>
      <c r="Q84" s="31"/>
      <c r="R84" s="32"/>
    </row>
    <row r="85" spans="1:18" x14ac:dyDescent="0.2">
      <c r="A85" s="27"/>
      <c r="B85" s="15" t="s">
        <v>5</v>
      </c>
      <c r="C85" s="42">
        <v>65</v>
      </c>
      <c r="G85" s="29"/>
      <c r="H85" s="57">
        <f>($T$52+C85*$T$53)*$T$62</f>
        <v>4384.0712518927767</v>
      </c>
      <c r="I85" s="30"/>
      <c r="J85" s="30"/>
      <c r="K85" s="30"/>
      <c r="L85" s="30"/>
      <c r="M85" s="30"/>
      <c r="N85" s="30"/>
      <c r="O85" s="30"/>
      <c r="P85" s="30"/>
      <c r="Q85" s="31"/>
      <c r="R85" s="32"/>
    </row>
    <row r="86" spans="1:18" x14ac:dyDescent="0.2">
      <c r="A86" s="27"/>
      <c r="B86" s="15" t="s">
        <v>6</v>
      </c>
      <c r="C86" s="42">
        <v>66</v>
      </c>
      <c r="G86" s="29"/>
      <c r="H86" s="57">
        <f>($T$52+C86*$T$53)*$T$63</f>
        <v>4211.4830894997776</v>
      </c>
      <c r="I86" s="30"/>
      <c r="J86" s="30"/>
      <c r="K86" s="30"/>
      <c r="L86" s="30"/>
      <c r="M86" s="30"/>
      <c r="N86" s="30"/>
      <c r="O86" s="30"/>
      <c r="P86" s="30"/>
      <c r="Q86" s="31"/>
      <c r="R86" s="32"/>
    </row>
    <row r="87" spans="1:18" x14ac:dyDescent="0.2">
      <c r="A87" s="27"/>
      <c r="B87" s="15" t="s">
        <v>7</v>
      </c>
      <c r="C87" s="42">
        <v>67</v>
      </c>
      <c r="G87" s="29"/>
      <c r="H87" s="57">
        <f>($T$52+C87*$T$53)*$T$64</f>
        <v>4295.6647628923529</v>
      </c>
      <c r="I87" s="30"/>
      <c r="J87" s="30"/>
      <c r="K87" s="30"/>
      <c r="L87" s="30"/>
      <c r="M87" s="30"/>
      <c r="N87" s="30"/>
      <c r="O87" s="30"/>
      <c r="P87" s="30"/>
      <c r="Q87" s="31"/>
      <c r="R87" s="32"/>
    </row>
    <row r="88" spans="1:18" x14ac:dyDescent="0.2">
      <c r="A88" s="27"/>
      <c r="B88" s="15" t="s">
        <v>8</v>
      </c>
      <c r="C88" s="42">
        <v>68</v>
      </c>
      <c r="G88" s="29"/>
      <c r="H88" s="57">
        <f>($T$52+C88*$T$53)*$T$65</f>
        <v>4314.6745090412105</v>
      </c>
      <c r="I88" s="30"/>
      <c r="J88" s="30"/>
      <c r="K88" s="30"/>
      <c r="L88" s="30"/>
      <c r="M88" s="30"/>
      <c r="N88" s="30"/>
      <c r="O88" s="30"/>
      <c r="P88" s="30"/>
      <c r="Q88" s="31"/>
      <c r="R88" s="32"/>
    </row>
    <row r="89" spans="1:18" x14ac:dyDescent="0.2">
      <c r="A89" s="27"/>
      <c r="B89" s="15" t="s">
        <v>9</v>
      </c>
      <c r="C89" s="42">
        <v>69</v>
      </c>
      <c r="G89" s="29"/>
      <c r="H89" s="57">
        <f>($T$52+C89*$T$53)*$T$66</f>
        <v>4130.4300016565467</v>
      </c>
      <c r="I89" s="30"/>
      <c r="J89" s="30"/>
      <c r="K89" s="30"/>
      <c r="L89" s="30"/>
      <c r="M89" s="30"/>
      <c r="N89" s="30"/>
      <c r="O89" s="30"/>
      <c r="P89" s="30"/>
      <c r="Q89" s="31"/>
      <c r="R89" s="32"/>
    </row>
    <row r="90" spans="1:18" x14ac:dyDescent="0.2">
      <c r="A90" s="27"/>
      <c r="B90" s="15" t="s">
        <v>10</v>
      </c>
      <c r="C90" s="42">
        <v>70</v>
      </c>
      <c r="G90" s="29"/>
      <c r="H90" s="57">
        <f>($T$52+C90*$T$53)*$T$67</f>
        <v>4034.0030532579813</v>
      </c>
      <c r="I90" s="30"/>
      <c r="J90" s="30"/>
      <c r="K90" s="30"/>
      <c r="L90" s="30"/>
      <c r="M90" s="30"/>
      <c r="N90" s="30"/>
      <c r="O90" s="30"/>
      <c r="P90" s="30"/>
      <c r="Q90" s="31"/>
      <c r="R90" s="32"/>
    </row>
    <row r="91" spans="1:18" x14ac:dyDescent="0.2">
      <c r="A91" s="27"/>
      <c r="B91" s="15" t="s">
        <v>11</v>
      </c>
      <c r="C91" s="42">
        <v>71</v>
      </c>
      <c r="H91" s="57">
        <f>($T$52+C91*$T$53)*$T$68</f>
        <v>3884.8595562046435</v>
      </c>
      <c r="I91" s="30"/>
      <c r="J91" s="30"/>
      <c r="K91" s="30"/>
      <c r="L91" s="30"/>
      <c r="M91" s="30"/>
      <c r="N91" s="30"/>
      <c r="O91" s="30"/>
      <c r="P91" s="30"/>
      <c r="Q91" s="31"/>
      <c r="R91" s="32"/>
    </row>
    <row r="92" spans="1:18" x14ac:dyDescent="0.2">
      <c r="A92" s="27"/>
      <c r="B92" s="22" t="s">
        <v>12</v>
      </c>
      <c r="C92" s="43">
        <v>72</v>
      </c>
      <c r="H92" s="57">
        <f>($T$52+C92*$T$53)*$T$69</f>
        <v>3889.5569743687306</v>
      </c>
      <c r="I92" s="30"/>
      <c r="J92" s="30"/>
      <c r="K92" s="30"/>
      <c r="L92" s="30"/>
      <c r="M92" s="30"/>
      <c r="N92" s="30"/>
      <c r="O92" s="30"/>
      <c r="P92" s="30"/>
      <c r="Q92" s="31"/>
      <c r="R92" s="32"/>
    </row>
    <row r="93" spans="1:18" x14ac:dyDescent="0.2">
      <c r="C93" s="44"/>
      <c r="I93" s="32"/>
      <c r="J93" s="32"/>
      <c r="K93" s="32"/>
      <c r="L93" s="32"/>
      <c r="M93" s="32"/>
      <c r="N93" s="32"/>
      <c r="O93" s="32"/>
      <c r="P93" s="32"/>
      <c r="Q93" s="33"/>
      <c r="R93" s="32"/>
    </row>
    <row r="94" spans="1:18" x14ac:dyDescent="0.2">
      <c r="C94" s="44"/>
      <c r="I94" s="32"/>
      <c r="J94" s="32"/>
      <c r="K94" s="32"/>
      <c r="L94" s="32"/>
      <c r="M94" s="32"/>
      <c r="N94" s="32"/>
      <c r="O94" s="32"/>
      <c r="P94" s="32"/>
      <c r="Q94" s="33"/>
      <c r="R94" s="32"/>
    </row>
    <row r="95" spans="1:18" x14ac:dyDescent="0.2">
      <c r="C95" s="44"/>
      <c r="I95" s="32"/>
      <c r="J95" s="32"/>
      <c r="K95" s="32"/>
      <c r="L95" s="32"/>
      <c r="M95" s="32"/>
      <c r="N95" s="32"/>
      <c r="O95" s="32"/>
      <c r="P95" s="32"/>
      <c r="Q95" s="33"/>
      <c r="R95" s="32"/>
    </row>
    <row r="96" spans="1:18" x14ac:dyDescent="0.2">
      <c r="C96" s="44"/>
      <c r="I96" s="32"/>
      <c r="J96" s="32"/>
      <c r="K96" s="32"/>
      <c r="L96" s="32"/>
      <c r="M96" s="32"/>
      <c r="N96" s="32"/>
      <c r="O96" s="32"/>
      <c r="P96" s="32"/>
      <c r="Q96" s="33"/>
      <c r="R96" s="32"/>
    </row>
    <row r="97" spans="9:18" x14ac:dyDescent="0.2">
      <c r="I97" s="32"/>
      <c r="J97" s="32"/>
      <c r="K97" s="32"/>
      <c r="L97" s="32"/>
      <c r="M97" s="32"/>
      <c r="N97" s="32"/>
      <c r="O97" s="32"/>
      <c r="P97" s="32"/>
      <c r="Q97" s="33"/>
      <c r="R97" s="32"/>
    </row>
    <row r="98" spans="9:18" x14ac:dyDescent="0.2">
      <c r="I98" s="32"/>
      <c r="J98" s="32"/>
      <c r="K98" s="32"/>
      <c r="L98" s="32"/>
      <c r="M98" s="32"/>
      <c r="N98" s="32"/>
      <c r="O98" s="32"/>
      <c r="P98" s="32"/>
      <c r="Q98" s="33"/>
      <c r="R98" s="32"/>
    </row>
    <row r="99" spans="9:18" x14ac:dyDescent="0.2">
      <c r="I99" s="32"/>
      <c r="J99" s="32"/>
      <c r="K99" s="32"/>
      <c r="L99" s="32"/>
      <c r="M99" s="32"/>
      <c r="N99" s="32"/>
      <c r="O99" s="32"/>
      <c r="P99" s="32"/>
      <c r="Q99" s="33"/>
      <c r="R99" s="32"/>
    </row>
    <row r="100" spans="9:18" x14ac:dyDescent="0.2">
      <c r="I100" s="32"/>
      <c r="J100" s="32"/>
      <c r="K100" s="32"/>
      <c r="L100" s="32"/>
      <c r="M100" s="32"/>
      <c r="N100" s="32"/>
      <c r="O100" s="32"/>
      <c r="P100" s="32"/>
      <c r="Q100" s="33"/>
      <c r="R100" s="32"/>
    </row>
    <row r="101" spans="9:18" x14ac:dyDescent="0.2">
      <c r="I101" s="32"/>
      <c r="J101" s="32"/>
      <c r="K101" s="32"/>
      <c r="L101" s="32"/>
      <c r="M101" s="32"/>
      <c r="N101" s="32"/>
      <c r="O101" s="32"/>
      <c r="P101" s="32"/>
      <c r="Q101" s="33"/>
      <c r="R101" s="32"/>
    </row>
    <row r="102" spans="9:18" x14ac:dyDescent="0.2">
      <c r="I102" s="32"/>
      <c r="J102" s="32"/>
      <c r="K102" s="32"/>
      <c r="L102" s="32"/>
      <c r="M102" s="32"/>
      <c r="N102" s="32"/>
      <c r="O102" s="32"/>
      <c r="P102" s="32"/>
      <c r="Q102" s="33"/>
      <c r="R102" s="32"/>
    </row>
    <row r="103" spans="9:18" x14ac:dyDescent="0.2">
      <c r="I103" s="32"/>
      <c r="J103" s="32"/>
      <c r="K103" s="32"/>
      <c r="L103" s="32"/>
      <c r="M103" s="32"/>
      <c r="N103" s="32"/>
      <c r="O103" s="32"/>
      <c r="P103" s="32"/>
      <c r="Q103" s="33"/>
      <c r="R103" s="32"/>
    </row>
    <row r="104" spans="9:18" x14ac:dyDescent="0.2">
      <c r="I104" s="32"/>
      <c r="J104" s="32"/>
      <c r="K104" s="32"/>
      <c r="L104" s="32"/>
      <c r="M104" s="32"/>
      <c r="N104" s="32"/>
      <c r="O104" s="32"/>
      <c r="P104" s="32"/>
      <c r="Q104" s="33"/>
      <c r="R104" s="32"/>
    </row>
    <row r="105" spans="9:18" x14ac:dyDescent="0.2">
      <c r="I105" s="32"/>
      <c r="J105" s="32"/>
      <c r="K105" s="32"/>
      <c r="L105" s="32"/>
      <c r="M105" s="32"/>
      <c r="N105" s="32"/>
      <c r="O105" s="32"/>
      <c r="P105" s="32"/>
      <c r="Q105" s="33"/>
      <c r="R105" s="32"/>
    </row>
    <row r="106" spans="9:18" x14ac:dyDescent="0.2">
      <c r="I106" s="32"/>
      <c r="J106" s="32"/>
      <c r="K106" s="32"/>
      <c r="L106" s="32"/>
      <c r="M106" s="32"/>
      <c r="N106" s="32"/>
      <c r="O106" s="32"/>
      <c r="P106" s="32"/>
      <c r="Q106" s="33"/>
      <c r="R106" s="32"/>
    </row>
    <row r="107" spans="9:18" x14ac:dyDescent="0.2">
      <c r="I107" s="32"/>
      <c r="J107" s="32"/>
      <c r="K107" s="32"/>
      <c r="L107" s="32"/>
      <c r="M107" s="32"/>
      <c r="N107" s="32"/>
      <c r="O107" s="32"/>
      <c r="P107" s="32"/>
      <c r="Q107" s="33"/>
      <c r="R107" s="32"/>
    </row>
    <row r="108" spans="9:18" x14ac:dyDescent="0.2">
      <c r="I108" s="32"/>
      <c r="J108" s="32"/>
      <c r="K108" s="32"/>
      <c r="L108" s="32"/>
      <c r="M108" s="32"/>
      <c r="N108" s="32"/>
      <c r="O108" s="32"/>
      <c r="P108" s="32"/>
      <c r="Q108" s="33"/>
      <c r="R108" s="32"/>
    </row>
    <row r="109" spans="9:18" x14ac:dyDescent="0.2">
      <c r="I109" s="32"/>
      <c r="J109" s="32"/>
      <c r="K109" s="32"/>
      <c r="L109" s="32"/>
      <c r="M109" s="32"/>
      <c r="N109" s="32"/>
      <c r="O109" s="32"/>
      <c r="P109" s="32"/>
      <c r="Q109" s="33"/>
      <c r="R109" s="32"/>
    </row>
    <row r="110" spans="9:18" x14ac:dyDescent="0.2">
      <c r="I110" s="32"/>
      <c r="J110" s="32"/>
      <c r="K110" s="32"/>
      <c r="L110" s="32"/>
      <c r="M110" s="32"/>
      <c r="N110" s="32"/>
      <c r="O110" s="32"/>
      <c r="P110" s="32"/>
      <c r="Q110" s="33"/>
      <c r="R110" s="32"/>
    </row>
    <row r="111" spans="9:18" x14ac:dyDescent="0.2">
      <c r="I111" s="32"/>
      <c r="J111" s="32"/>
      <c r="K111" s="32"/>
      <c r="L111" s="32"/>
      <c r="M111" s="32"/>
      <c r="N111" s="32"/>
      <c r="O111" s="32"/>
      <c r="P111" s="32"/>
      <c r="Q111" s="33"/>
      <c r="R111" s="32"/>
    </row>
    <row r="112" spans="9:18" x14ac:dyDescent="0.2">
      <c r="I112" s="32"/>
      <c r="J112" s="32"/>
      <c r="K112" s="32"/>
      <c r="L112" s="32"/>
      <c r="M112" s="32"/>
      <c r="N112" s="32"/>
      <c r="O112" s="32"/>
      <c r="P112" s="32"/>
      <c r="Q112" s="33"/>
      <c r="R112" s="32"/>
    </row>
    <row r="113" spans="9:18" x14ac:dyDescent="0.2">
      <c r="I113" s="32"/>
      <c r="J113" s="32"/>
      <c r="K113" s="32"/>
      <c r="L113" s="32"/>
      <c r="M113" s="32"/>
      <c r="N113" s="32"/>
      <c r="O113" s="32"/>
      <c r="P113" s="32"/>
      <c r="Q113" s="33"/>
      <c r="R113" s="32"/>
    </row>
    <row r="114" spans="9:18" x14ac:dyDescent="0.2">
      <c r="I114" s="32"/>
      <c r="J114" s="32"/>
      <c r="K114" s="32"/>
      <c r="L114" s="32"/>
      <c r="M114" s="32"/>
      <c r="N114" s="32"/>
      <c r="O114" s="32"/>
      <c r="P114" s="32"/>
      <c r="Q114" s="33"/>
      <c r="R114" s="32"/>
    </row>
    <row r="115" spans="9:18" x14ac:dyDescent="0.2">
      <c r="I115" s="32"/>
      <c r="J115" s="32"/>
      <c r="K115" s="32"/>
      <c r="L115" s="32"/>
      <c r="M115" s="32"/>
      <c r="N115" s="32"/>
      <c r="O115" s="32"/>
      <c r="P115" s="32"/>
      <c r="Q115" s="33"/>
      <c r="R115" s="32"/>
    </row>
  </sheetData>
  <mergeCells count="1">
    <mergeCell ref="K2:N2"/>
  </mergeCells>
  <pageMargins left="0.7" right="0.7" top="0.75" bottom="0.75" header="0.3" footer="0.3"/>
  <pageSetup paperSize="9" orientation="portrait"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7542D-036D-4FF8-82D9-1822EAEFFEBE}">
  <dimension ref="A1:AA115"/>
  <sheetViews>
    <sheetView workbookViewId="0">
      <selection activeCell="J9" sqref="J9"/>
    </sheetView>
  </sheetViews>
  <sheetFormatPr baseColWidth="10" defaultColWidth="8.85546875" defaultRowHeight="12.75" x14ac:dyDescent="0.2"/>
  <cols>
    <col min="1" max="2" width="8.42578125" customWidth="1"/>
    <col min="3" max="4" width="8.42578125" style="2" customWidth="1"/>
    <col min="5" max="5" width="13.85546875" style="2" customWidth="1"/>
    <col min="6" max="6" width="9.5703125" style="2" bestFit="1" customWidth="1"/>
    <col min="7" max="7" width="9.42578125" style="2" customWidth="1"/>
    <col min="8" max="8" width="8.42578125" customWidth="1"/>
    <col min="9" max="9" width="3.140625" customWidth="1"/>
    <col min="10" max="12" width="8.5703125" customWidth="1"/>
    <col min="13" max="13" width="12.28515625" customWidth="1"/>
    <col min="14" max="16" width="8.5703125" customWidth="1"/>
    <col min="17" max="17" width="8.5703125" style="3" customWidth="1"/>
    <col min="19" max="19" width="17.85546875" bestFit="1" customWidth="1"/>
    <col min="20" max="20" width="30.85546875" bestFit="1" customWidth="1"/>
    <col min="21" max="21" width="32.7109375" bestFit="1" customWidth="1"/>
  </cols>
  <sheetData>
    <row r="1" spans="1:14" ht="13.5" thickBot="1" x14ac:dyDescent="0.25">
      <c r="A1" s="1" t="s">
        <v>56</v>
      </c>
      <c r="B1" s="36"/>
    </row>
    <row r="2" spans="1:14" ht="13.5" thickBot="1" x14ac:dyDescent="0.25">
      <c r="K2" s="339" t="s">
        <v>90</v>
      </c>
      <c r="L2" s="340"/>
      <c r="M2" s="340"/>
      <c r="N2" s="341"/>
    </row>
    <row r="3" spans="1:14" x14ac:dyDescent="0.2">
      <c r="B3" s="4" t="s">
        <v>0</v>
      </c>
      <c r="C3" s="5" t="s">
        <v>58</v>
      </c>
      <c r="D3" s="5" t="s">
        <v>59</v>
      </c>
      <c r="E3" s="5" t="s">
        <v>60</v>
      </c>
      <c r="F3" s="5" t="s">
        <v>61</v>
      </c>
      <c r="G3" s="6" t="s">
        <v>62</v>
      </c>
    </row>
    <row r="4" spans="1:14" x14ac:dyDescent="0.2">
      <c r="B4" s="7" t="s">
        <v>1</v>
      </c>
      <c r="C4" s="60">
        <v>2000</v>
      </c>
      <c r="D4" s="60">
        <v>4000</v>
      </c>
      <c r="E4" s="60">
        <v>8000</v>
      </c>
      <c r="F4" s="60">
        <v>7500</v>
      </c>
      <c r="G4" s="61">
        <v>7000</v>
      </c>
      <c r="K4" s="21" t="s">
        <v>23</v>
      </c>
      <c r="L4" s="21" t="s">
        <v>24</v>
      </c>
    </row>
    <row r="5" spans="1:14" x14ac:dyDescent="0.2">
      <c r="B5" s="7" t="s">
        <v>2</v>
      </c>
      <c r="C5" s="60">
        <v>2500</v>
      </c>
      <c r="D5" s="60">
        <v>2000</v>
      </c>
      <c r="E5" s="60">
        <v>5000</v>
      </c>
      <c r="F5" s="60">
        <v>4000</v>
      </c>
      <c r="G5" s="61">
        <v>4000</v>
      </c>
    </row>
    <row r="6" spans="1:14" x14ac:dyDescent="0.2">
      <c r="B6" s="7" t="s">
        <v>3</v>
      </c>
      <c r="C6" s="60">
        <v>3000</v>
      </c>
      <c r="D6" s="60">
        <v>3000</v>
      </c>
      <c r="E6" s="60">
        <v>4000</v>
      </c>
      <c r="F6" s="60">
        <v>4000</v>
      </c>
      <c r="G6" s="61">
        <v>3000</v>
      </c>
    </row>
    <row r="7" spans="1:14" x14ac:dyDescent="0.2">
      <c r="B7" s="7" t="s">
        <v>4</v>
      </c>
      <c r="C7" s="60">
        <v>2000</v>
      </c>
      <c r="D7" s="60">
        <v>2500</v>
      </c>
      <c r="E7" s="60">
        <v>3000</v>
      </c>
      <c r="F7" s="60">
        <v>2000</v>
      </c>
      <c r="G7" s="61">
        <v>3500</v>
      </c>
    </row>
    <row r="8" spans="1:14" x14ac:dyDescent="0.2">
      <c r="B8" s="7" t="s">
        <v>5</v>
      </c>
      <c r="C8" s="60">
        <v>3000</v>
      </c>
      <c r="D8" s="60">
        <v>3000</v>
      </c>
      <c r="E8" s="60">
        <v>4000</v>
      </c>
      <c r="F8" s="60">
        <v>4500</v>
      </c>
      <c r="G8" s="61">
        <v>6000</v>
      </c>
    </row>
    <row r="9" spans="1:14" x14ac:dyDescent="0.2">
      <c r="B9" s="7" t="s">
        <v>6</v>
      </c>
      <c r="C9" s="60">
        <v>3200</v>
      </c>
      <c r="D9" s="60">
        <v>3750</v>
      </c>
      <c r="E9" s="60">
        <v>6000</v>
      </c>
      <c r="F9" s="60">
        <v>5000</v>
      </c>
      <c r="G9" s="61">
        <v>6000</v>
      </c>
    </row>
    <row r="10" spans="1:14" x14ac:dyDescent="0.2">
      <c r="B10" s="7" t="s">
        <v>7</v>
      </c>
      <c r="C10" s="60">
        <v>4500</v>
      </c>
      <c r="D10" s="60">
        <v>4500</v>
      </c>
      <c r="E10" s="60">
        <v>7000</v>
      </c>
      <c r="F10" s="60">
        <v>7500</v>
      </c>
      <c r="G10" s="61">
        <v>8000</v>
      </c>
    </row>
    <row r="11" spans="1:14" x14ac:dyDescent="0.2">
      <c r="B11" s="7" t="s">
        <v>8</v>
      </c>
      <c r="C11" s="60">
        <v>6000</v>
      </c>
      <c r="D11" s="60">
        <v>5500</v>
      </c>
      <c r="E11" s="60">
        <v>9000</v>
      </c>
      <c r="F11" s="60">
        <v>9500</v>
      </c>
      <c r="G11" s="61">
        <v>10000</v>
      </c>
    </row>
    <row r="12" spans="1:14" x14ac:dyDescent="0.2">
      <c r="B12" s="7" t="s">
        <v>9</v>
      </c>
      <c r="C12" s="60">
        <v>5000</v>
      </c>
      <c r="D12" s="60">
        <v>3500</v>
      </c>
      <c r="E12" s="60">
        <v>6000</v>
      </c>
      <c r="F12" s="60">
        <v>5000</v>
      </c>
      <c r="G12" s="61">
        <v>4500</v>
      </c>
    </row>
    <row r="13" spans="1:14" x14ac:dyDescent="0.2">
      <c r="B13" s="7" t="s">
        <v>10</v>
      </c>
      <c r="C13" s="60">
        <v>4000</v>
      </c>
      <c r="D13" s="60">
        <v>3250</v>
      </c>
      <c r="E13" s="60">
        <v>5000</v>
      </c>
      <c r="F13" s="60">
        <v>3500</v>
      </c>
      <c r="G13" s="61">
        <v>6000</v>
      </c>
    </row>
    <row r="14" spans="1:14" x14ac:dyDescent="0.2">
      <c r="B14" s="7" t="s">
        <v>11</v>
      </c>
      <c r="C14" s="60">
        <v>7000</v>
      </c>
      <c r="D14" s="60">
        <v>7250</v>
      </c>
      <c r="E14" s="60">
        <v>6000</v>
      </c>
      <c r="F14" s="60">
        <v>6500</v>
      </c>
      <c r="G14" s="61">
        <v>8000</v>
      </c>
    </row>
    <row r="15" spans="1:14" x14ac:dyDescent="0.2">
      <c r="B15" s="7" t="s">
        <v>12</v>
      </c>
      <c r="C15" s="60">
        <v>8000</v>
      </c>
      <c r="D15" s="60">
        <v>9000</v>
      </c>
      <c r="E15" s="60">
        <v>11000</v>
      </c>
      <c r="F15" s="60">
        <v>11000</v>
      </c>
      <c r="G15" s="61">
        <v>8000</v>
      </c>
    </row>
    <row r="16" spans="1:14" x14ac:dyDescent="0.2">
      <c r="B16" s="4" t="s">
        <v>13</v>
      </c>
      <c r="C16" s="9">
        <f>SUM(C4:C15)</f>
        <v>50200</v>
      </c>
      <c r="D16" s="9">
        <f>SUM(D4:D15)</f>
        <v>51250</v>
      </c>
      <c r="E16" s="9">
        <f>SUM(E4:E15)</f>
        <v>74000</v>
      </c>
      <c r="F16" s="9">
        <f>SUM(F4:F15)</f>
        <v>70000</v>
      </c>
      <c r="G16" s="10">
        <f>SUM(G4:G15)</f>
        <v>74000</v>
      </c>
    </row>
    <row r="17" spans="1:17" x14ac:dyDescent="0.2">
      <c r="B17" s="45"/>
      <c r="C17" s="8"/>
      <c r="D17" s="8"/>
      <c r="E17" s="8"/>
      <c r="F17" s="8"/>
      <c r="G17" s="8"/>
    </row>
    <row r="18" spans="1:17" x14ac:dyDescent="0.2">
      <c r="A18" s="21" t="s">
        <v>57</v>
      </c>
      <c r="B18" s="45"/>
      <c r="C18" s="46"/>
      <c r="D18" s="8"/>
      <c r="E18" s="8"/>
      <c r="F18" s="8"/>
      <c r="G18" s="8"/>
    </row>
    <row r="19" spans="1:17" ht="8.25" customHeight="1" x14ac:dyDescent="0.2"/>
    <row r="20" spans="1:17" s="244" customFormat="1" ht="61.5" customHeight="1" x14ac:dyDescent="0.3">
      <c r="A20" s="11" t="s">
        <v>14</v>
      </c>
      <c r="B20" s="11" t="s">
        <v>15</v>
      </c>
      <c r="C20" s="38" t="s">
        <v>55</v>
      </c>
      <c r="D20" s="37" t="s">
        <v>48</v>
      </c>
      <c r="E20" s="11" t="s">
        <v>49</v>
      </c>
      <c r="F20" s="50" t="s">
        <v>50</v>
      </c>
      <c r="G20" s="50" t="s">
        <v>51</v>
      </c>
      <c r="H20" s="51" t="s">
        <v>16</v>
      </c>
      <c r="I20" s="12"/>
      <c r="J20" s="11" t="s">
        <v>52</v>
      </c>
      <c r="K20" s="11" t="s">
        <v>53</v>
      </c>
      <c r="L20" s="11" t="s">
        <v>17</v>
      </c>
      <c r="M20" s="11" t="s">
        <v>18</v>
      </c>
      <c r="N20" s="11" t="s">
        <v>19</v>
      </c>
      <c r="O20" s="11" t="s">
        <v>20</v>
      </c>
      <c r="P20" s="11" t="s">
        <v>21</v>
      </c>
      <c r="Q20" s="13" t="s">
        <v>22</v>
      </c>
    </row>
    <row r="21" spans="1:17" x14ac:dyDescent="0.2">
      <c r="A21" s="15" t="s">
        <v>58</v>
      </c>
      <c r="B21" s="15" t="s">
        <v>1</v>
      </c>
      <c r="C21" s="39">
        <v>1</v>
      </c>
      <c r="D21" s="8">
        <f>C4</f>
        <v>2000</v>
      </c>
      <c r="E21" s="16"/>
      <c r="F21" s="16">
        <f>$T$52+C21*$T$53</f>
        <v>4392.82</v>
      </c>
      <c r="G21" s="17">
        <f>D21/F21</f>
        <v>0.4552884024385247</v>
      </c>
      <c r="H21" s="18">
        <f>($T$52+C21*$T$53)*$T$58</f>
        <v>2679.590562110352</v>
      </c>
      <c r="I21" s="19"/>
      <c r="J21" s="18">
        <f>H21-D21</f>
        <v>679.59056211035204</v>
      </c>
      <c r="K21" s="18">
        <f>ABS(J21)</f>
        <v>679.59056211035204</v>
      </c>
      <c r="L21" s="18">
        <f>SUM($J$21:J21)</f>
        <v>679.59056211035204</v>
      </c>
      <c r="M21" s="18">
        <f>SUMSQ($J$21:J21)/C21</f>
        <v>461843.33210946427</v>
      </c>
      <c r="N21" s="18">
        <f>SUM($K$21:K21)/C21</f>
        <v>679.59056211035204</v>
      </c>
      <c r="O21" s="18">
        <f>K21/D21*100</f>
        <v>33.979528105517602</v>
      </c>
      <c r="P21" s="18">
        <f>AVERAGE($O$21:O21)</f>
        <v>33.979528105517602</v>
      </c>
      <c r="Q21" s="20">
        <f>SUM($J$21:J21)/N21</f>
        <v>1</v>
      </c>
    </row>
    <row r="22" spans="1:17" x14ac:dyDescent="0.2">
      <c r="A22" s="15"/>
      <c r="B22" s="15" t="s">
        <v>2</v>
      </c>
      <c r="C22" s="39">
        <v>2</v>
      </c>
      <c r="D22" s="8">
        <f t="shared" ref="D22:D32" si="0">C5</f>
        <v>2500</v>
      </c>
      <c r="E22" s="16"/>
      <c r="F22" s="16">
        <f>$T$52+C22*$T$53</f>
        <v>4431.74</v>
      </c>
      <c r="G22" s="17">
        <f t="shared" ref="G22:G80" si="1">D22/F22</f>
        <v>0.56411251562591669</v>
      </c>
      <c r="H22" s="18">
        <f>($T$52+C22*$T$53)*$T$59</f>
        <v>2683.758525475987</v>
      </c>
      <c r="I22" s="19"/>
      <c r="J22" s="18">
        <f t="shared" ref="J22:J80" si="2">H22-D22</f>
        <v>183.75852547598697</v>
      </c>
      <c r="K22" s="18">
        <f t="shared" ref="K22:K80" si="3">ABS(J22)</f>
        <v>183.75852547598697</v>
      </c>
      <c r="L22" s="18">
        <f>SUM($J$21:J22)</f>
        <v>863.34908758633901</v>
      </c>
      <c r="M22" s="18">
        <f>SUMSQ($J$21:J22)/C22</f>
        <v>247805.26389728661</v>
      </c>
      <c r="N22" s="18">
        <f>SUM($K$21:K22)/C22</f>
        <v>431.67454379316951</v>
      </c>
      <c r="O22" s="18">
        <f t="shared" ref="O22:O80" si="4">K22/D22*100</f>
        <v>7.3503410190394787</v>
      </c>
      <c r="P22" s="18">
        <f>AVERAGE($O$21:O22)</f>
        <v>20.664934562278539</v>
      </c>
      <c r="Q22" s="20">
        <f>SUM($J$21:J22)/N22</f>
        <v>2</v>
      </c>
    </row>
    <row r="23" spans="1:17" x14ac:dyDescent="0.2">
      <c r="A23" s="15"/>
      <c r="B23" s="15" t="s">
        <v>3</v>
      </c>
      <c r="C23" s="39">
        <v>3</v>
      </c>
      <c r="D23" s="8">
        <f t="shared" si="0"/>
        <v>3000</v>
      </c>
      <c r="E23" s="16"/>
      <c r="F23" s="16">
        <f t="shared" ref="F23:F80" si="5">$T$52+C23*$T$53</f>
        <v>4470.66</v>
      </c>
      <c r="G23" s="17">
        <f t="shared" si="1"/>
        <v>0.67104185959120133</v>
      </c>
      <c r="H23" s="18">
        <f>($T$52+C23*$T$53)*$T$60</f>
        <v>2731.232102958134</v>
      </c>
      <c r="I23" s="19"/>
      <c r="J23" s="18">
        <f t="shared" si="2"/>
        <v>-268.76789704186604</v>
      </c>
      <c r="K23" s="18">
        <f t="shared" si="3"/>
        <v>268.76789704186604</v>
      </c>
      <c r="L23" s="18">
        <f>SUM($J$21:J23)</f>
        <v>594.58119054447297</v>
      </c>
      <c r="M23" s="18">
        <f>SUMSQ($J$21:J23)/C23</f>
        <v>189282.23675829344</v>
      </c>
      <c r="N23" s="18">
        <f>SUM($K$21:K23)/C23</f>
        <v>377.3723282094017</v>
      </c>
      <c r="O23" s="18">
        <f t="shared" si="4"/>
        <v>8.9589299013955355</v>
      </c>
      <c r="P23" s="18">
        <f>AVERAGE($O$21:O23)</f>
        <v>16.762933008650872</v>
      </c>
      <c r="Q23" s="20">
        <f>SUM($J$21:J23)/N23</f>
        <v>1.575582378723178</v>
      </c>
    </row>
    <row r="24" spans="1:17" x14ac:dyDescent="0.2">
      <c r="A24" s="15"/>
      <c r="B24" s="15" t="s">
        <v>4</v>
      </c>
      <c r="C24" s="39">
        <v>4</v>
      </c>
      <c r="D24" s="8">
        <f t="shared" si="0"/>
        <v>2000</v>
      </c>
      <c r="E24" s="16"/>
      <c r="F24" s="16">
        <f t="shared" si="5"/>
        <v>4509.58</v>
      </c>
      <c r="G24" s="17">
        <f t="shared" si="1"/>
        <v>0.44350028162267885</v>
      </c>
      <c r="H24" s="18">
        <f>($T$52+C24*$T$53)*$T$61</f>
        <v>2787.8667958614883</v>
      </c>
      <c r="I24" s="19"/>
      <c r="J24" s="18">
        <f t="shared" si="2"/>
        <v>787.8667958614883</v>
      </c>
      <c r="K24" s="18">
        <f t="shared" si="3"/>
        <v>787.8667958614883</v>
      </c>
      <c r="L24" s="18">
        <f>SUM($J$21:J24)</f>
        <v>1382.4479864059613</v>
      </c>
      <c r="M24" s="18">
        <f>SUMSQ($J$21:J24)/C24</f>
        <v>297145.1995739821</v>
      </c>
      <c r="N24" s="18">
        <f>SUM($K$21:K24)/C24</f>
        <v>479.99594512242334</v>
      </c>
      <c r="O24" s="18">
        <f t="shared" si="4"/>
        <v>39.393339793074418</v>
      </c>
      <c r="P24" s="18">
        <f>AVERAGE($O$21:O24)</f>
        <v>22.420534704756758</v>
      </c>
      <c r="Q24" s="20">
        <f>SUM($J$21:J24)/N24</f>
        <v>2.880124301994607</v>
      </c>
    </row>
    <row r="25" spans="1:17" x14ac:dyDescent="0.2">
      <c r="A25" s="15"/>
      <c r="B25" s="15" t="s">
        <v>5</v>
      </c>
      <c r="C25" s="39">
        <v>5</v>
      </c>
      <c r="D25" s="8">
        <f t="shared" si="0"/>
        <v>3000</v>
      </c>
      <c r="E25" s="16"/>
      <c r="F25" s="16">
        <f t="shared" si="5"/>
        <v>4548.5</v>
      </c>
      <c r="G25" s="17">
        <f t="shared" si="1"/>
        <v>0.65955809607562932</v>
      </c>
      <c r="H25" s="18">
        <f>($T$52+C25*$T$53)*$T$62</f>
        <v>2896.835726314961</v>
      </c>
      <c r="I25" s="19"/>
      <c r="J25" s="18">
        <f t="shared" si="2"/>
        <v>-103.16427368503901</v>
      </c>
      <c r="K25" s="18">
        <f t="shared" si="3"/>
        <v>103.16427368503901</v>
      </c>
      <c r="L25" s="18">
        <f>SUM($J$21:J25)</f>
        <v>1279.2837127209223</v>
      </c>
      <c r="M25" s="18">
        <f>SUMSQ($J$21:J25)/C25</f>
        <v>239844.73313217802</v>
      </c>
      <c r="N25" s="18">
        <f>SUM($K$21:K25)/C25</f>
        <v>404.62961083494645</v>
      </c>
      <c r="O25" s="18">
        <f t="shared" si="4"/>
        <v>3.4388091228346336</v>
      </c>
      <c r="P25" s="18">
        <f>AVERAGE($O$21:O25)</f>
        <v>18.624189588372332</v>
      </c>
      <c r="Q25" s="20">
        <f>SUM($J$21:J25)/N25</f>
        <v>3.1616166451119128</v>
      </c>
    </row>
    <row r="26" spans="1:17" x14ac:dyDescent="0.2">
      <c r="A26" s="15"/>
      <c r="B26" s="15" t="s">
        <v>6</v>
      </c>
      <c r="C26" s="39">
        <v>6</v>
      </c>
      <c r="D26" s="8">
        <f t="shared" si="0"/>
        <v>3200</v>
      </c>
      <c r="E26" s="16"/>
      <c r="F26" s="16">
        <f t="shared" si="5"/>
        <v>4587.42</v>
      </c>
      <c r="G26" s="17">
        <f t="shared" si="1"/>
        <v>0.69755984845512287</v>
      </c>
      <c r="H26" s="18">
        <f>($T$52+C26*$T$53)*$T$63</f>
        <v>2790.8280036219053</v>
      </c>
      <c r="I26" s="19"/>
      <c r="J26" s="18">
        <f t="shared" si="2"/>
        <v>-409.17199637809472</v>
      </c>
      <c r="K26" s="18">
        <f t="shared" si="3"/>
        <v>409.17199637809472</v>
      </c>
      <c r="L26" s="18">
        <f>SUM($J$21:J26)</f>
        <v>870.11171634282755</v>
      </c>
      <c r="M26" s="18">
        <f>SUMSQ($J$21:J26)/C26</f>
        <v>227774.23138015426</v>
      </c>
      <c r="N26" s="18">
        <f>SUM($K$21:K26)/C26</f>
        <v>405.38667509213786</v>
      </c>
      <c r="O26" s="18">
        <f t="shared" si="4"/>
        <v>12.78662488681546</v>
      </c>
      <c r="P26" s="18">
        <f>AVERAGE($O$21:O26)</f>
        <v>17.651262138112852</v>
      </c>
      <c r="Q26" s="20">
        <f>SUM($J$21:J26)/N26</f>
        <v>2.1463747325810973</v>
      </c>
    </row>
    <row r="27" spans="1:17" x14ac:dyDescent="0.2">
      <c r="A27" s="15"/>
      <c r="B27" s="15" t="s">
        <v>7</v>
      </c>
      <c r="C27" s="39">
        <v>7</v>
      </c>
      <c r="D27" s="8">
        <f t="shared" si="0"/>
        <v>4500</v>
      </c>
      <c r="E27" s="16">
        <f>(D21+D33+2*SUM(D22:D32))/(2*12)</f>
        <v>4266.666666666667</v>
      </c>
      <c r="F27" s="16">
        <f t="shared" si="5"/>
        <v>4626.3399999999992</v>
      </c>
      <c r="G27" s="17">
        <f t="shared" si="1"/>
        <v>0.9726911554274007</v>
      </c>
      <c r="H27" s="18">
        <f>($T$52+C27*$T$53)*$T$64</f>
        <v>2854.7140028153835</v>
      </c>
      <c r="I27" s="19"/>
      <c r="J27" s="18">
        <f t="shared" si="2"/>
        <v>-1645.2859971846165</v>
      </c>
      <c r="K27" s="18">
        <f t="shared" si="3"/>
        <v>1645.2859971846165</v>
      </c>
      <c r="L27" s="18">
        <f>SUM($J$21:J27)</f>
        <v>-775.17428084178891</v>
      </c>
      <c r="M27" s="18">
        <f>SUMSQ($J$21:J27)/C27</f>
        <v>581944.48583038617</v>
      </c>
      <c r="N27" s="18">
        <f>SUM($K$21:K27)/C27</f>
        <v>582.5151496767777</v>
      </c>
      <c r="O27" s="18">
        <f t="shared" si="4"/>
        <v>36.561911048547032</v>
      </c>
      <c r="P27" s="18">
        <f>AVERAGE($O$21:O27)</f>
        <v>20.352783411032021</v>
      </c>
      <c r="Q27" s="20">
        <f>SUM($J$21:J27)/N27</f>
        <v>-1.3307366877443663</v>
      </c>
    </row>
    <row r="28" spans="1:17" x14ac:dyDescent="0.2">
      <c r="A28" s="15"/>
      <c r="B28" s="15" t="s">
        <v>8</v>
      </c>
      <c r="C28" s="39">
        <v>8</v>
      </c>
      <c r="D28" s="8">
        <f t="shared" si="0"/>
        <v>6000</v>
      </c>
      <c r="E28" s="16">
        <f t="shared" ref="E28:E74" si="6">(D22+D34+2*SUM(D23:D33))/(2*12)</f>
        <v>4329.166666666667</v>
      </c>
      <c r="F28" s="16">
        <f t="shared" si="5"/>
        <v>4665.2599999999993</v>
      </c>
      <c r="G28" s="17">
        <f t="shared" si="1"/>
        <v>1.2861019535888676</v>
      </c>
      <c r="H28" s="18">
        <f>($T$52+C28*$T$53)*$T$65</f>
        <v>2875.3936741370703</v>
      </c>
      <c r="I28" s="19"/>
      <c r="J28" s="18">
        <f t="shared" si="2"/>
        <v>-3124.6063258629297</v>
      </c>
      <c r="K28" s="18">
        <f t="shared" si="3"/>
        <v>3124.6063258629297</v>
      </c>
      <c r="L28" s="18">
        <f>SUM($J$21:J28)</f>
        <v>-3899.7806067047186</v>
      </c>
      <c r="M28" s="18">
        <f>SUMSQ($J$21:J28)/C28</f>
        <v>1729597.0115544177</v>
      </c>
      <c r="N28" s="18">
        <f>SUM($K$21:K28)/C28</f>
        <v>900.27654670004665</v>
      </c>
      <c r="O28" s="18">
        <f t="shared" si="4"/>
        <v>52.076772097715498</v>
      </c>
      <c r="P28" s="18">
        <f>AVERAGE($O$21:O28)</f>
        <v>24.318281996867455</v>
      </c>
      <c r="Q28" s="20">
        <f>SUM($J$21:J28)/N28</f>
        <v>-4.3317585257544691</v>
      </c>
    </row>
    <row r="29" spans="1:17" x14ac:dyDescent="0.2">
      <c r="A29" s="15"/>
      <c r="B29" s="15" t="s">
        <v>9</v>
      </c>
      <c r="C29" s="39">
        <v>9</v>
      </c>
      <c r="D29" s="8">
        <f t="shared" si="0"/>
        <v>5000</v>
      </c>
      <c r="E29" s="16">
        <f t="shared" si="6"/>
        <v>4308.333333333333</v>
      </c>
      <c r="F29" s="16">
        <f t="shared" si="5"/>
        <v>4704.1799999999994</v>
      </c>
      <c r="G29" s="17">
        <f t="shared" si="1"/>
        <v>1.0628844984673207</v>
      </c>
      <c r="H29" s="18">
        <f>($T$52+C29*$T$53)*$T$66</f>
        <v>2760.2269241314848</v>
      </c>
      <c r="I29" s="19"/>
      <c r="J29" s="18">
        <f t="shared" si="2"/>
        <v>-2239.7730758685152</v>
      </c>
      <c r="K29" s="18">
        <f t="shared" si="3"/>
        <v>2239.7730758685152</v>
      </c>
      <c r="L29" s="18">
        <f>SUM($J$21:J29)</f>
        <v>-6139.5536825732343</v>
      </c>
      <c r="M29" s="18">
        <f>SUMSQ($J$21:J29)/C29</f>
        <v>2094817.7248689835</v>
      </c>
      <c r="N29" s="18">
        <f>SUM($K$21:K29)/C29</f>
        <v>1049.1094943854321</v>
      </c>
      <c r="O29" s="18">
        <f t="shared" si="4"/>
        <v>44.795461517370306</v>
      </c>
      <c r="P29" s="18">
        <f>AVERAGE($O$21:O29)</f>
        <v>26.593524165812216</v>
      </c>
      <c r="Q29" s="20">
        <f>SUM($J$21:J29)/N29</f>
        <v>-5.8521572013508294</v>
      </c>
    </row>
    <row r="30" spans="1:17" x14ac:dyDescent="0.2">
      <c r="A30" s="15"/>
      <c r="B30" s="15" t="s">
        <v>10</v>
      </c>
      <c r="C30" s="39">
        <v>10</v>
      </c>
      <c r="D30" s="8">
        <f t="shared" si="0"/>
        <v>4000</v>
      </c>
      <c r="E30" s="16">
        <f t="shared" si="6"/>
        <v>4329.166666666667</v>
      </c>
      <c r="F30" s="16">
        <f>$T$52+C30*$T$53</f>
        <v>4743.0999999999995</v>
      </c>
      <c r="G30" s="17">
        <f t="shared" si="1"/>
        <v>0.84333031139971759</v>
      </c>
      <c r="H30" s="18">
        <f>($T$52+C30*$T$53)*$T$67</f>
        <v>2703.1462189943813</v>
      </c>
      <c r="I30" s="19"/>
      <c r="J30" s="18">
        <f t="shared" si="2"/>
        <v>-1296.8537810056187</v>
      </c>
      <c r="K30" s="18">
        <f t="shared" si="3"/>
        <v>1296.8537810056187</v>
      </c>
      <c r="L30" s="18">
        <f>SUM($J$21:J30)</f>
        <v>-7436.4074635788529</v>
      </c>
      <c r="M30" s="18">
        <f>SUMSQ($J$21:J30)/C30</f>
        <v>2053518.9253129419</v>
      </c>
      <c r="N30" s="18">
        <f>SUM($K$21:K30)/C30</f>
        <v>1073.8839230474507</v>
      </c>
      <c r="O30" s="18">
        <f t="shared" si="4"/>
        <v>32.421344525140469</v>
      </c>
      <c r="P30" s="18">
        <f>AVERAGE($O$21:O30)</f>
        <v>27.176306201745042</v>
      </c>
      <c r="Q30" s="20">
        <f>SUM($J$21:J30)/N30</f>
        <v>-6.9247777194353874</v>
      </c>
    </row>
    <row r="31" spans="1:17" x14ac:dyDescent="0.2">
      <c r="A31" s="15"/>
      <c r="B31" s="15" t="s">
        <v>11</v>
      </c>
      <c r="C31" s="39">
        <v>11</v>
      </c>
      <c r="D31" s="8">
        <f t="shared" si="0"/>
        <v>7000</v>
      </c>
      <c r="E31" s="16">
        <f t="shared" si="6"/>
        <v>4350</v>
      </c>
      <c r="F31" s="16">
        <f t="shared" si="5"/>
        <v>4782.0199999999995</v>
      </c>
      <c r="G31" s="17">
        <f t="shared" si="1"/>
        <v>1.4638165461457713</v>
      </c>
      <c r="H31" s="18">
        <f>($T$52+C31*$T$53)*$T$68</f>
        <v>2610.2152378262481</v>
      </c>
      <c r="I31" s="19"/>
      <c r="J31" s="18">
        <f t="shared" si="2"/>
        <v>-4389.7847621737519</v>
      </c>
      <c r="K31" s="18">
        <f t="shared" si="3"/>
        <v>4389.7847621737519</v>
      </c>
      <c r="L31" s="18">
        <f>SUM($J$21:J31)</f>
        <v>-11826.192225752606</v>
      </c>
      <c r="M31" s="18">
        <f>SUMSQ($J$21:J31)/C31</f>
        <v>3618672.6828492987</v>
      </c>
      <c r="N31" s="18">
        <f>SUM($K$21:K31)/C31</f>
        <v>1375.3294538771145</v>
      </c>
      <c r="O31" s="18">
        <f t="shared" si="4"/>
        <v>62.711210888196455</v>
      </c>
      <c r="P31" s="18">
        <f>AVERAGE($O$21:O31)</f>
        <v>30.406752082331533</v>
      </c>
      <c r="Q31" s="20">
        <f>SUM($J$21:J31)/N31</f>
        <v>-8.5988067749251265</v>
      </c>
    </row>
    <row r="32" spans="1:17" x14ac:dyDescent="0.2">
      <c r="A32" s="15"/>
      <c r="B32" s="15" t="s">
        <v>12</v>
      </c>
      <c r="C32" s="39">
        <v>12</v>
      </c>
      <c r="D32" s="8">
        <f t="shared" si="0"/>
        <v>8000</v>
      </c>
      <c r="E32" s="16">
        <f t="shared" si="6"/>
        <v>4372.916666666667</v>
      </c>
      <c r="F32" s="16">
        <f t="shared" si="5"/>
        <v>4820.9399999999996</v>
      </c>
      <c r="G32" s="17">
        <f t="shared" si="1"/>
        <v>1.6594274145706025</v>
      </c>
      <c r="H32" s="18">
        <f>($T$52+C32*$T$53)*$T$69</f>
        <v>2620.3121794728986</v>
      </c>
      <c r="I32" s="19"/>
      <c r="J32" s="18">
        <f t="shared" si="2"/>
        <v>-5379.6878205271014</v>
      </c>
      <c r="K32" s="18">
        <f t="shared" si="3"/>
        <v>5379.6878205271014</v>
      </c>
      <c r="L32" s="18">
        <f>SUM($J$21:J32)</f>
        <v>-17205.880046279708</v>
      </c>
      <c r="M32" s="18">
        <f>SUMSQ($J$21:J32)/C32</f>
        <v>5728870.0464724936</v>
      </c>
      <c r="N32" s="18">
        <f>SUM($K$21:K32)/C32</f>
        <v>1709.0259844312802</v>
      </c>
      <c r="O32" s="18">
        <f t="shared" si="4"/>
        <v>67.246097756588767</v>
      </c>
      <c r="P32" s="18">
        <f>AVERAGE($O$21:O32)</f>
        <v>33.476697555186298</v>
      </c>
      <c r="Q32" s="20">
        <f>SUM($J$21:J32)/N32</f>
        <v>-10.06765268815113</v>
      </c>
    </row>
    <row r="33" spans="1:24" x14ac:dyDescent="0.2">
      <c r="A33" s="15" t="s">
        <v>59</v>
      </c>
      <c r="B33" s="15" t="s">
        <v>1</v>
      </c>
      <c r="C33" s="39">
        <v>13</v>
      </c>
      <c r="D33" s="8">
        <f>D4</f>
        <v>4000</v>
      </c>
      <c r="E33" s="16">
        <f t="shared" si="6"/>
        <v>4395.833333333333</v>
      </c>
      <c r="F33" s="16">
        <f t="shared" si="5"/>
        <v>4859.8599999999997</v>
      </c>
      <c r="G33" s="17">
        <f t="shared" si="1"/>
        <v>0.82306897729564232</v>
      </c>
      <c r="H33" s="18">
        <f>($T$52+C33*$T$53)*$T$58</f>
        <v>2964.4818110411115</v>
      </c>
      <c r="I33" s="19"/>
      <c r="J33" s="18">
        <f t="shared" si="2"/>
        <v>-1035.5181889588885</v>
      </c>
      <c r="K33" s="18">
        <f t="shared" si="3"/>
        <v>1035.5181889588885</v>
      </c>
      <c r="L33" s="18">
        <f>SUM($J$21:J33)</f>
        <v>-18241.398235238597</v>
      </c>
      <c r="M33" s="18">
        <f>SUMSQ($J$21:J33)/C33</f>
        <v>5370672.1905642012</v>
      </c>
      <c r="N33" s="18">
        <f>SUM($K$21:K33)/C33</f>
        <v>1657.2176924718656</v>
      </c>
      <c r="O33" s="18">
        <f t="shared" si="4"/>
        <v>25.887954723972211</v>
      </c>
      <c r="P33" s="18">
        <f>AVERAGE($O$21:O33)</f>
        <v>32.892948106631373</v>
      </c>
      <c r="Q33" s="20">
        <f>SUM($J$21:J33)/N33</f>
        <v>-11.007243235516134</v>
      </c>
    </row>
    <row r="34" spans="1:24" x14ac:dyDescent="0.2">
      <c r="A34" s="15"/>
      <c r="B34" s="15" t="s">
        <v>2</v>
      </c>
      <c r="C34" s="39">
        <v>14</v>
      </c>
      <c r="D34" s="8">
        <f t="shared" ref="D34:D44" si="7">D5</f>
        <v>2000</v>
      </c>
      <c r="E34" s="16">
        <f t="shared" si="6"/>
        <v>4375</v>
      </c>
      <c r="F34" s="16">
        <f t="shared" si="5"/>
        <v>4898.78</v>
      </c>
      <c r="G34" s="17">
        <f t="shared" si="1"/>
        <v>0.40826491493800499</v>
      </c>
      <c r="H34" s="18">
        <f>($T$52+C34*$T$53)*$T$59</f>
        <v>2966.5870717666776</v>
      </c>
      <c r="I34" s="19"/>
      <c r="J34" s="18">
        <f t="shared" si="2"/>
        <v>966.58707176667758</v>
      </c>
      <c r="K34" s="18">
        <f t="shared" si="3"/>
        <v>966.58707176667758</v>
      </c>
      <c r="L34" s="18">
        <f>SUM($J$21:J34)</f>
        <v>-17274.811163471921</v>
      </c>
      <c r="M34" s="18">
        <f>SUMSQ($J$21:J34)/C34</f>
        <v>5053787.7889029356</v>
      </c>
      <c r="N34" s="18">
        <f>SUM($K$21:K34)/C34</f>
        <v>1607.8869338500663</v>
      </c>
      <c r="O34" s="18">
        <f t="shared" si="4"/>
        <v>48.329353588333881</v>
      </c>
      <c r="P34" s="18">
        <f>AVERAGE($O$21:O34)</f>
        <v>33.995548498181549</v>
      </c>
      <c r="Q34" s="20">
        <f>SUM($J$21:J34)/N34</f>
        <v>-10.743797215956963</v>
      </c>
    </row>
    <row r="35" spans="1:24" x14ac:dyDescent="0.2">
      <c r="A35" s="15"/>
      <c r="B35" s="15" t="s">
        <v>3</v>
      </c>
      <c r="C35" s="39">
        <v>15</v>
      </c>
      <c r="D35" s="8">
        <f t="shared" si="7"/>
        <v>3000</v>
      </c>
      <c r="E35" s="16">
        <f t="shared" si="6"/>
        <v>4291.666666666667</v>
      </c>
      <c r="F35" s="16">
        <f t="shared" si="5"/>
        <v>4937.7</v>
      </c>
      <c r="G35" s="17">
        <f t="shared" si="1"/>
        <v>0.60757032626526519</v>
      </c>
      <c r="H35" s="18">
        <f>($T$52+C35*$T$53)*$T$60</f>
        <v>3016.5579030336412</v>
      </c>
      <c r="I35" s="19"/>
      <c r="J35" s="18">
        <f t="shared" si="2"/>
        <v>16.557903033641196</v>
      </c>
      <c r="K35" s="18">
        <f t="shared" si="3"/>
        <v>16.557903033641196</v>
      </c>
      <c r="L35" s="18">
        <f>SUM($J$21:J35)</f>
        <v>-17258.25326043828</v>
      </c>
      <c r="M35" s="18">
        <f>SUMSQ($J$21:J35)/C35</f>
        <v>4716886.8805862647</v>
      </c>
      <c r="N35" s="18">
        <f>SUM($K$21:K35)/C35</f>
        <v>1501.798331795638</v>
      </c>
      <c r="O35" s="18">
        <f t="shared" si="4"/>
        <v>0.5519301011213732</v>
      </c>
      <c r="P35" s="18">
        <f>AVERAGE($O$21:O35)</f>
        <v>31.765973938377542</v>
      </c>
      <c r="Q35" s="20">
        <f>SUM($J$21:J35)/N35</f>
        <v>-11.491724884128285</v>
      </c>
    </row>
    <row r="36" spans="1:24" x14ac:dyDescent="0.2">
      <c r="A36" s="15"/>
      <c r="B36" s="15" t="s">
        <v>4</v>
      </c>
      <c r="C36" s="39">
        <v>16</v>
      </c>
      <c r="D36" s="8">
        <f t="shared" si="7"/>
        <v>2500</v>
      </c>
      <c r="E36" s="16">
        <f t="shared" si="6"/>
        <v>4197.916666666667</v>
      </c>
      <c r="F36" s="16">
        <f t="shared" si="5"/>
        <v>4976.62</v>
      </c>
      <c r="G36" s="17">
        <f t="shared" si="1"/>
        <v>0.50234898384847548</v>
      </c>
      <c r="H36" s="18">
        <f>($T$52+C36*$T$53)*$T$61</f>
        <v>3076.5955263284386</v>
      </c>
      <c r="I36" s="19"/>
      <c r="J36" s="18">
        <f t="shared" si="2"/>
        <v>576.59552632843861</v>
      </c>
      <c r="K36" s="18">
        <f t="shared" si="3"/>
        <v>576.59552632843861</v>
      </c>
      <c r="L36" s="18">
        <f>SUM($J$21:J36)</f>
        <v>-16681.657734109842</v>
      </c>
      <c r="M36" s="18">
        <f>SUMSQ($J$21:J36)/C36</f>
        <v>4442860.3506109957</v>
      </c>
      <c r="N36" s="18">
        <f>SUM($K$21:K36)/C36</f>
        <v>1443.9731564539379</v>
      </c>
      <c r="O36" s="18">
        <f t="shared" si="4"/>
        <v>23.063821053137545</v>
      </c>
      <c r="P36" s="18">
        <f>AVERAGE($O$21:O36)</f>
        <v>31.22208938305004</v>
      </c>
      <c r="Q36" s="20">
        <f>SUM($J$21:J36)/N36</f>
        <v>-11.552609312403087</v>
      </c>
      <c r="S36" t="s">
        <v>25</v>
      </c>
    </row>
    <row r="37" spans="1:24" ht="13.5" thickBot="1" x14ac:dyDescent="0.25">
      <c r="A37" s="15"/>
      <c r="B37" s="15" t="s">
        <v>5</v>
      </c>
      <c r="C37" s="39">
        <v>17</v>
      </c>
      <c r="D37" s="8">
        <f t="shared" si="7"/>
        <v>3000</v>
      </c>
      <c r="E37" s="16">
        <f t="shared" si="6"/>
        <v>4177.083333333333</v>
      </c>
      <c r="F37" s="16">
        <f t="shared" si="5"/>
        <v>5015.54</v>
      </c>
      <c r="G37" s="17">
        <f t="shared" si="1"/>
        <v>0.59814097784087061</v>
      </c>
      <c r="H37" s="18">
        <f>($T$52+C37*$T$53)*$T$62</f>
        <v>3194.2828314305243</v>
      </c>
      <c r="I37" s="19"/>
      <c r="J37" s="18">
        <f t="shared" si="2"/>
        <v>194.28283143052431</v>
      </c>
      <c r="K37" s="18">
        <f t="shared" si="3"/>
        <v>194.28283143052431</v>
      </c>
      <c r="L37" s="18">
        <f>SUM($J$21:J37)</f>
        <v>-16487.374902679316</v>
      </c>
      <c r="M37" s="18">
        <f>SUMSQ($J$21:J37)/C37</f>
        <v>4183735.9663743875</v>
      </c>
      <c r="N37" s="18">
        <f>SUM($K$21:K37)/C37</f>
        <v>1370.4619608643252</v>
      </c>
      <c r="O37" s="18">
        <f t="shared" si="4"/>
        <v>6.4760943810174778</v>
      </c>
      <c r="P37" s="18">
        <f>AVERAGE($O$21:O37)</f>
        <v>29.766442618224598</v>
      </c>
      <c r="Q37" s="20">
        <f>SUM($J$21:J37)/N37</f>
        <v>-12.030523555926376</v>
      </c>
    </row>
    <row r="38" spans="1:24" x14ac:dyDescent="0.2">
      <c r="A38" s="15"/>
      <c r="B38" s="15" t="s">
        <v>6</v>
      </c>
      <c r="C38" s="39">
        <v>18</v>
      </c>
      <c r="D38" s="8">
        <f t="shared" si="7"/>
        <v>3750</v>
      </c>
      <c r="E38" s="16">
        <f t="shared" si="6"/>
        <v>4229.166666666667</v>
      </c>
      <c r="F38" s="16">
        <f t="shared" si="5"/>
        <v>5054.46</v>
      </c>
      <c r="G38" s="17">
        <f t="shared" si="1"/>
        <v>0.74191901805534122</v>
      </c>
      <c r="H38" s="18">
        <f>($T$52+C38*$T$53)*$T$63</f>
        <v>3074.9590207974798</v>
      </c>
      <c r="I38" s="19"/>
      <c r="J38" s="18">
        <f t="shared" si="2"/>
        <v>-675.04097920252025</v>
      </c>
      <c r="K38" s="18">
        <f t="shared" si="3"/>
        <v>675.04097920252025</v>
      </c>
      <c r="L38" s="18">
        <f>SUM($J$21:J38)</f>
        <v>-17162.415881881836</v>
      </c>
      <c r="M38" s="18">
        <f>SUMSQ($J$21:J38)/C38</f>
        <v>3976621.7639981825</v>
      </c>
      <c r="N38" s="18">
        <f>SUM($K$21:K38)/C38</f>
        <v>1331.8274618831138</v>
      </c>
      <c r="O38" s="18">
        <f t="shared" si="4"/>
        <v>18.001092778733874</v>
      </c>
      <c r="P38" s="18">
        <f>AVERAGE($O$21:O38)</f>
        <v>29.11281207158622</v>
      </c>
      <c r="Q38" s="20">
        <f>SUM($J$21:J38)/N38</f>
        <v>-12.88636581919954</v>
      </c>
      <c r="S38" s="55" t="s">
        <v>26</v>
      </c>
      <c r="T38" s="55"/>
    </row>
    <row r="39" spans="1:24" x14ac:dyDescent="0.2">
      <c r="A39" s="15"/>
      <c r="B39" s="15" t="s">
        <v>7</v>
      </c>
      <c r="C39" s="39">
        <v>19</v>
      </c>
      <c r="D39" s="8">
        <f t="shared" si="7"/>
        <v>4500</v>
      </c>
      <c r="E39" s="16">
        <f t="shared" si="6"/>
        <v>4437.5</v>
      </c>
      <c r="F39" s="16">
        <f t="shared" si="5"/>
        <v>5093.3799999999992</v>
      </c>
      <c r="G39" s="17">
        <f t="shared" si="1"/>
        <v>0.88349975851006612</v>
      </c>
      <c r="H39" s="18">
        <f>($T$52+C39*$T$53)*$T$64</f>
        <v>3142.9041548307773</v>
      </c>
      <c r="I39" s="19"/>
      <c r="J39" s="18">
        <f t="shared" si="2"/>
        <v>-1357.0958451692227</v>
      </c>
      <c r="K39" s="18">
        <f t="shared" si="3"/>
        <v>1357.0958451692227</v>
      </c>
      <c r="L39" s="18">
        <f>SUM($J$21:J39)</f>
        <v>-18519.51172705106</v>
      </c>
      <c r="M39" s="18">
        <f>SUMSQ($J$21:J39)/C39</f>
        <v>3864257.9413127811</v>
      </c>
      <c r="N39" s="18">
        <f>SUM($K$21:K39)/C39</f>
        <v>1333.1573767929092</v>
      </c>
      <c r="O39" s="18">
        <f t="shared" si="4"/>
        <v>30.157685448204948</v>
      </c>
      <c r="P39" s="18">
        <f>AVERAGE($O$21:O39)</f>
        <v>29.167805407197733</v>
      </c>
      <c r="Q39" s="20">
        <f>SUM($J$21:J39)/N39</f>
        <v>-13.891467016146478</v>
      </c>
      <c r="S39" s="52" t="s">
        <v>27</v>
      </c>
      <c r="T39" s="52">
        <f>SQRT(T40)</f>
        <v>0.87504285609334587</v>
      </c>
    </row>
    <row r="40" spans="1:24" x14ac:dyDescent="0.2">
      <c r="A40" s="15"/>
      <c r="B40" s="15" t="s">
        <v>8</v>
      </c>
      <c r="C40" s="39">
        <v>20</v>
      </c>
      <c r="D40" s="8">
        <f t="shared" si="7"/>
        <v>5500</v>
      </c>
      <c r="E40" s="16">
        <f t="shared" si="6"/>
        <v>4729.166666666667</v>
      </c>
      <c r="F40" s="16">
        <f t="shared" si="5"/>
        <v>5132.2999999999993</v>
      </c>
      <c r="G40" s="17">
        <f t="shared" si="1"/>
        <v>1.071644292032812</v>
      </c>
      <c r="H40" s="18">
        <f>($T$52+C40*$T$53)*$T$65</f>
        <v>3163.2498411178985</v>
      </c>
      <c r="I40" s="19"/>
      <c r="J40" s="18">
        <f t="shared" si="2"/>
        <v>-2336.7501588821015</v>
      </c>
      <c r="K40" s="18">
        <f t="shared" si="3"/>
        <v>2336.7501588821015</v>
      </c>
      <c r="L40" s="18">
        <f>SUM($J$21:J40)</f>
        <v>-20856.261885933163</v>
      </c>
      <c r="M40" s="18">
        <f>SUMSQ($J$21:J40)/C40</f>
        <v>3944065.109498919</v>
      </c>
      <c r="N40" s="18">
        <f>SUM($K$21:K40)/C40</f>
        <v>1383.3370158973689</v>
      </c>
      <c r="O40" s="18">
        <f t="shared" si="4"/>
        <v>42.486366525129114</v>
      </c>
      <c r="P40" s="18">
        <f>AVERAGE($O$21:O40)</f>
        <v>29.833733463094301</v>
      </c>
      <c r="Q40" s="20">
        <f>SUM($J$21:J40)/N40</f>
        <v>-15.076775685355122</v>
      </c>
      <c r="S40" s="52" t="s">
        <v>28</v>
      </c>
      <c r="T40" s="52">
        <v>0.76570000000000005</v>
      </c>
    </row>
    <row r="41" spans="1:24" x14ac:dyDescent="0.2">
      <c r="A41" s="15"/>
      <c r="B41" s="15" t="s">
        <v>9</v>
      </c>
      <c r="C41" s="39">
        <v>21</v>
      </c>
      <c r="D41" s="8">
        <f t="shared" si="7"/>
        <v>3500</v>
      </c>
      <c r="E41" s="16">
        <f t="shared" si="6"/>
        <v>4895.833333333333</v>
      </c>
      <c r="F41" s="16">
        <f t="shared" si="5"/>
        <v>5171.2199999999993</v>
      </c>
      <c r="G41" s="17">
        <f t="shared" si="1"/>
        <v>0.67682287738676761</v>
      </c>
      <c r="H41" s="18">
        <f>($T$52+C41*$T$53)*$T$66</f>
        <v>3034.2675396364971</v>
      </c>
      <c r="I41" s="19"/>
      <c r="J41" s="18">
        <f t="shared" si="2"/>
        <v>-465.73246036350292</v>
      </c>
      <c r="K41" s="18">
        <f t="shared" si="3"/>
        <v>465.73246036350292</v>
      </c>
      <c r="L41" s="18">
        <f>SUM($J$21:J41)</f>
        <v>-21321.994346296666</v>
      </c>
      <c r="M41" s="18">
        <f>SUMSQ($J$21:J41)/C41</f>
        <v>3766581.3768864102</v>
      </c>
      <c r="N41" s="18">
        <f>SUM($K$21:K41)/C41</f>
        <v>1339.6415608719467</v>
      </c>
      <c r="O41" s="18">
        <f t="shared" si="4"/>
        <v>13.306641724671511</v>
      </c>
      <c r="P41" s="18">
        <f>AVERAGE($O$21:O41)</f>
        <v>29.046729094597978</v>
      </c>
      <c r="Q41" s="20">
        <f>SUM($J$21:J41)/N41</f>
        <v>-15.916193531961335</v>
      </c>
      <c r="S41" s="52" t="s">
        <v>29</v>
      </c>
      <c r="T41" s="52">
        <v>0.91088044174102922</v>
      </c>
    </row>
    <row r="42" spans="1:24" x14ac:dyDescent="0.2">
      <c r="A42" s="15"/>
      <c r="B42" s="15" t="s">
        <v>10</v>
      </c>
      <c r="C42" s="39">
        <v>22</v>
      </c>
      <c r="D42" s="8">
        <f t="shared" si="7"/>
        <v>3250</v>
      </c>
      <c r="E42" s="16">
        <f t="shared" si="6"/>
        <v>4958.333333333333</v>
      </c>
      <c r="F42" s="16">
        <f t="shared" si="5"/>
        <v>5210.1399999999994</v>
      </c>
      <c r="G42" s="17">
        <f t="shared" si="1"/>
        <v>0.62378362193722248</v>
      </c>
      <c r="H42" s="18">
        <f>($T$52+C42*$T$53)*$T$67</f>
        <v>2969.3175858471013</v>
      </c>
      <c r="I42" s="19"/>
      <c r="J42" s="18">
        <f t="shared" si="2"/>
        <v>-280.68241415289867</v>
      </c>
      <c r="K42" s="18">
        <f t="shared" si="3"/>
        <v>280.68241415289867</v>
      </c>
      <c r="L42" s="18">
        <f>SUM($J$21:J42)</f>
        <v>-21602.676760449565</v>
      </c>
      <c r="M42" s="18">
        <f>SUMSQ($J$21:J42)/C42</f>
        <v>3598954.1605558782</v>
      </c>
      <c r="N42" s="18">
        <f>SUM($K$21:K42)/C42</f>
        <v>1291.5070542028991</v>
      </c>
      <c r="O42" s="18">
        <f t="shared" si="4"/>
        <v>8.6363819739353431</v>
      </c>
      <c r="P42" s="18">
        <f>AVERAGE($O$21:O42)</f>
        <v>28.118986043658769</v>
      </c>
      <c r="Q42" s="20">
        <f>SUM($J$21:J42)/N42</f>
        <v>-16.726719912329436</v>
      </c>
      <c r="S42" s="52" t="s">
        <v>30</v>
      </c>
      <c r="T42" s="52">
        <v>316.82998036150366</v>
      </c>
    </row>
    <row r="43" spans="1:24" ht="13.5" thickBot="1" x14ac:dyDescent="0.25">
      <c r="A43" s="15"/>
      <c r="B43" s="15" t="s">
        <v>11</v>
      </c>
      <c r="C43" s="39">
        <v>23</v>
      </c>
      <c r="D43" s="8">
        <f t="shared" si="7"/>
        <v>7250</v>
      </c>
      <c r="E43" s="16">
        <f t="shared" si="6"/>
        <v>5020.833333333333</v>
      </c>
      <c r="F43" s="16">
        <f t="shared" si="5"/>
        <v>5249.0599999999995</v>
      </c>
      <c r="G43" s="17">
        <f t="shared" si="1"/>
        <v>1.3811996814667771</v>
      </c>
      <c r="H43" s="18">
        <f>($T$52+C43*$T$53)*$T$68</f>
        <v>2865.1441015019273</v>
      </c>
      <c r="I43" s="19"/>
      <c r="J43" s="18">
        <f t="shared" si="2"/>
        <v>-4384.8558984980727</v>
      </c>
      <c r="K43" s="18">
        <f t="shared" si="3"/>
        <v>4384.8558984980727</v>
      </c>
      <c r="L43" s="18">
        <f>SUM($J$21:J43)</f>
        <v>-25987.532658947639</v>
      </c>
      <c r="M43" s="18">
        <f>SUMSQ($J$21:J43)/C43</f>
        <v>4278432.7296879422</v>
      </c>
      <c r="N43" s="18">
        <f>SUM($K$21:K43)/C43</f>
        <v>1426.0004822157327</v>
      </c>
      <c r="O43" s="18">
        <f t="shared" si="4"/>
        <v>60.480771013766521</v>
      </c>
      <c r="P43" s="18">
        <f>AVERAGE($O$21:O43)</f>
        <v>29.526020172793892</v>
      </c>
      <c r="Q43" s="20">
        <f>SUM($J$21:J43)/N43</f>
        <v>-18.224070035774442</v>
      </c>
      <c r="S43" s="53" t="s">
        <v>31</v>
      </c>
      <c r="T43" s="53">
        <v>60</v>
      </c>
    </row>
    <row r="44" spans="1:24" x14ac:dyDescent="0.2">
      <c r="A44" s="15"/>
      <c r="B44" s="15" t="s">
        <v>12</v>
      </c>
      <c r="C44" s="39">
        <v>24</v>
      </c>
      <c r="D44" s="8">
        <f t="shared" si="7"/>
        <v>9000</v>
      </c>
      <c r="E44" s="16">
        <f>(D38+D50+2*SUM(D39:D49))/(2*12)</f>
        <v>5156.25</v>
      </c>
      <c r="F44" s="16">
        <f t="shared" si="5"/>
        <v>5287.98</v>
      </c>
      <c r="G44" s="17">
        <f t="shared" si="1"/>
        <v>1.7019731542101144</v>
      </c>
      <c r="H44" s="18">
        <f>($T$52+C44*$T$53)*$T$69</f>
        <v>2874.1611384520647</v>
      </c>
      <c r="I44" s="19"/>
      <c r="J44" s="18">
        <f t="shared" si="2"/>
        <v>-6125.8388615479353</v>
      </c>
      <c r="K44" s="18">
        <f t="shared" si="3"/>
        <v>6125.8388615479353</v>
      </c>
      <c r="L44" s="18">
        <f>SUM($J$21:J44)</f>
        <v>-32113.371520495573</v>
      </c>
      <c r="M44" s="18">
        <f>SUMSQ($J$21:J44)/C44</f>
        <v>5663743.9391863989</v>
      </c>
      <c r="N44" s="18">
        <f>SUM($K$21:K44)/C44</f>
        <v>1621.8270813545744</v>
      </c>
      <c r="O44" s="18">
        <f t="shared" si="4"/>
        <v>68.064876239421494</v>
      </c>
      <c r="P44" s="18">
        <f>AVERAGE($O$21:O44)</f>
        <v>31.131805842236712</v>
      </c>
      <c r="Q44" s="20">
        <f>SUM($J$21:J44)/N44</f>
        <v>-19.800737014253087</v>
      </c>
    </row>
    <row r="45" spans="1:24" ht="13.5" thickBot="1" x14ac:dyDescent="0.25">
      <c r="A45" s="15" t="s">
        <v>60</v>
      </c>
      <c r="B45" s="15" t="s">
        <v>1</v>
      </c>
      <c r="C45" s="39">
        <v>25</v>
      </c>
      <c r="D45" s="60">
        <f>E4</f>
        <v>8000</v>
      </c>
      <c r="E45" s="16">
        <f t="shared" si="6"/>
        <v>5354.166666666667</v>
      </c>
      <c r="F45" s="16">
        <f t="shared" si="5"/>
        <v>5326.9</v>
      </c>
      <c r="G45" s="17">
        <f t="shared" si="1"/>
        <v>1.5018115601944848</v>
      </c>
      <c r="H45" s="18">
        <f>($T$52+C45*$T$53)*$T$58</f>
        <v>3249.3730599718706</v>
      </c>
      <c r="I45" s="19"/>
      <c r="J45" s="18">
        <f t="shared" si="2"/>
        <v>-4750.626940028129</v>
      </c>
      <c r="K45" s="18">
        <f t="shared" si="3"/>
        <v>4750.626940028129</v>
      </c>
      <c r="L45" s="18">
        <f>SUM($J$21:J45)</f>
        <v>-36863.998460523704</v>
      </c>
      <c r="M45" s="18">
        <f>SUMSQ($J$21:J45)/C45</f>
        <v>6339932.4345517838</v>
      </c>
      <c r="N45" s="18">
        <f>SUM($K$21:K45)/C45</f>
        <v>1746.9790757015166</v>
      </c>
      <c r="O45" s="18">
        <f t="shared" si="4"/>
        <v>59.382836750351608</v>
      </c>
      <c r="P45" s="18">
        <f>AVERAGE($O$21:O45)</f>
        <v>32.26184707856131</v>
      </c>
      <c r="Q45" s="20">
        <f>SUM($J$21:J45)/N45</f>
        <v>-21.101568400709439</v>
      </c>
      <c r="S45" t="s">
        <v>32</v>
      </c>
    </row>
    <row r="46" spans="1:24" x14ac:dyDescent="0.2">
      <c r="A46" s="15"/>
      <c r="B46" s="15" t="s">
        <v>2</v>
      </c>
      <c r="C46" s="39">
        <v>26</v>
      </c>
      <c r="D46" s="60">
        <f t="shared" ref="D46:D56" si="8">E5</f>
        <v>5000</v>
      </c>
      <c r="E46" s="16">
        <f t="shared" si="6"/>
        <v>5604.166666666667</v>
      </c>
      <c r="F46" s="16">
        <f t="shared" si="5"/>
        <v>5365.82</v>
      </c>
      <c r="G46" s="17">
        <f t="shared" si="1"/>
        <v>0.93182402689616872</v>
      </c>
      <c r="H46" s="18">
        <f>($T$52+C46*$T$53)*$T$59</f>
        <v>3249.4156180573682</v>
      </c>
      <c r="I46" s="19"/>
      <c r="J46" s="18">
        <f t="shared" si="2"/>
        <v>-1750.5843819426318</v>
      </c>
      <c r="K46" s="18">
        <f t="shared" si="3"/>
        <v>1750.5843819426318</v>
      </c>
      <c r="L46" s="18">
        <f>SUM($J$21:J46)</f>
        <v>-38614.582842466334</v>
      </c>
      <c r="M46" s="18">
        <f>SUMSQ($J$21:J46)/C46</f>
        <v>6213956.0208498482</v>
      </c>
      <c r="N46" s="18">
        <f>SUM($K$21:K46)/C46</f>
        <v>1747.1177413261748</v>
      </c>
      <c r="O46" s="18">
        <f t="shared" si="4"/>
        <v>35.011687638852635</v>
      </c>
      <c r="P46" s="18">
        <f>AVERAGE($O$21:O46)</f>
        <v>32.367610177034052</v>
      </c>
      <c r="Q46" s="20">
        <f>SUM($J$21:J46)/N46</f>
        <v>-22.101877812284922</v>
      </c>
      <c r="S46" s="54"/>
      <c r="T46" s="54" t="s">
        <v>33</v>
      </c>
      <c r="U46" s="54" t="s">
        <v>34</v>
      </c>
      <c r="V46" s="54" t="s">
        <v>35</v>
      </c>
      <c r="W46" s="54" t="s">
        <v>36</v>
      </c>
      <c r="X46" s="54" t="s">
        <v>37</v>
      </c>
    </row>
    <row r="47" spans="1:24" x14ac:dyDescent="0.2">
      <c r="A47" s="15"/>
      <c r="B47" s="15" t="s">
        <v>3</v>
      </c>
      <c r="C47" s="39">
        <v>27</v>
      </c>
      <c r="D47" s="60">
        <f t="shared" si="8"/>
        <v>4000</v>
      </c>
      <c r="E47" s="16">
        <f t="shared" si="6"/>
        <v>5854.166666666667</v>
      </c>
      <c r="F47" s="16">
        <f t="shared" si="5"/>
        <v>5404.74</v>
      </c>
      <c r="G47" s="17">
        <f t="shared" si="1"/>
        <v>0.74009110521505195</v>
      </c>
      <c r="H47" s="18">
        <f>($T$52+C47*$T$53)*$T$60</f>
        <v>3301.8837031091484</v>
      </c>
      <c r="I47" s="19"/>
      <c r="J47" s="18">
        <f t="shared" si="2"/>
        <v>-698.11629689085157</v>
      </c>
      <c r="K47" s="18">
        <f t="shared" si="3"/>
        <v>698.11629689085157</v>
      </c>
      <c r="L47" s="18">
        <f>SUM($J$21:J47)</f>
        <v>-39312.699139357188</v>
      </c>
      <c r="M47" s="18">
        <f>SUMSQ($J$21:J47)/C47</f>
        <v>6001860.1076326156</v>
      </c>
      <c r="N47" s="18">
        <f>SUM($K$21:K47)/C47</f>
        <v>1708.2658359767186</v>
      </c>
      <c r="O47" s="18">
        <f t="shared" si="4"/>
        <v>17.452907422271288</v>
      </c>
      <c r="P47" s="18">
        <f>AVERAGE($O$21:O47)</f>
        <v>31.815213778709509</v>
      </c>
      <c r="Q47" s="20">
        <f>SUM($J$21:J47)/N47</f>
        <v>-23.013220958598488</v>
      </c>
      <c r="S47" s="52" t="s">
        <v>38</v>
      </c>
      <c r="T47" s="52">
        <v>1</v>
      </c>
      <c r="U47" s="52">
        <v>48321663.065159589</v>
      </c>
      <c r="V47" s="52">
        <v>48321663.065159589</v>
      </c>
      <c r="W47" s="52">
        <v>481.38142915187711</v>
      </c>
      <c r="X47" s="52">
        <v>5.2688669029353572E-26</v>
      </c>
    </row>
    <row r="48" spans="1:24" x14ac:dyDescent="0.2">
      <c r="A48" s="15"/>
      <c r="B48" s="15" t="s">
        <v>4</v>
      </c>
      <c r="C48" s="39">
        <v>28</v>
      </c>
      <c r="D48" s="60">
        <f t="shared" si="8"/>
        <v>3000</v>
      </c>
      <c r="E48" s="16">
        <f t="shared" si="6"/>
        <v>6031.25</v>
      </c>
      <c r="F48" s="16">
        <f t="shared" si="5"/>
        <v>5443.66</v>
      </c>
      <c r="G48" s="17">
        <f t="shared" si="1"/>
        <v>0.55109981152386445</v>
      </c>
      <c r="H48" s="18">
        <f>($T$52+C48*$T$53)*$T$61</f>
        <v>3365.3242567953889</v>
      </c>
      <c r="I48" s="19"/>
      <c r="J48" s="18">
        <f t="shared" si="2"/>
        <v>365.32425679538892</v>
      </c>
      <c r="K48" s="18">
        <f t="shared" si="3"/>
        <v>365.32425679538892</v>
      </c>
      <c r="L48" s="18">
        <f>SUM($J$21:J48)</f>
        <v>-38947.374882561802</v>
      </c>
      <c r="M48" s="18">
        <f>SUMSQ($J$21:J48)/C48</f>
        <v>5792274.4542387053</v>
      </c>
      <c r="N48" s="18">
        <f>SUM($K$21:K48)/C48</f>
        <v>1660.3036367202424</v>
      </c>
      <c r="O48" s="18">
        <f t="shared" si="4"/>
        <v>12.177475226512964</v>
      </c>
      <c r="P48" s="18">
        <f>AVERAGE($O$21:O48)</f>
        <v>31.113865973273914</v>
      </c>
      <c r="Q48" s="20">
        <f>SUM($J$21:J48)/N48</f>
        <v>-23.457983239438239</v>
      </c>
      <c r="S48" s="52" t="s">
        <v>39</v>
      </c>
      <c r="T48" s="52">
        <v>59</v>
      </c>
      <c r="U48" s="52">
        <v>4617536.8769700564</v>
      </c>
      <c r="V48" s="52">
        <v>100381.23645587079</v>
      </c>
      <c r="W48" s="52"/>
      <c r="X48" s="52"/>
    </row>
    <row r="49" spans="1:27" ht="13.5" thickBot="1" x14ac:dyDescent="0.25">
      <c r="A49" s="15"/>
      <c r="B49" s="15" t="s">
        <v>5</v>
      </c>
      <c r="C49" s="39">
        <v>29</v>
      </c>
      <c r="D49" s="60">
        <f t="shared" si="8"/>
        <v>4000</v>
      </c>
      <c r="E49" s="16">
        <f t="shared" si="6"/>
        <v>6052.083333333333</v>
      </c>
      <c r="F49" s="16">
        <f t="shared" si="5"/>
        <v>5482.58</v>
      </c>
      <c r="G49" s="17">
        <f t="shared" si="1"/>
        <v>0.72958351724917836</v>
      </c>
      <c r="H49" s="18">
        <f>($T$52+C49*$T$53)*$T$62</f>
        <v>3491.7299365460872</v>
      </c>
      <c r="I49" s="19"/>
      <c r="J49" s="18">
        <f t="shared" si="2"/>
        <v>-508.27006345391283</v>
      </c>
      <c r="K49" s="18">
        <f t="shared" si="3"/>
        <v>508.27006345391283</v>
      </c>
      <c r="L49" s="18">
        <f>SUM($J$21:J49)</f>
        <v>-39455.644946015716</v>
      </c>
      <c r="M49" s="18">
        <f>SUMSQ($J$21:J49)/C49</f>
        <v>5601449.0750374896</v>
      </c>
      <c r="N49" s="18">
        <f>SUM($K$21:K49)/C49</f>
        <v>1620.5783410903691</v>
      </c>
      <c r="O49" s="18">
        <f t="shared" si="4"/>
        <v>12.706751586347821</v>
      </c>
      <c r="P49" s="18">
        <f>AVERAGE($O$21:O49)</f>
        <v>30.479137890966122</v>
      </c>
      <c r="Q49" s="20">
        <f>SUM($J$21:J49)/N49</f>
        <v>-24.346644617913928</v>
      </c>
      <c r="S49" s="53" t="s">
        <v>13</v>
      </c>
      <c r="T49" s="53">
        <v>60</v>
      </c>
      <c r="U49" s="53">
        <v>52939199.942129642</v>
      </c>
      <c r="V49" s="53"/>
      <c r="W49" s="53"/>
      <c r="X49" s="53"/>
    </row>
    <row r="50" spans="1:27" ht="13.5" thickBot="1" x14ac:dyDescent="0.25">
      <c r="A50" s="15"/>
      <c r="B50" s="15" t="s">
        <v>6</v>
      </c>
      <c r="C50" s="39">
        <v>30</v>
      </c>
      <c r="D50" s="60">
        <f t="shared" si="8"/>
        <v>6000</v>
      </c>
      <c r="E50" s="16">
        <f t="shared" si="6"/>
        <v>6083.333333333333</v>
      </c>
      <c r="F50" s="16">
        <f t="shared" si="5"/>
        <v>5521.5</v>
      </c>
      <c r="G50" s="17">
        <f t="shared" si="1"/>
        <v>1.0866612333604999</v>
      </c>
      <c r="H50" s="18">
        <f>($T$52+C50*$T$53)*$T$63</f>
        <v>3359.0900379730542</v>
      </c>
      <c r="I50" s="19"/>
      <c r="J50" s="18">
        <f t="shared" si="2"/>
        <v>-2640.9099620269458</v>
      </c>
      <c r="K50" s="18">
        <f t="shared" si="3"/>
        <v>2640.9099620269458</v>
      </c>
      <c r="L50" s="18">
        <f>SUM($J$21:J50)</f>
        <v>-42096.554908042664</v>
      </c>
      <c r="M50" s="18">
        <f>SUMSQ($J$21:J50)/C50</f>
        <v>5647214.2867873451</v>
      </c>
      <c r="N50" s="18">
        <f>SUM($K$21:K50)/C50</f>
        <v>1654.5893951215883</v>
      </c>
      <c r="O50" s="18">
        <f t="shared" si="4"/>
        <v>44.015166033782428</v>
      </c>
      <c r="P50" s="18">
        <f>AVERAGE($O$21:O50)</f>
        <v>30.930338829059998</v>
      </c>
      <c r="Q50" s="20">
        <f>SUM($J$21:J50)/N50</f>
        <v>-25.442297063042144</v>
      </c>
    </row>
    <row r="51" spans="1:27" x14ac:dyDescent="0.2">
      <c r="A51" s="15"/>
      <c r="B51" s="15" t="s">
        <v>7</v>
      </c>
      <c r="C51" s="39">
        <v>31</v>
      </c>
      <c r="D51" s="60">
        <f t="shared" si="8"/>
        <v>7000</v>
      </c>
      <c r="E51" s="16">
        <f t="shared" si="6"/>
        <v>6145.833333333333</v>
      </c>
      <c r="F51" s="16">
        <f t="shared" si="5"/>
        <v>5560.42</v>
      </c>
      <c r="G51" s="17">
        <f t="shared" si="1"/>
        <v>1.2588977091658544</v>
      </c>
      <c r="H51" s="18">
        <f>($T$52+C51*$T$53)*$T$64</f>
        <v>3431.0943068461715</v>
      </c>
      <c r="I51" s="19"/>
      <c r="J51" s="18">
        <f t="shared" si="2"/>
        <v>-3568.9056931538285</v>
      </c>
      <c r="K51" s="18">
        <f t="shared" si="3"/>
        <v>3568.9056931538285</v>
      </c>
      <c r="L51" s="18">
        <f>SUM($J$21:J51)</f>
        <v>-45665.460601196493</v>
      </c>
      <c r="M51" s="18">
        <f>SUMSQ($J$21:J51)/C51</f>
        <v>5875919.8854918117</v>
      </c>
      <c r="N51" s="18">
        <f>SUM($K$21:K51)/C51</f>
        <v>1716.3415337677895</v>
      </c>
      <c r="O51" s="18">
        <f t="shared" si="4"/>
        <v>50.98436704505469</v>
      </c>
      <c r="P51" s="18">
        <f>AVERAGE($O$21:O51)</f>
        <v>31.577242965059824</v>
      </c>
      <c r="Q51" s="20">
        <f>SUM($J$21:J51)/N51</f>
        <v>-26.606278355887383</v>
      </c>
      <c r="S51" s="54"/>
      <c r="T51" s="54" t="s">
        <v>40</v>
      </c>
      <c r="U51" s="54" t="s">
        <v>30</v>
      </c>
      <c r="V51" s="54" t="s">
        <v>41</v>
      </c>
      <c r="W51" s="54" t="s">
        <v>42</v>
      </c>
      <c r="X51" s="54" t="s">
        <v>43</v>
      </c>
      <c r="Y51" s="54" t="s">
        <v>44</v>
      </c>
      <c r="Z51" s="54" t="s">
        <v>64</v>
      </c>
      <c r="AA51" s="54" t="s">
        <v>65</v>
      </c>
    </row>
    <row r="52" spans="1:27" x14ac:dyDescent="0.2">
      <c r="A52" s="15"/>
      <c r="B52" s="15" t="s">
        <v>8</v>
      </c>
      <c r="C52" s="39">
        <v>32</v>
      </c>
      <c r="D52" s="60">
        <f t="shared" si="8"/>
        <v>9000</v>
      </c>
      <c r="E52" s="16">
        <f t="shared" si="6"/>
        <v>6083.333333333333</v>
      </c>
      <c r="F52" s="16">
        <f t="shared" si="5"/>
        <v>5599.34</v>
      </c>
      <c r="G52" s="17">
        <f t="shared" si="1"/>
        <v>1.6073322927345008</v>
      </c>
      <c r="H52" s="18">
        <f>($T$52+C52*$T$53)*$T$65</f>
        <v>3451.1060080987268</v>
      </c>
      <c r="I52" s="19"/>
      <c r="J52" s="18">
        <f t="shared" si="2"/>
        <v>-5548.8939919012737</v>
      </c>
      <c r="K52" s="18">
        <f t="shared" si="3"/>
        <v>5548.8939919012737</v>
      </c>
      <c r="L52" s="18">
        <f>SUM($J$21:J52)</f>
        <v>-51214.354593097771</v>
      </c>
      <c r="M52" s="18">
        <f>SUMSQ($J$21:J52)/C52</f>
        <v>6654491.905737631</v>
      </c>
      <c r="N52" s="18">
        <f>SUM($K$21:K52)/C52</f>
        <v>1836.1087980844609</v>
      </c>
      <c r="O52" s="18">
        <f t="shared" si="4"/>
        <v>61.654377687791929</v>
      </c>
      <c r="P52" s="18">
        <f>AVERAGE($O$21:O52)</f>
        <v>32.517153425145203</v>
      </c>
      <c r="Q52" s="20">
        <f>SUM($J$21:J52)/N52</f>
        <v>-27.892875763422989</v>
      </c>
      <c r="S52" s="52" t="s">
        <v>45</v>
      </c>
      <c r="T52" s="56">
        <v>4353.8999999999996</v>
      </c>
      <c r="U52" s="52">
        <v>110.580357032511</v>
      </c>
      <c r="V52" s="52">
        <v>53.633093544368208</v>
      </c>
      <c r="W52" s="52">
        <v>4.0044961385689567E-43</v>
      </c>
      <c r="X52" s="52">
        <v>5708.1799188966115</v>
      </c>
      <c r="Y52" s="52">
        <v>6153.3533468919732</v>
      </c>
      <c r="Z52" s="52">
        <v>5708.1799188966115</v>
      </c>
      <c r="AA52" s="52">
        <v>6153.3533468919732</v>
      </c>
    </row>
    <row r="53" spans="1:27" ht="13.5" thickBot="1" x14ac:dyDescent="0.25">
      <c r="A53" s="15"/>
      <c r="B53" s="15" t="s">
        <v>9</v>
      </c>
      <c r="C53" s="39">
        <v>33</v>
      </c>
      <c r="D53" s="60">
        <f t="shared" si="8"/>
        <v>6000</v>
      </c>
      <c r="E53" s="16">
        <f t="shared" si="6"/>
        <v>6041.666666666667</v>
      </c>
      <c r="F53" s="16">
        <f t="shared" si="5"/>
        <v>5638.26</v>
      </c>
      <c r="G53" s="17">
        <f t="shared" si="1"/>
        <v>1.0641580913260473</v>
      </c>
      <c r="H53" s="18">
        <f>($T$52+C53*$T$53)*$T$66</f>
        <v>3308.3081551415098</v>
      </c>
      <c r="I53" s="19"/>
      <c r="J53" s="18">
        <f t="shared" si="2"/>
        <v>-2691.6918448584902</v>
      </c>
      <c r="K53" s="18">
        <f t="shared" si="3"/>
        <v>2691.6918448584902</v>
      </c>
      <c r="L53" s="18">
        <f>SUM($J$21:J53)</f>
        <v>-53906.046437956262</v>
      </c>
      <c r="M53" s="18">
        <f>SUMSQ($J$21:J53)/C53</f>
        <v>6672392.3021600572</v>
      </c>
      <c r="N53" s="18">
        <f>SUM($K$21:K53)/C53</f>
        <v>1862.0355570776132</v>
      </c>
      <c r="O53" s="18">
        <f t="shared" si="4"/>
        <v>44.861530747641503</v>
      </c>
      <c r="P53" s="18">
        <f>AVERAGE($O$21:O53)</f>
        <v>32.891225465220849</v>
      </c>
      <c r="Q53" s="20">
        <f>SUM($J$21:J53)/N53</f>
        <v>-28.950062866983885</v>
      </c>
      <c r="S53" s="53" t="s">
        <v>46</v>
      </c>
      <c r="T53" s="48">
        <v>38.92</v>
      </c>
      <c r="U53" s="53">
        <v>3.3010287422649198</v>
      </c>
      <c r="V53" s="53">
        <v>21.940406312369802</v>
      </c>
      <c r="W53" s="53">
        <v>5.2688669029354709E-26</v>
      </c>
      <c r="X53" s="53">
        <v>65.781285626891744</v>
      </c>
      <c r="Y53" s="53">
        <v>79.070538081314922</v>
      </c>
      <c r="Z53" s="53">
        <v>65.781285626891744</v>
      </c>
      <c r="AA53" s="53">
        <v>79.070538081314922</v>
      </c>
    </row>
    <row r="54" spans="1:27" x14ac:dyDescent="0.2">
      <c r="A54" s="15"/>
      <c r="B54" s="15" t="s">
        <v>10</v>
      </c>
      <c r="C54" s="39">
        <v>34</v>
      </c>
      <c r="D54" s="60">
        <f t="shared" si="8"/>
        <v>5000</v>
      </c>
      <c r="E54" s="16">
        <f t="shared" si="6"/>
        <v>6000</v>
      </c>
      <c r="F54" s="16">
        <f t="shared" si="5"/>
        <v>5677.1799999999994</v>
      </c>
      <c r="G54" s="17">
        <f t="shared" si="1"/>
        <v>0.88071894849203314</v>
      </c>
      <c r="H54" s="18">
        <f>($T$52+C54*$T$53)*$T$67</f>
        <v>3235.4889526998213</v>
      </c>
      <c r="I54" s="19"/>
      <c r="J54" s="18">
        <f t="shared" si="2"/>
        <v>-1764.5110473001787</v>
      </c>
      <c r="K54" s="18">
        <f t="shared" si="3"/>
        <v>1764.5110473001787</v>
      </c>
      <c r="L54" s="18">
        <f>SUM($J$21:J54)</f>
        <v>-55670.557485256439</v>
      </c>
      <c r="M54" s="18">
        <f>SUMSQ($J$21:J54)/C54</f>
        <v>6567718.9766860669</v>
      </c>
      <c r="N54" s="18">
        <f>SUM($K$21:K54)/C54</f>
        <v>1859.1671891429828</v>
      </c>
      <c r="O54" s="18">
        <f t="shared" si="4"/>
        <v>35.290220946003572</v>
      </c>
      <c r="P54" s="18">
        <f>AVERAGE($O$21:O54)</f>
        <v>32.961784155832106</v>
      </c>
      <c r="Q54" s="20">
        <f>SUM($J$21:J54)/N54</f>
        <v>-29.94381452639491</v>
      </c>
    </row>
    <row r="55" spans="1:27" x14ac:dyDescent="0.2">
      <c r="A55" s="15"/>
      <c r="B55" s="15" t="s">
        <v>11</v>
      </c>
      <c r="C55" s="39">
        <v>35</v>
      </c>
      <c r="D55" s="60">
        <f t="shared" si="8"/>
        <v>6000</v>
      </c>
      <c r="E55" s="16">
        <f t="shared" si="6"/>
        <v>5979.166666666667</v>
      </c>
      <c r="F55" s="16">
        <f t="shared" si="5"/>
        <v>5716.0999999999995</v>
      </c>
      <c r="G55" s="17">
        <f t="shared" si="1"/>
        <v>1.049666730812967</v>
      </c>
      <c r="H55" s="18">
        <f>($T$52+C55*$T$53)*$T$68</f>
        <v>3120.072965177606</v>
      </c>
      <c r="I55" s="19"/>
      <c r="J55" s="18">
        <f t="shared" si="2"/>
        <v>-2879.927034822394</v>
      </c>
      <c r="K55" s="18">
        <f t="shared" si="3"/>
        <v>2879.927034822394</v>
      </c>
      <c r="L55" s="18">
        <f>SUM($J$21:J55)</f>
        <v>-58550.484520078833</v>
      </c>
      <c r="M55" s="18">
        <f>SUMSQ($J$21:J55)/C55</f>
        <v>6617040.7123779198</v>
      </c>
      <c r="N55" s="18">
        <f>SUM($K$21:K55)/C55</f>
        <v>1888.3317561623944</v>
      </c>
      <c r="O55" s="18">
        <f t="shared" si="4"/>
        <v>47.998783913706568</v>
      </c>
      <c r="P55" s="18">
        <f>AVERAGE($O$21:O55)</f>
        <v>33.391412720342807</v>
      </c>
      <c r="Q55" s="20">
        <f>SUM($J$21:J55)/N55</f>
        <v>-31.00646077099789</v>
      </c>
      <c r="S55" s="62" t="s">
        <v>85</v>
      </c>
      <c r="T55" t="s">
        <v>88</v>
      </c>
    </row>
    <row r="56" spans="1:27" x14ac:dyDescent="0.2">
      <c r="A56" s="15"/>
      <c r="B56" s="15" t="s">
        <v>12</v>
      </c>
      <c r="C56" s="39">
        <v>36</v>
      </c>
      <c r="D56" s="60">
        <f t="shared" si="8"/>
        <v>11000</v>
      </c>
      <c r="E56" s="16">
        <f t="shared" si="6"/>
        <v>5958.333333333333</v>
      </c>
      <c r="F56" s="16">
        <f t="shared" si="5"/>
        <v>5755.0199999999995</v>
      </c>
      <c r="G56" s="17">
        <f t="shared" si="1"/>
        <v>1.9113747649877848</v>
      </c>
      <c r="H56" s="18">
        <f>($T$52+C56*$T$53)*$T$69</f>
        <v>3128.0100974312313</v>
      </c>
      <c r="I56" s="19"/>
      <c r="J56" s="18">
        <f t="shared" si="2"/>
        <v>-7871.9899025687682</v>
      </c>
      <c r="K56" s="18">
        <f t="shared" si="3"/>
        <v>7871.9899025687682</v>
      </c>
      <c r="L56" s="18">
        <f>SUM($J$21:J56)</f>
        <v>-66422.474422647603</v>
      </c>
      <c r="M56" s="18">
        <f>SUMSQ($J$21:J56)/C56</f>
        <v>8154573.6099825501</v>
      </c>
      <c r="N56" s="18">
        <f>SUM($K$21:K56)/C56</f>
        <v>2054.5444824514602</v>
      </c>
      <c r="O56" s="18">
        <f t="shared" si="4"/>
        <v>71.563544568806975</v>
      </c>
      <c r="P56" s="18">
        <f>AVERAGE($O$21:O56)</f>
        <v>34.451749716133477</v>
      </c>
      <c r="Q56" s="20">
        <f>SUM($J$21:J56)/N56</f>
        <v>-32.329538245574042</v>
      </c>
    </row>
    <row r="57" spans="1:27" x14ac:dyDescent="0.2">
      <c r="A57" s="15" t="s">
        <v>61</v>
      </c>
      <c r="B57" s="15" t="s">
        <v>1</v>
      </c>
      <c r="C57" s="39">
        <v>37</v>
      </c>
      <c r="D57" s="60">
        <f>F4</f>
        <v>7500</v>
      </c>
      <c r="E57" s="16">
        <f t="shared" si="6"/>
        <v>5937.5</v>
      </c>
      <c r="F57" s="16">
        <f t="shared" si="5"/>
        <v>5793.94</v>
      </c>
      <c r="G57" s="17">
        <f t="shared" si="1"/>
        <v>1.2944559315422666</v>
      </c>
      <c r="H57" s="18">
        <f>($T$52+C57*$T$53)*$T$58</f>
        <v>3534.2643089026301</v>
      </c>
      <c r="I57" s="19"/>
      <c r="J57" s="18">
        <f t="shared" si="2"/>
        <v>-3965.7356910973699</v>
      </c>
      <c r="K57" s="18">
        <f t="shared" si="3"/>
        <v>3965.7356910973699</v>
      </c>
      <c r="L57" s="18">
        <f>SUM($J$21:J57)</f>
        <v>-70388.210113744979</v>
      </c>
      <c r="M57" s="18">
        <f>SUMSQ($J$21:J57)/C57</f>
        <v>8359235.3927301439</v>
      </c>
      <c r="N57" s="18">
        <f>SUM($K$21:K57)/C57</f>
        <v>2106.19829890135</v>
      </c>
      <c r="O57" s="18">
        <f t="shared" si="4"/>
        <v>52.876475881298269</v>
      </c>
      <c r="P57" s="18">
        <f>AVERAGE($O$21:O57)</f>
        <v>34.94971528816496</v>
      </c>
      <c r="Q57" s="20">
        <f>SUM($J$21:J57)/N57</f>
        <v>-33.419555105737849</v>
      </c>
      <c r="S57" s="48" t="s">
        <v>86</v>
      </c>
      <c r="T57" s="48" t="s">
        <v>89</v>
      </c>
      <c r="U57" s="62"/>
      <c r="V57" s="62"/>
      <c r="W57" s="62"/>
      <c r="X57" s="62"/>
      <c r="Y57" s="62"/>
      <c r="Z57" s="62"/>
      <c r="AA57" s="62"/>
    </row>
    <row r="58" spans="1:27" x14ac:dyDescent="0.2">
      <c r="A58" s="15"/>
      <c r="B58" s="15" t="s">
        <v>2</v>
      </c>
      <c r="C58" s="39">
        <v>38</v>
      </c>
      <c r="D58" s="60">
        <f t="shared" ref="D58:D68" si="9">F5</f>
        <v>4000</v>
      </c>
      <c r="E58" s="16">
        <f t="shared" si="6"/>
        <v>5979.166666666667</v>
      </c>
      <c r="F58" s="16">
        <f t="shared" si="5"/>
        <v>5832.86</v>
      </c>
      <c r="G58" s="17">
        <f t="shared" si="1"/>
        <v>0.6857699310458335</v>
      </c>
      <c r="H58" s="18">
        <f>($T$52+C58*$T$53)*$T$59</f>
        <v>3532.2441643480588</v>
      </c>
      <c r="I58" s="19"/>
      <c r="J58" s="18">
        <f t="shared" si="2"/>
        <v>-467.7558356519412</v>
      </c>
      <c r="K58" s="18">
        <f t="shared" si="3"/>
        <v>467.7558356519412</v>
      </c>
      <c r="L58" s="18">
        <f>SUM($J$21:J58)</f>
        <v>-70855.965949396923</v>
      </c>
      <c r="M58" s="18">
        <f>SUMSQ($J$21:J58)/C58</f>
        <v>8145013.2908632047</v>
      </c>
      <c r="N58" s="18">
        <f>SUM($K$21:K58)/C58</f>
        <v>2063.0813919737338</v>
      </c>
      <c r="O58" s="18">
        <f t="shared" si="4"/>
        <v>11.69389589129853</v>
      </c>
      <c r="P58" s="18">
        <f>AVERAGE($O$21:O58)</f>
        <v>34.337720040878999</v>
      </c>
      <c r="Q58" s="20">
        <f>SUM($J$21:J58)/N58</f>
        <v>-34.344726400546698</v>
      </c>
      <c r="S58" s="49" t="s">
        <v>1</v>
      </c>
      <c r="T58" s="64">
        <v>0.60999325310628527</v>
      </c>
    </row>
    <row r="59" spans="1:27" x14ac:dyDescent="0.2">
      <c r="A59" s="15"/>
      <c r="B59" s="15" t="s">
        <v>3</v>
      </c>
      <c r="C59" s="39">
        <v>39</v>
      </c>
      <c r="D59" s="60">
        <f t="shared" si="9"/>
        <v>4000</v>
      </c>
      <c r="E59" s="16">
        <f t="shared" si="6"/>
        <v>5958.333333333333</v>
      </c>
      <c r="F59" s="16">
        <f t="shared" si="5"/>
        <v>5871.78</v>
      </c>
      <c r="G59" s="17">
        <f t="shared" si="1"/>
        <v>0.68122443279550671</v>
      </c>
      <c r="H59" s="18">
        <f>($T$52+C59*$T$53)*$T$60</f>
        <v>3587.2095031846552</v>
      </c>
      <c r="I59" s="19"/>
      <c r="J59" s="18">
        <f t="shared" si="2"/>
        <v>-412.7904968153448</v>
      </c>
      <c r="K59" s="18">
        <f t="shared" si="3"/>
        <v>412.7904968153448</v>
      </c>
      <c r="L59" s="18">
        <f>SUM($J$21:J59)</f>
        <v>-71268.756446212268</v>
      </c>
      <c r="M59" s="18">
        <f>SUMSQ($J$21:J59)/C59</f>
        <v>7940535.9242836637</v>
      </c>
      <c r="N59" s="18">
        <f>SUM($K$21:K59)/C59</f>
        <v>2020.7662408158264</v>
      </c>
      <c r="O59" s="18">
        <f t="shared" si="4"/>
        <v>10.31976242038362</v>
      </c>
      <c r="P59" s="18">
        <f>AVERAGE($O$21:O59)</f>
        <v>33.721874973686809</v>
      </c>
      <c r="Q59" s="20">
        <f>SUM($J$21:J59)/N59</f>
        <v>-35.268184417728371</v>
      </c>
      <c r="S59" s="49" t="s">
        <v>2</v>
      </c>
      <c r="T59" s="64">
        <v>0.605576709255504</v>
      </c>
    </row>
    <row r="60" spans="1:27" x14ac:dyDescent="0.2">
      <c r="A60" s="15"/>
      <c r="B60" s="15" t="s">
        <v>4</v>
      </c>
      <c r="C60" s="39">
        <v>40</v>
      </c>
      <c r="D60" s="60">
        <f t="shared" si="9"/>
        <v>2000</v>
      </c>
      <c r="E60" s="16">
        <f t="shared" si="6"/>
        <v>5854.166666666667</v>
      </c>
      <c r="F60" s="16">
        <f t="shared" si="5"/>
        <v>5910.7</v>
      </c>
      <c r="G60" s="17">
        <f t="shared" si="1"/>
        <v>0.33836939787165649</v>
      </c>
      <c r="H60" s="18">
        <f>($T$52+C60*$T$53)*$T$61</f>
        <v>3654.0529872623388</v>
      </c>
      <c r="I60" s="19"/>
      <c r="J60" s="18">
        <f t="shared" si="2"/>
        <v>1654.0529872623388</v>
      </c>
      <c r="K60" s="18">
        <f t="shared" si="3"/>
        <v>1654.0529872623388</v>
      </c>
      <c r="L60" s="18">
        <f>SUM($J$21:J60)</f>
        <v>-69614.703458949924</v>
      </c>
      <c r="M60" s="18">
        <f>SUMSQ($J$21:J60)/C60</f>
        <v>7810419.8082933594</v>
      </c>
      <c r="N60" s="18">
        <f>SUM($K$21:K60)/C60</f>
        <v>2011.5984094769894</v>
      </c>
      <c r="O60" s="18">
        <f t="shared" si="4"/>
        <v>82.702649363116947</v>
      </c>
      <c r="P60" s="18">
        <f>AVERAGE($O$21:O60)</f>
        <v>34.94639433342256</v>
      </c>
      <c r="Q60" s="20">
        <f>SUM($J$21:J60)/N60</f>
        <v>-34.606660619228457</v>
      </c>
      <c r="S60" s="49" t="s">
        <v>3</v>
      </c>
      <c r="T60" s="64">
        <v>0.61092368978140454</v>
      </c>
    </row>
    <row r="61" spans="1:27" x14ac:dyDescent="0.2">
      <c r="A61" s="15"/>
      <c r="B61" s="15" t="s">
        <v>5</v>
      </c>
      <c r="C61" s="39">
        <v>41</v>
      </c>
      <c r="D61" s="60">
        <f t="shared" si="9"/>
        <v>4500</v>
      </c>
      <c r="E61" s="16">
        <f t="shared" si="6"/>
        <v>5812.5</v>
      </c>
      <c r="F61" s="16">
        <f t="shared" si="5"/>
        <v>5949.62</v>
      </c>
      <c r="G61" s="17">
        <f t="shared" si="1"/>
        <v>0.75635082576702384</v>
      </c>
      <c r="H61" s="18">
        <f>($T$52+C61*$T$53)*$T$62</f>
        <v>3789.1770416616505</v>
      </c>
      <c r="I61" s="19"/>
      <c r="J61" s="18">
        <f t="shared" si="2"/>
        <v>-710.82295833834951</v>
      </c>
      <c r="K61" s="18">
        <f t="shared" si="3"/>
        <v>710.82295833834951</v>
      </c>
      <c r="L61" s="18">
        <f>SUM($J$21:J61)</f>
        <v>-70325.526417288274</v>
      </c>
      <c r="M61" s="18">
        <f>SUMSQ($J$21:J61)/C61</f>
        <v>7632245.4051179336</v>
      </c>
      <c r="N61" s="18">
        <f>SUM($K$21:K61)/C61</f>
        <v>1979.8721789614128</v>
      </c>
      <c r="O61" s="18">
        <f t="shared" si="4"/>
        <v>15.79606574085221</v>
      </c>
      <c r="P61" s="18">
        <f>AVERAGE($O$21:O61)</f>
        <v>34.479313148237921</v>
      </c>
      <c r="Q61" s="20">
        <f>SUM($J$21:J61)/N61</f>
        <v>-35.520235682173755</v>
      </c>
      <c r="S61" s="49" t="s">
        <v>4</v>
      </c>
      <c r="T61" s="64">
        <v>0.61820985454554267</v>
      </c>
    </row>
    <row r="62" spans="1:27" x14ac:dyDescent="0.2">
      <c r="A62" s="15"/>
      <c r="B62" s="15" t="s">
        <v>6</v>
      </c>
      <c r="C62" s="39">
        <v>42</v>
      </c>
      <c r="D62" s="60">
        <f t="shared" si="9"/>
        <v>5000</v>
      </c>
      <c r="E62" s="16">
        <f t="shared" si="6"/>
        <v>5833.333333333333</v>
      </c>
      <c r="F62" s="16">
        <f t="shared" si="5"/>
        <v>5988.54</v>
      </c>
      <c r="G62" s="17">
        <f t="shared" si="1"/>
        <v>0.83492804590100422</v>
      </c>
      <c r="H62" s="18">
        <f>($T$52+C62*$T$53)*$T$63</f>
        <v>3643.2210551486287</v>
      </c>
      <c r="I62" s="19"/>
      <c r="J62" s="18">
        <f t="shared" si="2"/>
        <v>-1356.7789448513713</v>
      </c>
      <c r="K62" s="18">
        <f t="shared" si="3"/>
        <v>1356.7789448513713</v>
      </c>
      <c r="L62" s="18">
        <f>SUM($J$21:J62)</f>
        <v>-71682.305362139639</v>
      </c>
      <c r="M62" s="18">
        <f>SUMSQ($J$21:J62)/C62</f>
        <v>7494355.0170244593</v>
      </c>
      <c r="N62" s="18">
        <f>SUM($K$21:K62)/C62</f>
        <v>1965.0366257683165</v>
      </c>
      <c r="O62" s="18">
        <f t="shared" si="4"/>
        <v>27.135578897027422</v>
      </c>
      <c r="P62" s="18">
        <f>AVERAGE($O$21:O62)</f>
        <v>34.304462332732911</v>
      </c>
      <c r="Q62" s="20">
        <f>SUM($J$21:J62)/N62</f>
        <v>-36.478864781521473</v>
      </c>
      <c r="S62" s="49" t="s">
        <v>5</v>
      </c>
      <c r="T62" s="64">
        <v>0.63687715209738616</v>
      </c>
    </row>
    <row r="63" spans="1:27" x14ac:dyDescent="0.2">
      <c r="A63" s="15"/>
      <c r="B63" s="15" t="s">
        <v>7</v>
      </c>
      <c r="C63" s="39">
        <v>43</v>
      </c>
      <c r="D63" s="60">
        <f t="shared" si="9"/>
        <v>7500</v>
      </c>
      <c r="E63" s="16">
        <f t="shared" si="6"/>
        <v>5812.5</v>
      </c>
      <c r="F63" s="16">
        <f t="shared" si="5"/>
        <v>6027.46</v>
      </c>
      <c r="G63" s="17">
        <f t="shared" si="1"/>
        <v>1.2443052297319268</v>
      </c>
      <c r="H63" s="18">
        <f>($T$52+C63*$T$53)*$T$64</f>
        <v>3719.2844588615653</v>
      </c>
      <c r="I63" s="19"/>
      <c r="J63" s="18">
        <f t="shared" si="2"/>
        <v>-3780.7155411384347</v>
      </c>
      <c r="K63" s="18">
        <f t="shared" si="3"/>
        <v>3780.7155411384347</v>
      </c>
      <c r="L63" s="18">
        <f>SUM($J$21:J63)</f>
        <v>-75463.020903278069</v>
      </c>
      <c r="M63" s="18">
        <f>SUMSQ($J$21:J63)/C63</f>
        <v>7652481.8771635573</v>
      </c>
      <c r="N63" s="18">
        <f>SUM($K$21:K63)/C63</f>
        <v>2007.2617168234353</v>
      </c>
      <c r="O63" s="18">
        <f t="shared" si="4"/>
        <v>50.409540548512467</v>
      </c>
      <c r="P63" s="18">
        <f>AVERAGE($O$21:O63)</f>
        <v>34.678999035425456</v>
      </c>
      <c r="Q63" s="20">
        <f>SUM($J$21:J63)/N63</f>
        <v>-37.595008299516138</v>
      </c>
      <c r="S63" s="49" t="s">
        <v>6</v>
      </c>
      <c r="T63" s="64">
        <v>0.60836548727212791</v>
      </c>
    </row>
    <row r="64" spans="1:27" x14ac:dyDescent="0.2">
      <c r="A64" s="15"/>
      <c r="B64" s="15" t="s">
        <v>8</v>
      </c>
      <c r="C64" s="39">
        <v>44</v>
      </c>
      <c r="D64" s="60">
        <f t="shared" si="9"/>
        <v>9500</v>
      </c>
      <c r="E64" s="16">
        <f t="shared" si="6"/>
        <v>5791.666666666667</v>
      </c>
      <c r="F64" s="16">
        <f t="shared" si="5"/>
        <v>6066.3799999999992</v>
      </c>
      <c r="G64" s="17">
        <f t="shared" si="1"/>
        <v>1.5660080641173157</v>
      </c>
      <c r="H64" s="18">
        <f>($T$52+C64*$T$53)*$T$65</f>
        <v>3738.9621750795545</v>
      </c>
      <c r="I64" s="19"/>
      <c r="J64" s="18">
        <f t="shared" si="2"/>
        <v>-5761.0378249204459</v>
      </c>
      <c r="K64" s="18">
        <f t="shared" si="3"/>
        <v>5761.0378249204459</v>
      </c>
      <c r="L64" s="18">
        <f>SUM($J$21:J64)</f>
        <v>-81224.058728198521</v>
      </c>
      <c r="M64" s="18">
        <f>SUMSQ($J$21:J64)/C64</f>
        <v>8232869.944049933</v>
      </c>
      <c r="N64" s="18">
        <f>SUM($K$21:K64)/C64</f>
        <v>2092.5748101892768</v>
      </c>
      <c r="O64" s="18">
        <f t="shared" si="4"/>
        <v>60.64250342021522</v>
      </c>
      <c r="P64" s="18">
        <f>AVERAGE($O$21:O64)</f>
        <v>35.269078680534314</v>
      </c>
      <c r="Q64" s="20">
        <f>SUM($J$21:J64)/N64</f>
        <v>-38.815366759027206</v>
      </c>
      <c r="S64" s="49" t="s">
        <v>7</v>
      </c>
      <c r="T64" s="64">
        <v>0.61705668040295003</v>
      </c>
    </row>
    <row r="65" spans="1:20" x14ac:dyDescent="0.2">
      <c r="A65" s="15"/>
      <c r="B65" s="15" t="s">
        <v>9</v>
      </c>
      <c r="C65" s="39">
        <v>45</v>
      </c>
      <c r="D65" s="60">
        <f t="shared" si="9"/>
        <v>5000</v>
      </c>
      <c r="E65" s="16">
        <f t="shared" si="6"/>
        <v>5750</v>
      </c>
      <c r="F65" s="16">
        <f t="shared" si="5"/>
        <v>6105.2999999999993</v>
      </c>
      <c r="G65" s="17">
        <f t="shared" si="1"/>
        <v>0.81896057523790811</v>
      </c>
      <c r="H65" s="18">
        <f>($T$52+C65*$T$53)*$T$66</f>
        <v>3582.3487706465216</v>
      </c>
      <c r="I65" s="19"/>
      <c r="J65" s="18">
        <f t="shared" si="2"/>
        <v>-1417.6512293534784</v>
      </c>
      <c r="K65" s="18">
        <f t="shared" si="3"/>
        <v>1417.6512293534784</v>
      </c>
      <c r="L65" s="18">
        <f>SUM($J$21:J65)</f>
        <v>-82641.709957551997</v>
      </c>
      <c r="M65" s="18">
        <f>SUMSQ($J$21:J65)/C65</f>
        <v>8094578.0565841002</v>
      </c>
      <c r="N65" s="18">
        <f>SUM($K$21:K65)/C65</f>
        <v>2077.5765083929255</v>
      </c>
      <c r="O65" s="18">
        <f t="shared" si="4"/>
        <v>28.353024587069569</v>
      </c>
      <c r="P65" s="18">
        <f>AVERAGE($O$21:O65)</f>
        <v>35.115388589568433</v>
      </c>
      <c r="Q65" s="20">
        <f>SUM($J$21:J65)/N65</f>
        <v>-39.777938200445917</v>
      </c>
      <c r="S65" s="49" t="s">
        <v>8</v>
      </c>
      <c r="T65" s="64">
        <v>0.61634157027412639</v>
      </c>
    </row>
    <row r="66" spans="1:20" x14ac:dyDescent="0.2">
      <c r="A66" s="15"/>
      <c r="B66" s="15" t="s">
        <v>10</v>
      </c>
      <c r="C66" s="39">
        <v>46</v>
      </c>
      <c r="D66" s="60">
        <f t="shared" si="9"/>
        <v>3500</v>
      </c>
      <c r="E66" s="16">
        <f t="shared" si="6"/>
        <v>5770.833333333333</v>
      </c>
      <c r="F66" s="16">
        <f t="shared" si="5"/>
        <v>6144.2199999999993</v>
      </c>
      <c r="G66" s="17">
        <f t="shared" si="1"/>
        <v>0.56964106102971579</v>
      </c>
      <c r="H66" s="18">
        <f>($T$52+C66*$T$53)*$T$67</f>
        <v>3501.6603195525413</v>
      </c>
      <c r="I66" s="19"/>
      <c r="J66" s="18">
        <f t="shared" si="2"/>
        <v>1.6603195525412957</v>
      </c>
      <c r="K66" s="18">
        <f t="shared" si="3"/>
        <v>1.6603195525412957</v>
      </c>
      <c r="L66" s="18">
        <f>SUM($J$21:J66)</f>
        <v>-82640.049637999458</v>
      </c>
      <c r="M66" s="18">
        <f>SUMSQ($J$21:J66)/C66</f>
        <v>7918609.0283249021</v>
      </c>
      <c r="N66" s="18">
        <f>SUM($K$21:K66)/C66</f>
        <v>2032.4478955920476</v>
      </c>
      <c r="O66" s="18">
        <f t="shared" si="4"/>
        <v>4.7437701501179874E-2</v>
      </c>
      <c r="P66" s="18">
        <f>AVERAGE($O$21:O66)</f>
        <v>34.353041831132188</v>
      </c>
      <c r="Q66" s="20">
        <f>SUM($J$21:J66)/N66</f>
        <v>-40.660353368580004</v>
      </c>
      <c r="S66" s="49" t="s">
        <v>9</v>
      </c>
      <c r="T66" s="64">
        <v>0.58676048198229769</v>
      </c>
    </row>
    <row r="67" spans="1:20" x14ac:dyDescent="0.2">
      <c r="A67" s="15"/>
      <c r="B67" s="15" t="s">
        <v>11</v>
      </c>
      <c r="C67" s="39">
        <v>47</v>
      </c>
      <c r="D67" s="60">
        <f t="shared" si="9"/>
        <v>6500</v>
      </c>
      <c r="E67" s="16">
        <f t="shared" si="6"/>
        <v>5895.833333333333</v>
      </c>
      <c r="F67" s="16">
        <f t="shared" si="5"/>
        <v>6183.1399999999994</v>
      </c>
      <c r="G67" s="17">
        <f t="shared" si="1"/>
        <v>1.0512458071465309</v>
      </c>
      <c r="H67" s="18">
        <f>($T$52+C67*$T$53)*$T$68</f>
        <v>3375.0018288532851</v>
      </c>
      <c r="I67" s="19"/>
      <c r="J67" s="18">
        <f t="shared" si="2"/>
        <v>-3124.9981711467149</v>
      </c>
      <c r="K67" s="18">
        <f t="shared" si="3"/>
        <v>3124.9981711467149</v>
      </c>
      <c r="L67" s="18">
        <f>SUM($J$21:J67)</f>
        <v>-85765.04780914617</v>
      </c>
      <c r="M67" s="18">
        <f>SUMSQ($J$21:J67)/C67</f>
        <v>7957906.9972896986</v>
      </c>
      <c r="N67" s="18">
        <f>SUM($K$21:K67)/C67</f>
        <v>2055.6936461357636</v>
      </c>
      <c r="O67" s="18">
        <f t="shared" si="4"/>
        <v>48.076894940718688</v>
      </c>
      <c r="P67" s="18">
        <f>AVERAGE($O$21:O67)</f>
        <v>34.645038705804239</v>
      </c>
      <c r="Q67" s="20">
        <f>SUM($J$21:J67)/N67</f>
        <v>-41.720734006433766</v>
      </c>
      <c r="S67" s="49" t="s">
        <v>10</v>
      </c>
      <c r="T67" s="64">
        <v>0.56991128565587523</v>
      </c>
    </row>
    <row r="68" spans="1:20" x14ac:dyDescent="0.2">
      <c r="A68" s="15"/>
      <c r="B68" s="15" t="s">
        <v>12</v>
      </c>
      <c r="C68" s="39">
        <v>48</v>
      </c>
      <c r="D68" s="60">
        <f t="shared" si="9"/>
        <v>11000</v>
      </c>
      <c r="E68" s="16">
        <f t="shared" si="6"/>
        <v>6000</v>
      </c>
      <c r="F68" s="16">
        <f t="shared" si="5"/>
        <v>6222.0599999999995</v>
      </c>
      <c r="G68" s="17">
        <f t="shared" si="1"/>
        <v>1.7679032346200456</v>
      </c>
      <c r="H68" s="18">
        <f>($T$52+C68*$T$53)*$T$69</f>
        <v>3381.8590564103974</v>
      </c>
      <c r="I68" s="19"/>
      <c r="J68" s="18">
        <f t="shared" si="2"/>
        <v>-7618.1409435896021</v>
      </c>
      <c r="K68" s="18">
        <f t="shared" si="3"/>
        <v>7618.1409435896021</v>
      </c>
      <c r="L68" s="18">
        <f>SUM($J$21:J68)</f>
        <v>-93383.188752735776</v>
      </c>
      <c r="M68" s="18">
        <f>SUMSQ($J$21:J68)/C68</f>
        <v>9001202.0897710845</v>
      </c>
      <c r="N68" s="18">
        <f>SUM($K$21:K68)/C68</f>
        <v>2171.5779648327189</v>
      </c>
      <c r="O68" s="18">
        <f t="shared" si="4"/>
        <v>69.255826759905474</v>
      </c>
      <c r="P68" s="18">
        <f>AVERAGE($O$21:O68)</f>
        <v>35.366096790264677</v>
      </c>
      <c r="Q68" s="20">
        <f>SUM($J$21:J68)/N68</f>
        <v>-43.002457321365057</v>
      </c>
      <c r="S68" s="49" t="s">
        <v>11</v>
      </c>
      <c r="T68" s="64">
        <v>0.545839464875983</v>
      </c>
    </row>
    <row r="69" spans="1:20" x14ac:dyDescent="0.2">
      <c r="A69" s="15" t="s">
        <v>62</v>
      </c>
      <c r="B69" s="15" t="s">
        <v>1</v>
      </c>
      <c r="C69" s="39">
        <v>49</v>
      </c>
      <c r="D69" s="61">
        <f>G4</f>
        <v>7000</v>
      </c>
      <c r="E69" s="16">
        <f t="shared" si="6"/>
        <v>6062.5</v>
      </c>
      <c r="F69" s="16">
        <f t="shared" si="5"/>
        <v>6260.98</v>
      </c>
      <c r="G69" s="17">
        <f t="shared" si="1"/>
        <v>1.1180358346456944</v>
      </c>
      <c r="H69" s="18">
        <f>($T$52+C69*$T$53)*$T$58</f>
        <v>3819.1555578333896</v>
      </c>
      <c r="I69" s="19"/>
      <c r="J69" s="18">
        <f t="shared" si="2"/>
        <v>-3180.8444421666104</v>
      </c>
      <c r="K69" s="18">
        <f t="shared" si="3"/>
        <v>3180.8444421666104</v>
      </c>
      <c r="L69" s="18">
        <f>SUM($J$21:J69)</f>
        <v>-96564.033194902382</v>
      </c>
      <c r="M69" s="18">
        <f>SUMSQ($J$21:J69)/C69</f>
        <v>9023989.2178423312</v>
      </c>
      <c r="N69" s="18">
        <f>SUM($K$21:K69)/C69</f>
        <v>2192.1752398803492</v>
      </c>
      <c r="O69" s="18">
        <f t="shared" si="4"/>
        <v>45.440634888094436</v>
      </c>
      <c r="P69" s="18">
        <f>AVERAGE($O$21:O69)</f>
        <v>35.571699608587728</v>
      </c>
      <c r="Q69" s="20">
        <f>SUM($J$21:J69)/N69</f>
        <v>-44.049413312492725</v>
      </c>
      <c r="S69" s="49" t="s">
        <v>12</v>
      </c>
      <c r="T69" s="64">
        <v>0.54352723316882157</v>
      </c>
    </row>
    <row r="70" spans="1:20" x14ac:dyDescent="0.2">
      <c r="A70" s="15"/>
      <c r="B70" s="15" t="s">
        <v>2</v>
      </c>
      <c r="C70" s="39">
        <v>50</v>
      </c>
      <c r="D70" s="61">
        <f t="shared" ref="D70:D80" si="10">G5</f>
        <v>4000</v>
      </c>
      <c r="E70" s="16">
        <f t="shared" si="6"/>
        <v>6104.166666666667</v>
      </c>
      <c r="F70" s="16">
        <f t="shared" si="5"/>
        <v>6299.9</v>
      </c>
      <c r="G70" s="17">
        <f t="shared" si="1"/>
        <v>0.63493071318592365</v>
      </c>
      <c r="H70" s="18">
        <f>($T$52+C70*$T$53)*$T$59</f>
        <v>3815.0727106387494</v>
      </c>
      <c r="I70" s="19"/>
      <c r="J70" s="18">
        <f t="shared" si="2"/>
        <v>-184.92728936125059</v>
      </c>
      <c r="K70" s="18">
        <f t="shared" si="3"/>
        <v>184.92728936125059</v>
      </c>
      <c r="L70" s="18">
        <f>SUM($J$21:J70)</f>
        <v>-96748.960484263633</v>
      </c>
      <c r="M70" s="18">
        <f>SUMSQ($J$21:J70)/C70</f>
        <v>8844193.3955324944</v>
      </c>
      <c r="N70" s="18">
        <f>SUM($K$21:K70)/C70</f>
        <v>2152.0302808699671</v>
      </c>
      <c r="O70" s="18">
        <f t="shared" si="4"/>
        <v>4.6231822340312645</v>
      </c>
      <c r="P70" s="18">
        <f>AVERAGE($O$21:O70)</f>
        <v>34.9527292610966</v>
      </c>
      <c r="Q70" s="20">
        <f>SUM($J$21:J70)/N70</f>
        <v>-44.957062799856359</v>
      </c>
      <c r="S70" s="36" t="s">
        <v>87</v>
      </c>
      <c r="T70" s="63">
        <v>0.59744857186819189</v>
      </c>
    </row>
    <row r="71" spans="1:20" x14ac:dyDescent="0.2">
      <c r="A71" s="15"/>
      <c r="B71" s="15" t="s">
        <v>3</v>
      </c>
      <c r="C71" s="39">
        <v>51</v>
      </c>
      <c r="D71" s="61">
        <f t="shared" si="10"/>
        <v>3000</v>
      </c>
      <c r="E71" s="16">
        <f t="shared" si="6"/>
        <v>6104.166666666667</v>
      </c>
      <c r="F71" s="16">
        <f t="shared" si="5"/>
        <v>6338.82</v>
      </c>
      <c r="G71" s="17">
        <f t="shared" si="1"/>
        <v>0.47327420560924588</v>
      </c>
      <c r="H71" s="18">
        <f>($T$52+C71*$T$53)*$T$60</f>
        <v>3872.5353032601624</v>
      </c>
      <c r="I71" s="19"/>
      <c r="J71" s="18">
        <f t="shared" si="2"/>
        <v>872.53530326016244</v>
      </c>
      <c r="K71" s="18">
        <f t="shared" si="3"/>
        <v>872.53530326016244</v>
      </c>
      <c r="L71" s="18">
        <f>SUM($J$21:J71)</f>
        <v>-95876.425181003477</v>
      </c>
      <c r="M71" s="18">
        <f>SUMSQ($J$21:J71)/C71</f>
        <v>8685705.6398443151</v>
      </c>
      <c r="N71" s="18">
        <f>SUM($K$21:K71)/C71</f>
        <v>2126.9421440540887</v>
      </c>
      <c r="O71" s="18">
        <f t="shared" si="4"/>
        <v>29.084510108672077</v>
      </c>
      <c r="P71" s="18">
        <f>AVERAGE($O$21:O71)</f>
        <v>34.837666140460826</v>
      </c>
      <c r="Q71" s="20">
        <f>SUM($J$21:J71)/N71</f>
        <v>-45.07711949242627</v>
      </c>
    </row>
    <row r="72" spans="1:20" x14ac:dyDescent="0.2">
      <c r="A72" s="15"/>
      <c r="B72" s="15" t="s">
        <v>4</v>
      </c>
      <c r="C72" s="39">
        <v>52</v>
      </c>
      <c r="D72" s="61">
        <f t="shared" si="10"/>
        <v>3500</v>
      </c>
      <c r="E72" s="16">
        <f t="shared" si="6"/>
        <v>6187.5</v>
      </c>
      <c r="F72" s="16">
        <f t="shared" si="5"/>
        <v>6377.74</v>
      </c>
      <c r="G72" s="17">
        <f t="shared" si="1"/>
        <v>0.54878373844026251</v>
      </c>
      <c r="H72" s="18">
        <f>($T$52+C72*$T$53)*$T$61</f>
        <v>3942.7817177292891</v>
      </c>
      <c r="I72" s="19"/>
      <c r="J72" s="18">
        <f t="shared" si="2"/>
        <v>442.78171772928908</v>
      </c>
      <c r="K72" s="18">
        <f t="shared" si="3"/>
        <v>442.78171772928908</v>
      </c>
      <c r="L72" s="18">
        <f>SUM($J$21:J72)</f>
        <v>-95433.643463274188</v>
      </c>
      <c r="M72" s="18">
        <f>SUMSQ($J$21:J72)/C72</f>
        <v>8522443.1400310658</v>
      </c>
      <c r="N72" s="18">
        <f>SUM($K$21:K72)/C72</f>
        <v>2094.5544435478423</v>
      </c>
      <c r="O72" s="18">
        <f t="shared" si="4"/>
        <v>12.650906220836831</v>
      </c>
      <c r="P72" s="18">
        <f>AVERAGE($O$21:O72)</f>
        <v>34.410997680468057</v>
      </c>
      <c r="Q72" s="20">
        <f>SUM($J$21:J72)/N72</f>
        <v>-45.562741879186852</v>
      </c>
    </row>
    <row r="73" spans="1:20" x14ac:dyDescent="0.2">
      <c r="A73" s="15"/>
      <c r="B73" s="15" t="s">
        <v>5</v>
      </c>
      <c r="C73" s="39">
        <v>53</v>
      </c>
      <c r="D73" s="61">
        <f t="shared" si="10"/>
        <v>6000</v>
      </c>
      <c r="E73" s="16">
        <f t="shared" si="6"/>
        <v>6354.166666666667</v>
      </c>
      <c r="F73" s="16">
        <f t="shared" si="5"/>
        <v>6416.66</v>
      </c>
      <c r="G73" s="17">
        <f t="shared" si="1"/>
        <v>0.93506590656198085</v>
      </c>
      <c r="H73" s="18">
        <f>($T$52+C73*$T$53)*$T$62</f>
        <v>4086.6241467772138</v>
      </c>
      <c r="I73" s="19"/>
      <c r="J73" s="18">
        <f t="shared" si="2"/>
        <v>-1913.3758532227862</v>
      </c>
      <c r="K73" s="18">
        <f t="shared" si="3"/>
        <v>1913.3758532227862</v>
      </c>
      <c r="L73" s="18">
        <f>SUM($J$21:J73)</f>
        <v>-97347.019316496968</v>
      </c>
      <c r="M73" s="18">
        <f>SUMSQ($J$21:J73)/C73</f>
        <v>8430717.9327794611</v>
      </c>
      <c r="N73" s="18">
        <f>SUM($K$21:K73)/C73</f>
        <v>2091.1359795794451</v>
      </c>
      <c r="O73" s="18">
        <f t="shared" si="4"/>
        <v>31.889597553713102</v>
      </c>
      <c r="P73" s="18">
        <f>AVERAGE($O$21:O73)</f>
        <v>34.363424093170792</v>
      </c>
      <c r="Q73" s="20">
        <f>SUM($J$21:J73)/N73</f>
        <v>-46.552218634808597</v>
      </c>
    </row>
    <row r="74" spans="1:20" x14ac:dyDescent="0.2">
      <c r="A74" s="15"/>
      <c r="B74" s="15" t="s">
        <v>6</v>
      </c>
      <c r="C74" s="39">
        <v>54</v>
      </c>
      <c r="D74" s="61">
        <f t="shared" si="10"/>
        <v>6000</v>
      </c>
      <c r="E74" s="16">
        <f t="shared" si="6"/>
        <v>6291.666666666667</v>
      </c>
      <c r="F74" s="16">
        <f t="shared" si="5"/>
        <v>6455.58</v>
      </c>
      <c r="G74" s="17">
        <f t="shared" si="1"/>
        <v>0.92942849441878195</v>
      </c>
      <c r="H74" s="18">
        <f>($T$52+C74*$T$53)*$T$63</f>
        <v>3927.3520723242036</v>
      </c>
      <c r="I74" s="19"/>
      <c r="J74" s="18">
        <f t="shared" si="2"/>
        <v>-2072.6479276757964</v>
      </c>
      <c r="K74" s="18">
        <f t="shared" si="3"/>
        <v>2072.6479276757964</v>
      </c>
      <c r="L74" s="18">
        <f>SUM($J$21:J74)</f>
        <v>-99419.667244172771</v>
      </c>
      <c r="M74" s="18">
        <f>SUMSQ($J$21:J74)/C74</f>
        <v>8354146.6642483361</v>
      </c>
      <c r="N74" s="18">
        <f>SUM($K$21:K74)/C74</f>
        <v>2090.7936082478959</v>
      </c>
      <c r="O74" s="18">
        <f t="shared" si="4"/>
        <v>34.544132127929942</v>
      </c>
      <c r="P74" s="18">
        <f>AVERAGE($O$21:O74)</f>
        <v>34.366770538258926</v>
      </c>
      <c r="Q74" s="20">
        <f>SUM($J$21:J74)/N74</f>
        <v>-47.551162798650104</v>
      </c>
    </row>
    <row r="75" spans="1:20" x14ac:dyDescent="0.2">
      <c r="A75" s="15"/>
      <c r="B75" s="15" t="s">
        <v>7</v>
      </c>
      <c r="C75" s="39">
        <v>55</v>
      </c>
      <c r="D75" s="61">
        <f t="shared" si="10"/>
        <v>8000</v>
      </c>
      <c r="E75" s="16"/>
      <c r="F75" s="16">
        <f t="shared" si="5"/>
        <v>6494.5</v>
      </c>
      <c r="G75" s="17">
        <f t="shared" si="1"/>
        <v>1.2318115328354762</v>
      </c>
      <c r="H75" s="18">
        <f>($T$52+C75*$T$53)*$T$64</f>
        <v>4007.4746108769591</v>
      </c>
      <c r="I75" s="19"/>
      <c r="J75" s="18">
        <f t="shared" si="2"/>
        <v>-3992.5253891230409</v>
      </c>
      <c r="K75" s="18">
        <f t="shared" si="3"/>
        <v>3992.5253891230409</v>
      </c>
      <c r="L75" s="18">
        <f>SUM($J$21:J75)</f>
        <v>-103412.19263329581</v>
      </c>
      <c r="M75" s="18">
        <f>SUMSQ($J$21:J75)/C75</f>
        <v>8492075.9791309498</v>
      </c>
      <c r="N75" s="18">
        <f>SUM($K$21:K75)/C75</f>
        <v>2125.3705497183532</v>
      </c>
      <c r="O75" s="18">
        <f t="shared" si="4"/>
        <v>49.906567364038011</v>
      </c>
      <c r="P75" s="18">
        <f>AVERAGE($O$21:O75)</f>
        <v>34.649312298727637</v>
      </c>
      <c r="Q75" s="20">
        <f>SUM($J$21:J75)/N75</f>
        <v>-48.656076770706939</v>
      </c>
    </row>
    <row r="76" spans="1:20" x14ac:dyDescent="0.2">
      <c r="A76" s="15"/>
      <c r="B76" s="15" t="s">
        <v>8</v>
      </c>
      <c r="C76" s="39">
        <v>56</v>
      </c>
      <c r="D76" s="61">
        <f t="shared" si="10"/>
        <v>10000</v>
      </c>
      <c r="E76" s="16"/>
      <c r="F76" s="16">
        <f t="shared" si="5"/>
        <v>6533.42</v>
      </c>
      <c r="G76" s="17">
        <f t="shared" si="1"/>
        <v>1.5305919411273115</v>
      </c>
      <c r="H76" s="18">
        <f>($T$52+C76*$T$53)*$T$65</f>
        <v>4026.8183420603827</v>
      </c>
      <c r="I76" s="19"/>
      <c r="J76" s="18">
        <f t="shared" si="2"/>
        <v>-5973.1816579396173</v>
      </c>
      <c r="K76" s="18">
        <f t="shared" si="3"/>
        <v>5973.1816579396173</v>
      </c>
      <c r="L76" s="18">
        <f>SUM($J$21:J76)</f>
        <v>-109385.37429123542</v>
      </c>
      <c r="M76" s="18">
        <f>SUMSQ($J$21:J76)/C76</f>
        <v>8977554.9637669381</v>
      </c>
      <c r="N76" s="18">
        <f>SUM($K$21:K76)/C76</f>
        <v>2194.0814623651613</v>
      </c>
      <c r="O76" s="18">
        <f t="shared" si="4"/>
        <v>59.731816579396167</v>
      </c>
      <c r="P76" s="18">
        <f>AVERAGE($O$21:O76)</f>
        <v>35.09721416088243</v>
      </c>
      <c r="Q76" s="20">
        <f>SUM($J$21:J76)/N76</f>
        <v>-49.854746128396208</v>
      </c>
    </row>
    <row r="77" spans="1:20" x14ac:dyDescent="0.2">
      <c r="A77" s="15"/>
      <c r="B77" s="15" t="s">
        <v>9</v>
      </c>
      <c r="C77" s="39">
        <v>57</v>
      </c>
      <c r="D77" s="61">
        <f t="shared" si="10"/>
        <v>4500</v>
      </c>
      <c r="E77" s="16"/>
      <c r="F77" s="16">
        <f t="shared" si="5"/>
        <v>6572.34</v>
      </c>
      <c r="G77" s="17">
        <f t="shared" si="1"/>
        <v>0.68468764549612471</v>
      </c>
      <c r="H77" s="18">
        <f>($T$52+C77*$T$53)*$T$66</f>
        <v>3856.3893861515344</v>
      </c>
      <c r="I77" s="19"/>
      <c r="J77" s="18">
        <f t="shared" si="2"/>
        <v>-643.61061384846562</v>
      </c>
      <c r="K77" s="18">
        <f t="shared" si="3"/>
        <v>643.61061384846562</v>
      </c>
      <c r="L77" s="18">
        <f>SUM($J$21:J77)</f>
        <v>-110028.98490508388</v>
      </c>
      <c r="M77" s="18">
        <f>SUMSQ($J$21:J77)/C77</f>
        <v>8827321.2735650335</v>
      </c>
      <c r="N77" s="18">
        <f>SUM($K$21:K77)/C77</f>
        <v>2166.880219408728</v>
      </c>
      <c r="O77" s="18">
        <f t="shared" si="4"/>
        <v>14.302458085521458</v>
      </c>
      <c r="P77" s="18">
        <f>AVERAGE($O$21:O77)</f>
        <v>34.732393878858552</v>
      </c>
      <c r="Q77" s="20">
        <f>SUM($J$21:J77)/N77</f>
        <v>-50.777603634734945</v>
      </c>
    </row>
    <row r="78" spans="1:20" x14ac:dyDescent="0.2">
      <c r="A78" s="15"/>
      <c r="B78" s="15" t="s">
        <v>10</v>
      </c>
      <c r="C78" s="39">
        <v>58</v>
      </c>
      <c r="D78" s="61">
        <f t="shared" si="10"/>
        <v>6000</v>
      </c>
      <c r="E78" s="16"/>
      <c r="F78" s="16">
        <f t="shared" si="5"/>
        <v>6611.26</v>
      </c>
      <c r="G78" s="17">
        <f t="shared" si="1"/>
        <v>0.90754258643586849</v>
      </c>
      <c r="H78" s="18">
        <f>($T$52+C78*$T$53)*$T$67</f>
        <v>3767.8316864052617</v>
      </c>
      <c r="I78" s="19"/>
      <c r="J78" s="18">
        <f t="shared" si="2"/>
        <v>-2232.1683135947383</v>
      </c>
      <c r="K78" s="18">
        <f t="shared" si="3"/>
        <v>2232.1683135947383</v>
      </c>
      <c r="L78" s="18">
        <f>SUM($J$21:J78)</f>
        <v>-112261.15321867862</v>
      </c>
      <c r="M78" s="18">
        <f>SUMSQ($J$21:J78)/C78</f>
        <v>8761032.5512659196</v>
      </c>
      <c r="N78" s="18">
        <f>SUM($K$21:K78)/C78</f>
        <v>2168.0058762050385</v>
      </c>
      <c r="O78" s="18">
        <f t="shared" si="4"/>
        <v>37.202805226578974</v>
      </c>
      <c r="P78" s="18">
        <f>AVERAGE($O$21:O78)</f>
        <v>34.774987177957179</v>
      </c>
      <c r="Q78" s="20">
        <f>SUM($J$21:J78)/N78</f>
        <v>-51.780834383707898</v>
      </c>
    </row>
    <row r="79" spans="1:20" x14ac:dyDescent="0.2">
      <c r="A79" s="15"/>
      <c r="B79" s="15" t="s">
        <v>11</v>
      </c>
      <c r="C79" s="39">
        <v>59</v>
      </c>
      <c r="D79" s="61">
        <f t="shared" si="10"/>
        <v>8000</v>
      </c>
      <c r="E79" s="16"/>
      <c r="F79" s="16">
        <f t="shared" si="5"/>
        <v>6650.18</v>
      </c>
      <c r="G79" s="17">
        <f t="shared" si="1"/>
        <v>1.2029749570688311</v>
      </c>
      <c r="H79" s="18">
        <f>($T$52+C79*$T$53)*$T$68</f>
        <v>3629.9306925289648</v>
      </c>
      <c r="I79" s="19"/>
      <c r="J79" s="18">
        <f t="shared" si="2"/>
        <v>-4370.0693074710352</v>
      </c>
      <c r="K79" s="18">
        <f t="shared" si="3"/>
        <v>4370.0693074710352</v>
      </c>
      <c r="L79" s="18">
        <f>SUM($J$21:J79)</f>
        <v>-116631.22252614965</v>
      </c>
      <c r="M79" s="18">
        <f>SUMSQ($J$21:J79)/C79</f>
        <v>8936227.0122970119</v>
      </c>
      <c r="N79" s="18">
        <f>SUM($K$21:K79)/C79</f>
        <v>2205.3289852095468</v>
      </c>
      <c r="O79" s="18">
        <f t="shared" si="4"/>
        <v>54.625866343387941</v>
      </c>
      <c r="P79" s="18">
        <f>AVERAGE($O$21:O79)</f>
        <v>35.111442757032279</v>
      </c>
      <c r="Q79" s="20">
        <f>SUM($J$21:J79)/N79</f>
        <v>-52.886087884555486</v>
      </c>
    </row>
    <row r="80" spans="1:20" ht="13.5" thickBot="1" x14ac:dyDescent="0.25">
      <c r="A80" s="15"/>
      <c r="B80" s="22" t="s">
        <v>12</v>
      </c>
      <c r="C80" s="40">
        <v>60</v>
      </c>
      <c r="D80" s="61">
        <f t="shared" si="10"/>
        <v>8000</v>
      </c>
      <c r="E80" s="23"/>
      <c r="F80" s="16">
        <f t="shared" si="5"/>
        <v>6689.1</v>
      </c>
      <c r="G80" s="24">
        <f t="shared" si="1"/>
        <v>1.1959755423001599</v>
      </c>
      <c r="H80" s="18">
        <f>($T$52+C80*$T$53)*$T$69</f>
        <v>3635.7080153895645</v>
      </c>
      <c r="I80" s="19"/>
      <c r="J80" s="25">
        <f t="shared" si="2"/>
        <v>-4364.291984610436</v>
      </c>
      <c r="K80" s="25">
        <f t="shared" si="3"/>
        <v>4364.291984610436</v>
      </c>
      <c r="L80" s="25">
        <f>SUM($J$21:J80)</f>
        <v>-120995.51451076008</v>
      </c>
      <c r="M80" s="25">
        <f>SUMSQ($J$21:J80)/C80</f>
        <v>9104740.6375409756</v>
      </c>
      <c r="N80" s="18">
        <f>SUM($K$21:K80)/C80</f>
        <v>2241.3117018662283</v>
      </c>
      <c r="O80" s="25">
        <f t="shared" si="4"/>
        <v>54.553649807630443</v>
      </c>
      <c r="P80" s="25">
        <f>AVERAGE($O$21:O80)</f>
        <v>35.435479541208913</v>
      </c>
      <c r="Q80" s="26">
        <f>SUM($J$21:J80)/N80</f>
        <v>-53.984242535303395</v>
      </c>
    </row>
    <row r="81" spans="1:18" ht="13.5" thickBot="1" x14ac:dyDescent="0.25">
      <c r="A81" s="47" t="s">
        <v>63</v>
      </c>
      <c r="B81" s="15" t="s">
        <v>1</v>
      </c>
      <c r="C81" s="41">
        <v>61</v>
      </c>
      <c r="F81" s="28" t="s">
        <v>47</v>
      </c>
      <c r="G81" s="29"/>
      <c r="H81" s="57">
        <f>($T$52+C81*$T$53)*$T$58</f>
        <v>4104.0468067641496</v>
      </c>
      <c r="I81" s="30"/>
      <c r="J81" s="30"/>
      <c r="K81" s="30"/>
      <c r="L81" s="30"/>
      <c r="M81" s="34" t="s">
        <v>54</v>
      </c>
      <c r="N81" s="35">
        <f>N80*1.25</f>
        <v>2801.6396273327855</v>
      </c>
      <c r="O81" s="30"/>
      <c r="P81" s="30"/>
      <c r="Q81" s="31"/>
      <c r="R81" s="32"/>
    </row>
    <row r="82" spans="1:18" x14ac:dyDescent="0.2">
      <c r="A82" s="27"/>
      <c r="B82" s="15" t="s">
        <v>2</v>
      </c>
      <c r="C82" s="42">
        <v>62</v>
      </c>
      <c r="G82" s="29"/>
      <c r="H82" s="57">
        <f>($T$52+C82*$T$53)*$T$59</f>
        <v>4097.90125692944</v>
      </c>
      <c r="I82" s="30"/>
      <c r="J82" s="30"/>
      <c r="K82" s="30"/>
      <c r="L82" s="30"/>
      <c r="M82" s="30"/>
      <c r="N82" s="30"/>
      <c r="O82" s="30"/>
      <c r="P82" s="30"/>
      <c r="Q82" s="31"/>
      <c r="R82" s="32"/>
    </row>
    <row r="83" spans="1:18" x14ac:dyDescent="0.2">
      <c r="A83" s="27"/>
      <c r="B83" s="15" t="s">
        <v>3</v>
      </c>
      <c r="C83" s="42">
        <v>63</v>
      </c>
      <c r="G83" s="29"/>
      <c r="H83" s="57">
        <f>($T$52+C83*$T$53)*$T$60</f>
        <v>4157.8611033356701</v>
      </c>
      <c r="I83" s="30"/>
      <c r="J83" s="30"/>
      <c r="K83" s="30"/>
      <c r="L83" s="30"/>
      <c r="M83" s="30"/>
      <c r="N83" s="30"/>
      <c r="O83" s="30"/>
      <c r="P83" s="30"/>
      <c r="Q83" s="31"/>
      <c r="R83" s="32"/>
    </row>
    <row r="84" spans="1:18" x14ac:dyDescent="0.2">
      <c r="A84" s="27"/>
      <c r="B84" s="15" t="s">
        <v>4</v>
      </c>
      <c r="C84" s="42">
        <v>64</v>
      </c>
      <c r="G84" s="29"/>
      <c r="H84" s="57">
        <f>($T$52+C84*$T$53)*$T$61</f>
        <v>4231.5104481962398</v>
      </c>
      <c r="I84" s="30"/>
      <c r="J84" s="30"/>
      <c r="K84" s="30"/>
      <c r="L84" s="30"/>
      <c r="M84" s="30"/>
      <c r="N84" s="30"/>
      <c r="O84" s="30"/>
      <c r="P84" s="30"/>
      <c r="Q84" s="31"/>
      <c r="R84" s="32"/>
    </row>
    <row r="85" spans="1:18" x14ac:dyDescent="0.2">
      <c r="A85" s="27"/>
      <c r="B85" s="15" t="s">
        <v>5</v>
      </c>
      <c r="C85" s="42">
        <v>65</v>
      </c>
      <c r="G85" s="29"/>
      <c r="H85" s="57">
        <f>($T$52+C85*$T$53)*$T$62</f>
        <v>4384.0712518927767</v>
      </c>
      <c r="I85" s="30"/>
      <c r="J85" s="30"/>
      <c r="K85" s="30"/>
      <c r="L85" s="30"/>
      <c r="M85" s="30"/>
      <c r="N85" s="30"/>
      <c r="O85" s="30"/>
      <c r="P85" s="30"/>
      <c r="Q85" s="31"/>
      <c r="R85" s="32"/>
    </row>
    <row r="86" spans="1:18" x14ac:dyDescent="0.2">
      <c r="A86" s="27"/>
      <c r="B86" s="15" t="s">
        <v>6</v>
      </c>
      <c r="C86" s="42">
        <v>66</v>
      </c>
      <c r="G86" s="29"/>
      <c r="H86" s="57">
        <f>($T$52+C86*$T$53)*$T$63</f>
        <v>4211.4830894997776</v>
      </c>
      <c r="I86" s="30"/>
      <c r="J86" s="30"/>
      <c r="K86" s="30"/>
      <c r="L86" s="30"/>
      <c r="M86" s="30"/>
      <c r="N86" s="30"/>
      <c r="O86" s="30"/>
      <c r="P86" s="30"/>
      <c r="Q86" s="31"/>
      <c r="R86" s="32"/>
    </row>
    <row r="87" spans="1:18" x14ac:dyDescent="0.2">
      <c r="A87" s="27"/>
      <c r="B87" s="15" t="s">
        <v>7</v>
      </c>
      <c r="C87" s="42">
        <v>67</v>
      </c>
      <c r="G87" s="29"/>
      <c r="H87" s="57">
        <f>($T$52+C87*$T$53)*$T$64</f>
        <v>4295.6647628923529</v>
      </c>
      <c r="I87" s="30"/>
      <c r="J87" s="30"/>
      <c r="K87" s="30"/>
      <c r="L87" s="30"/>
      <c r="M87" s="30"/>
      <c r="N87" s="30"/>
      <c r="O87" s="30"/>
      <c r="P87" s="30"/>
      <c r="Q87" s="31"/>
      <c r="R87" s="32"/>
    </row>
    <row r="88" spans="1:18" x14ac:dyDescent="0.2">
      <c r="A88" s="27"/>
      <c r="B88" s="15" t="s">
        <v>8</v>
      </c>
      <c r="C88" s="42">
        <v>68</v>
      </c>
      <c r="G88" s="29"/>
      <c r="H88" s="57">
        <f>($T$52+C88*$T$53)*$T$65</f>
        <v>4314.6745090412105</v>
      </c>
      <c r="I88" s="30"/>
      <c r="J88" s="30"/>
      <c r="K88" s="30"/>
      <c r="L88" s="30"/>
      <c r="M88" s="30"/>
      <c r="N88" s="30"/>
      <c r="O88" s="30"/>
      <c r="P88" s="30"/>
      <c r="Q88" s="31"/>
      <c r="R88" s="32"/>
    </row>
    <row r="89" spans="1:18" x14ac:dyDescent="0.2">
      <c r="A89" s="27"/>
      <c r="B89" s="15" t="s">
        <v>9</v>
      </c>
      <c r="C89" s="42">
        <v>69</v>
      </c>
      <c r="G89" s="29"/>
      <c r="H89" s="57">
        <f>($T$52+C89*$T$53)*$T$66</f>
        <v>4130.4300016565467</v>
      </c>
      <c r="I89" s="30"/>
      <c r="J89" s="30"/>
      <c r="K89" s="30"/>
      <c r="L89" s="30"/>
      <c r="M89" s="30"/>
      <c r="N89" s="30"/>
      <c r="O89" s="30"/>
      <c r="P89" s="30"/>
      <c r="Q89" s="31"/>
      <c r="R89" s="32"/>
    </row>
    <row r="90" spans="1:18" x14ac:dyDescent="0.2">
      <c r="A90" s="27"/>
      <c r="B90" s="15" t="s">
        <v>10</v>
      </c>
      <c r="C90" s="42">
        <v>70</v>
      </c>
      <c r="G90" s="29"/>
      <c r="H90" s="57">
        <f>($T$52+C90*$T$53)*$T$67</f>
        <v>4034.0030532579813</v>
      </c>
      <c r="I90" s="30"/>
      <c r="J90" s="30"/>
      <c r="K90" s="30"/>
      <c r="L90" s="30"/>
      <c r="M90" s="30"/>
      <c r="N90" s="30"/>
      <c r="O90" s="30"/>
      <c r="P90" s="30"/>
      <c r="Q90" s="31"/>
      <c r="R90" s="32"/>
    </row>
    <row r="91" spans="1:18" x14ac:dyDescent="0.2">
      <c r="A91" s="27"/>
      <c r="B91" s="15" t="s">
        <v>11</v>
      </c>
      <c r="C91" s="42">
        <v>71</v>
      </c>
      <c r="H91" s="57">
        <f>($T$52+C91*$T$53)*$T$68</f>
        <v>3884.8595562046435</v>
      </c>
      <c r="I91" s="30"/>
      <c r="J91" s="30"/>
      <c r="K91" s="30"/>
      <c r="L91" s="30"/>
      <c r="M91" s="30"/>
      <c r="N91" s="30"/>
      <c r="O91" s="30"/>
      <c r="P91" s="30"/>
      <c r="Q91" s="31"/>
      <c r="R91" s="32"/>
    </row>
    <row r="92" spans="1:18" x14ac:dyDescent="0.2">
      <c r="A92" s="27"/>
      <c r="B92" s="22" t="s">
        <v>12</v>
      </c>
      <c r="C92" s="43">
        <v>72</v>
      </c>
      <c r="H92" s="57">
        <f>($T$52+C92*$T$53)*$T$69</f>
        <v>3889.5569743687306</v>
      </c>
      <c r="I92" s="30"/>
      <c r="J92" s="30"/>
      <c r="K92" s="30"/>
      <c r="L92" s="30"/>
      <c r="M92" s="30"/>
      <c r="N92" s="30"/>
      <c r="O92" s="30"/>
      <c r="P92" s="30"/>
      <c r="Q92" s="31"/>
      <c r="R92" s="32"/>
    </row>
    <row r="93" spans="1:18" x14ac:dyDescent="0.2">
      <c r="C93" s="44"/>
      <c r="I93" s="32"/>
      <c r="J93" s="32"/>
      <c r="K93" s="32"/>
      <c r="L93" s="32"/>
      <c r="M93" s="32"/>
      <c r="N93" s="32"/>
      <c r="O93" s="32"/>
      <c r="P93" s="32"/>
      <c r="Q93" s="33"/>
      <c r="R93" s="32"/>
    </row>
    <row r="94" spans="1:18" x14ac:dyDescent="0.2">
      <c r="C94" s="44"/>
      <c r="I94" s="32"/>
      <c r="J94" s="32"/>
      <c r="K94" s="32"/>
      <c r="L94" s="32"/>
      <c r="M94" s="32"/>
      <c r="N94" s="32"/>
      <c r="O94" s="32"/>
      <c r="P94" s="32"/>
      <c r="Q94" s="33"/>
      <c r="R94" s="32"/>
    </row>
    <row r="95" spans="1:18" x14ac:dyDescent="0.2">
      <c r="C95" s="44"/>
      <c r="I95" s="32"/>
      <c r="J95" s="32"/>
      <c r="K95" s="32"/>
      <c r="L95" s="32"/>
      <c r="M95" s="32"/>
      <c r="N95" s="32"/>
      <c r="O95" s="32"/>
      <c r="P95" s="32"/>
      <c r="Q95" s="33"/>
      <c r="R95" s="32"/>
    </row>
    <row r="96" spans="1:18" x14ac:dyDescent="0.2">
      <c r="C96" s="44"/>
      <c r="I96" s="32"/>
      <c r="J96" s="32"/>
      <c r="K96" s="32"/>
      <c r="L96" s="32"/>
      <c r="M96" s="32"/>
      <c r="N96" s="32"/>
      <c r="O96" s="32"/>
      <c r="P96" s="32"/>
      <c r="Q96" s="33"/>
      <c r="R96" s="32"/>
    </row>
    <row r="97" spans="9:18" x14ac:dyDescent="0.2">
      <c r="I97" s="32"/>
      <c r="J97" s="32"/>
      <c r="K97" s="32"/>
      <c r="L97" s="32"/>
      <c r="M97" s="32"/>
      <c r="N97" s="32"/>
      <c r="O97" s="32"/>
      <c r="P97" s="32"/>
      <c r="Q97" s="33"/>
      <c r="R97" s="32"/>
    </row>
    <row r="98" spans="9:18" x14ac:dyDescent="0.2">
      <c r="I98" s="32"/>
      <c r="J98" s="32"/>
      <c r="K98" s="32"/>
      <c r="L98" s="32"/>
      <c r="M98" s="32"/>
      <c r="N98" s="32"/>
      <c r="O98" s="32"/>
      <c r="P98" s="32"/>
      <c r="Q98" s="33"/>
      <c r="R98" s="32"/>
    </row>
    <row r="99" spans="9:18" x14ac:dyDescent="0.2">
      <c r="I99" s="32"/>
      <c r="J99" s="32"/>
      <c r="K99" s="32"/>
      <c r="L99" s="32"/>
      <c r="M99" s="32"/>
      <c r="N99" s="32"/>
      <c r="O99" s="32"/>
      <c r="P99" s="32"/>
      <c r="Q99" s="33"/>
      <c r="R99" s="32"/>
    </row>
    <row r="100" spans="9:18" x14ac:dyDescent="0.2">
      <c r="I100" s="32"/>
      <c r="J100" s="32"/>
      <c r="K100" s="32"/>
      <c r="L100" s="32"/>
      <c r="M100" s="32"/>
      <c r="N100" s="32"/>
      <c r="O100" s="32"/>
      <c r="P100" s="32"/>
      <c r="Q100" s="33"/>
      <c r="R100" s="32"/>
    </row>
    <row r="101" spans="9:18" x14ac:dyDescent="0.2">
      <c r="I101" s="32"/>
      <c r="J101" s="32"/>
      <c r="K101" s="32"/>
      <c r="L101" s="32"/>
      <c r="M101" s="32"/>
      <c r="N101" s="32"/>
      <c r="O101" s="32"/>
      <c r="P101" s="32"/>
      <c r="Q101" s="33"/>
      <c r="R101" s="32"/>
    </row>
    <row r="102" spans="9:18" x14ac:dyDescent="0.2">
      <c r="I102" s="32"/>
      <c r="J102" s="32"/>
      <c r="K102" s="32"/>
      <c r="L102" s="32"/>
      <c r="M102" s="32"/>
      <c r="N102" s="32"/>
      <c r="O102" s="32"/>
      <c r="P102" s="32"/>
      <c r="Q102" s="33"/>
      <c r="R102" s="32"/>
    </row>
    <row r="103" spans="9:18" x14ac:dyDescent="0.2">
      <c r="I103" s="32"/>
      <c r="J103" s="32"/>
      <c r="K103" s="32"/>
      <c r="L103" s="32"/>
      <c r="M103" s="32"/>
      <c r="N103" s="32"/>
      <c r="O103" s="32"/>
      <c r="P103" s="32"/>
      <c r="Q103" s="33"/>
      <c r="R103" s="32"/>
    </row>
    <row r="104" spans="9:18" x14ac:dyDescent="0.2">
      <c r="I104" s="32"/>
      <c r="J104" s="32"/>
      <c r="K104" s="32"/>
      <c r="L104" s="32"/>
      <c r="M104" s="32"/>
      <c r="N104" s="32"/>
      <c r="O104" s="32"/>
      <c r="P104" s="32"/>
      <c r="Q104" s="33"/>
      <c r="R104" s="32"/>
    </row>
    <row r="105" spans="9:18" x14ac:dyDescent="0.2">
      <c r="I105" s="32"/>
      <c r="J105" s="32"/>
      <c r="K105" s="32"/>
      <c r="L105" s="32"/>
      <c r="M105" s="32"/>
      <c r="N105" s="32"/>
      <c r="O105" s="32"/>
      <c r="P105" s="32"/>
      <c r="Q105" s="33"/>
      <c r="R105" s="32"/>
    </row>
    <row r="106" spans="9:18" x14ac:dyDescent="0.2">
      <c r="I106" s="32"/>
      <c r="J106" s="32"/>
      <c r="K106" s="32"/>
      <c r="L106" s="32"/>
      <c r="M106" s="32"/>
      <c r="N106" s="32"/>
      <c r="O106" s="32"/>
      <c r="P106" s="32"/>
      <c r="Q106" s="33"/>
      <c r="R106" s="32"/>
    </row>
    <row r="107" spans="9:18" x14ac:dyDescent="0.2">
      <c r="I107" s="32"/>
      <c r="J107" s="32"/>
      <c r="K107" s="32"/>
      <c r="L107" s="32"/>
      <c r="M107" s="32"/>
      <c r="N107" s="32"/>
      <c r="O107" s="32"/>
      <c r="P107" s="32"/>
      <c r="Q107" s="33"/>
      <c r="R107" s="32"/>
    </row>
    <row r="108" spans="9:18" x14ac:dyDescent="0.2">
      <c r="I108" s="32"/>
      <c r="J108" s="32"/>
      <c r="K108" s="32"/>
      <c r="L108" s="32"/>
      <c r="M108" s="32"/>
      <c r="N108" s="32"/>
      <c r="O108" s="32"/>
      <c r="P108" s="32"/>
      <c r="Q108" s="33"/>
      <c r="R108" s="32"/>
    </row>
    <row r="109" spans="9:18" x14ac:dyDescent="0.2">
      <c r="I109" s="32"/>
      <c r="J109" s="32"/>
      <c r="K109" s="32"/>
      <c r="L109" s="32"/>
      <c r="M109" s="32"/>
      <c r="N109" s="32"/>
      <c r="O109" s="32"/>
      <c r="P109" s="32"/>
      <c r="Q109" s="33"/>
      <c r="R109" s="32"/>
    </row>
    <row r="110" spans="9:18" x14ac:dyDescent="0.2">
      <c r="I110" s="32"/>
      <c r="J110" s="32"/>
      <c r="K110" s="32"/>
      <c r="L110" s="32"/>
      <c r="M110" s="32"/>
      <c r="N110" s="32"/>
      <c r="O110" s="32"/>
      <c r="P110" s="32"/>
      <c r="Q110" s="33"/>
      <c r="R110" s="32"/>
    </row>
    <row r="111" spans="9:18" x14ac:dyDescent="0.2">
      <c r="I111" s="32"/>
      <c r="J111" s="32"/>
      <c r="K111" s="32"/>
      <c r="L111" s="32"/>
      <c r="M111" s="32"/>
      <c r="N111" s="32"/>
      <c r="O111" s="32"/>
      <c r="P111" s="32"/>
      <c r="Q111" s="33"/>
      <c r="R111" s="32"/>
    </row>
    <row r="112" spans="9:18" x14ac:dyDescent="0.2">
      <c r="I112" s="32"/>
      <c r="J112" s="32"/>
      <c r="K112" s="32"/>
      <c r="L112" s="32"/>
      <c r="M112" s="32"/>
      <c r="N112" s="32"/>
      <c r="O112" s="32"/>
      <c r="P112" s="32"/>
      <c r="Q112" s="33"/>
      <c r="R112" s="32"/>
    </row>
    <row r="113" spans="9:18" x14ac:dyDescent="0.2">
      <c r="I113" s="32"/>
      <c r="J113" s="32"/>
      <c r="K113" s="32"/>
      <c r="L113" s="32"/>
      <c r="M113" s="32"/>
      <c r="N113" s="32"/>
      <c r="O113" s="32"/>
      <c r="P113" s="32"/>
      <c r="Q113" s="33"/>
      <c r="R113" s="32"/>
    </row>
    <row r="114" spans="9:18" x14ac:dyDescent="0.2">
      <c r="I114" s="32"/>
      <c r="J114" s="32"/>
      <c r="K114" s="32"/>
      <c r="L114" s="32"/>
      <c r="M114" s="32"/>
      <c r="N114" s="32"/>
      <c r="O114" s="32"/>
      <c r="P114" s="32"/>
      <c r="Q114" s="33"/>
      <c r="R114" s="32"/>
    </row>
    <row r="115" spans="9:18" x14ac:dyDescent="0.2">
      <c r="I115" s="32"/>
      <c r="J115" s="32"/>
      <c r="K115" s="32"/>
      <c r="L115" s="32"/>
      <c r="M115" s="32"/>
      <c r="N115" s="32"/>
      <c r="O115" s="32"/>
      <c r="P115" s="32"/>
      <c r="Q115" s="33"/>
      <c r="R115" s="32"/>
    </row>
  </sheetData>
  <mergeCells count="1">
    <mergeCell ref="K2:N2"/>
  </mergeCells>
  <pageMargins left="0.7" right="0.7" top="0.75" bottom="0.75" header="0.3" footer="0.3"/>
  <pageSetup paperSize="9" orientation="portrait" horizontalDpi="200" verticalDpi="200" copies="0"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5B834-64B0-4E9E-B279-47833B002779}">
  <dimension ref="A1:L56"/>
  <sheetViews>
    <sheetView topLeftCell="A25" workbookViewId="0">
      <selection activeCell="H19" sqref="H19"/>
    </sheetView>
  </sheetViews>
  <sheetFormatPr baseColWidth="10" defaultRowHeight="12.75" x14ac:dyDescent="0.2"/>
  <cols>
    <col min="11" max="11" width="38.140625" customWidth="1"/>
  </cols>
  <sheetData>
    <row r="1" spans="1:12" x14ac:dyDescent="0.2">
      <c r="A1" s="21">
        <v>1</v>
      </c>
      <c r="B1" s="21" t="s">
        <v>66</v>
      </c>
      <c r="C1" s="21"/>
      <c r="D1" s="21"/>
    </row>
    <row r="4" spans="1:12" x14ac:dyDescent="0.2">
      <c r="L4" s="58" t="s">
        <v>84</v>
      </c>
    </row>
    <row r="6" spans="1:12" x14ac:dyDescent="0.2">
      <c r="I6" t="s">
        <v>79</v>
      </c>
      <c r="K6" s="58" t="s">
        <v>80</v>
      </c>
      <c r="L6" s="58" t="s">
        <v>83</v>
      </c>
    </row>
    <row r="7" spans="1:12" x14ac:dyDescent="0.2">
      <c r="K7" s="58" t="s">
        <v>81</v>
      </c>
      <c r="L7" s="58" t="s">
        <v>82</v>
      </c>
    </row>
    <row r="15" spans="1:12" x14ac:dyDescent="0.2">
      <c r="H15" s="21"/>
    </row>
    <row r="16" spans="1:12" x14ac:dyDescent="0.2">
      <c r="A16" s="21">
        <v>2</v>
      </c>
      <c r="B16" s="21" t="s">
        <v>67</v>
      </c>
      <c r="C16" s="21"/>
      <c r="D16" s="21"/>
      <c r="E16" s="21"/>
      <c r="F16" s="21"/>
      <c r="G16" s="21"/>
      <c r="I16" s="21"/>
    </row>
    <row r="17" spans="1:10" x14ac:dyDescent="0.2">
      <c r="A17" s="21">
        <v>3</v>
      </c>
      <c r="B17" s="21" t="s">
        <v>68</v>
      </c>
      <c r="C17" s="21"/>
      <c r="D17" s="21"/>
      <c r="E17" s="21"/>
      <c r="F17" s="21"/>
      <c r="G17" s="21"/>
      <c r="H17" s="21"/>
      <c r="I17" s="21"/>
    </row>
    <row r="21" spans="1:10" x14ac:dyDescent="0.2">
      <c r="G21" s="21" t="s">
        <v>69</v>
      </c>
      <c r="H21" s="21"/>
      <c r="I21" s="21"/>
      <c r="J21" s="21"/>
    </row>
    <row r="30" spans="1:10" x14ac:dyDescent="0.2">
      <c r="A30" s="21">
        <v>4</v>
      </c>
      <c r="B30" s="21" t="s">
        <v>70</v>
      </c>
      <c r="C30" s="21"/>
    </row>
    <row r="51" spans="1:11" x14ac:dyDescent="0.2">
      <c r="J51" s="58" t="s">
        <v>73</v>
      </c>
      <c r="K51" s="58" t="s">
        <v>45</v>
      </c>
    </row>
    <row r="52" spans="1:11" x14ac:dyDescent="0.2">
      <c r="J52" s="58" t="s">
        <v>74</v>
      </c>
      <c r="K52" s="58" t="s">
        <v>75</v>
      </c>
    </row>
    <row r="53" spans="1:11" x14ac:dyDescent="0.2">
      <c r="A53" s="21">
        <v>5</v>
      </c>
      <c r="B53" s="21" t="s">
        <v>71</v>
      </c>
      <c r="C53" s="21"/>
      <c r="F53" s="58" t="s">
        <v>72</v>
      </c>
      <c r="J53" s="58" t="s">
        <v>76</v>
      </c>
      <c r="K53" s="58" t="s">
        <v>77</v>
      </c>
    </row>
    <row r="56" spans="1:11" x14ac:dyDescent="0.2">
      <c r="J56" s="58" t="s">
        <v>78</v>
      </c>
    </row>
  </sheetData>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47AF13C82ED6A4A8D723E7F63F55E36" ma:contentTypeVersion="4" ma:contentTypeDescription="Crear nuevo documento." ma:contentTypeScope="" ma:versionID="0486f611e2f44e9ae3b316817a6059ad">
  <xsd:schema xmlns:xsd="http://www.w3.org/2001/XMLSchema" xmlns:xs="http://www.w3.org/2001/XMLSchema" xmlns:p="http://schemas.microsoft.com/office/2006/metadata/properties" xmlns:ns2="46322701-50fa-4245-bb53-174f60010567" targetNamespace="http://schemas.microsoft.com/office/2006/metadata/properties" ma:root="true" ma:fieldsID="d7a5bb63a9b26af132eb33c26b41b9d8" ns2:_="">
    <xsd:import namespace="46322701-50fa-4245-bb53-174f6001056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322701-50fa-4245-bb53-174f600105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B43F48-85A2-4971-88FB-9E76F27C3D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6322701-50fa-4245-bb53-174f600105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98086FD-6BA0-4DE0-BE71-D35595B9E634}">
  <ds:schemaRefs>
    <ds:schemaRef ds:uri="http://schemas.microsoft.com/sharepoint/v3/contenttype/forms"/>
  </ds:schemaRefs>
</ds:datastoreItem>
</file>

<file path=customXml/itemProps3.xml><?xml version="1.0" encoding="utf-8"?>
<ds:datastoreItem xmlns:ds="http://schemas.openxmlformats.org/officeDocument/2006/customXml" ds:itemID="{C4644B73-5414-425E-8069-478481506CDA}">
  <ds:schemaRefs>
    <ds:schemaRef ds:uri="http://www.w3.org/XML/1998/namespace"/>
    <ds:schemaRef ds:uri="http://purl.org/dc/elements/1.1/"/>
    <ds:schemaRef ds:uri="http://schemas.microsoft.com/office/2006/metadata/properties"/>
    <ds:schemaRef ds:uri="http://schemas.openxmlformats.org/package/2006/metadata/core-properties"/>
    <ds:schemaRef ds:uri="http://purl.org/dc/terms/"/>
    <ds:schemaRef ds:uri="http://schemas.microsoft.com/office/2006/documentManagement/types"/>
    <ds:schemaRef ds:uri="http://schemas.microsoft.com/office/infopath/2007/PartnerControls"/>
    <ds:schemaRef ds:uri="46322701-50fa-4245-bb53-174f60010567"/>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Análisis macro</vt:lpstr>
      <vt:lpstr>Análisis económico</vt:lpstr>
      <vt:lpstr>Análisis competencia</vt:lpstr>
      <vt:lpstr>Inversión inicial + mensuales</vt:lpstr>
      <vt:lpstr>PRECIOS TANZANIA</vt:lpstr>
      <vt:lpstr>Base producto</vt:lpstr>
      <vt:lpstr>Cuentas anuales</vt:lpstr>
      <vt:lpstr>Resultados previsiones</vt:lpstr>
      <vt:lpstr>Potenciales clientes </vt:lpstr>
      <vt:lpstr>Previsión Centro</vt:lpstr>
      <vt:lpstr>Hoja1</vt:lpstr>
      <vt:lpstr>Hoja5</vt:lpstr>
      <vt:lpstr>Previsión Upanga East</vt:lpstr>
      <vt:lpstr>Previsión Oyster Bay</vt:lpstr>
      <vt:lpstr>Previsión Masaki</vt:lpstr>
      <vt:lpstr>Pasos a seguir</vt:lpstr>
    </vt:vector>
  </TitlesOfParts>
  <Company>Bain &amp; Company,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Problem 7-1</dc:title>
  <dc:subject>Supply Chain Management - 5th edition</dc:subject>
  <dc:creator>Jay Mabe</dc:creator>
  <cp:lastModifiedBy>CARLOS NUEZ</cp:lastModifiedBy>
  <cp:lastPrinted>2021-08-17T22:49:11Z</cp:lastPrinted>
  <dcterms:created xsi:type="dcterms:W3CDTF">2000-03-05T16:33:58Z</dcterms:created>
  <dcterms:modified xsi:type="dcterms:W3CDTF">2021-08-31T21:50:59Z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0x010100B47AF13C82ED6A4A8D723E7F63F55E36</vt:lpwstr>
  </property>
  <property fmtid="{D5CDD505-2E9C-101B-9397-08002B2CF9AE}" pid="3" name="MSIP_Label_624b1752-a977-4927-b9e6-e48a43684aee_Enabled">
    <vt:lpwstr>true</vt:lpwstr>
  </property>
  <property fmtid="{D5CDD505-2E9C-101B-9397-08002B2CF9AE}" pid="4" name="MSIP_Label_624b1752-a977-4927-b9e6-e48a43684aee_SetDate">
    <vt:lpwstr>2021-08-09T17:35:31Z</vt:lpwstr>
  </property>
  <property fmtid="{D5CDD505-2E9C-101B-9397-08002B2CF9AE}" pid="5" name="MSIP_Label_624b1752-a977-4927-b9e6-e48a43684aee_Method">
    <vt:lpwstr>Privileged</vt:lpwstr>
  </property>
  <property fmtid="{D5CDD505-2E9C-101B-9397-08002B2CF9AE}" pid="6" name="MSIP_Label_624b1752-a977-4927-b9e6-e48a43684aee_Name">
    <vt:lpwstr>Public</vt:lpwstr>
  </property>
  <property fmtid="{D5CDD505-2E9C-101B-9397-08002B2CF9AE}" pid="7" name="MSIP_Label_624b1752-a977-4927-b9e6-e48a43684aee_SiteId">
    <vt:lpwstr>031a09bc-a2bf-44df-888e-4e09355b7a24</vt:lpwstr>
  </property>
  <property fmtid="{D5CDD505-2E9C-101B-9397-08002B2CF9AE}" pid="8" name="MSIP_Label_624b1752-a977-4927-b9e6-e48a43684aee_ActionId">
    <vt:lpwstr>d00cb9c7-d15b-4b06-9265-f7077123a8ce</vt:lpwstr>
  </property>
  <property fmtid="{D5CDD505-2E9C-101B-9397-08002B2CF9AE}" pid="9" name="MSIP_Label_624b1752-a977-4927-b9e6-e48a43684aee_ContentBits">
    <vt:lpwstr>0</vt:lpwstr>
  </property>
</Properties>
</file>