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350328\Desktop\TFM\"/>
    </mc:Choice>
  </mc:AlternateContent>
  <xr:revisionPtr revIDLastSave="0" documentId="13_ncr:1_{37B3DFCE-ADE7-41CC-82AB-DA932804561A}" xr6:coauthVersionLast="45" xr6:coauthVersionMax="46" xr10:uidLastSave="{00000000-0000-0000-0000-000000000000}"/>
  <bookViews>
    <workbookView xWindow="-120" yWindow="-120" windowWidth="20730" windowHeight="11160" firstSheet="3" activeTab="4" xr2:uid="{28CA253E-D1E6-4567-BF49-227564E52D0D}"/>
  </bookViews>
  <sheets>
    <sheet name="Base" sheetId="7" r:id="rId1"/>
    <sheet name="Datos del edificios" sheetId="5" r:id="rId2"/>
    <sheet name="Volumen producto" sheetId="2" r:id="rId3"/>
    <sheet name="Envíos camión" sheetId="8" r:id="rId4"/>
    <sheet name="Envíos container" sheetId="6" r:id="rId5"/>
    <sheet name="Previsiones demanda" sheetId="9" r:id="rId6"/>
    <sheet name="Calculos iluminacion" sheetId="15" r:id="rId7"/>
  </sheets>
  <externalReferences>
    <externalReference r:id="rId8"/>
    <externalReference r:id="rId9"/>
  </externalReferences>
  <definedNames>
    <definedName name="solver_adj" localSheetId="3" hidden="1">'Envíos camión'!$L$25:$Q$28,'Envíos camión'!$L$32:$Q$32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0" localSheetId="3" hidden="1">'Envíos camión'!$L$29:$Q$29</definedName>
    <definedName name="solver_lhs1" localSheetId="3" hidden="1">'Envíos camión'!$D$25:$H$28</definedName>
    <definedName name="solver_lhs2" localSheetId="3" hidden="1">'Envíos camión'!$D$25:$H$28</definedName>
    <definedName name="solver_lhs3" localSheetId="3" hidden="1">'Envíos camión'!$I$25:$I$28</definedName>
    <definedName name="solver_lhs4" localSheetId="3" hidden="1">'Envíos camión'!$L$25:$Q$28</definedName>
    <definedName name="solver_lhs5" localSheetId="3" hidden="1">'Envíos camión'!$L$29:$Q$29</definedName>
    <definedName name="solver_lhs6" localSheetId="3" hidden="1">'Envíos camión'!$L$30:$Q$30</definedName>
    <definedName name="solver_lhs7" localSheetId="3" hidden="1">'Envíos camión'!$L$32:$Q$32</definedName>
    <definedName name="solver_lhs8" localSheetId="3" hidden="1">'Envíos camión'!$R$25:$R$28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'Envíos camión'!$R$32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1</definedName>
    <definedName name="solver_rel5" localSheetId="3" hidden="1">1</definedName>
    <definedName name="solver_rel6" localSheetId="3" hidden="1">2</definedName>
    <definedName name="solver_rel7" localSheetId="3" hidden="1">5</definedName>
    <definedName name="solver_rel8" localSheetId="3" hidden="1">2</definedName>
    <definedName name="solver_rhs0" localSheetId="3" hidden="1">'Envíos camión'!#REF!</definedName>
    <definedName name="solver_rhs1" localSheetId="3" hidden="1">2</definedName>
    <definedName name="solver_rhs2" localSheetId="3" hidden="1">-2</definedName>
    <definedName name="solver_rhs3" localSheetId="3" hidden="1">0</definedName>
    <definedName name="solver_rhs4" localSheetId="3" hidden="1">2.5</definedName>
    <definedName name="solver_rhs5" localSheetId="3" hidden="1">'Envíos camión'!$M$35</definedName>
    <definedName name="solver_rhs6" localSheetId="3" hidden="1">0</definedName>
    <definedName name="solver_rhs7" localSheetId="3" hidden="1">binario</definedName>
    <definedName name="solver_rhs8" localSheetId="3" hidden="1">'Envíos camión'!$J$14:$J$17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4</definedName>
    <definedName name="solver_ver" localSheetId="3" hidden="1">3</definedName>
  </definedNames>
  <calcPr calcId="191029"/>
  <pivotCaches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9" l="1"/>
  <c r="N28" i="9"/>
  <c r="N21" i="9"/>
  <c r="L32" i="15"/>
  <c r="F34" i="15"/>
  <c r="I33" i="15"/>
  <c r="D30" i="15"/>
  <c r="M12" i="15"/>
  <c r="I18" i="15"/>
  <c r="L17" i="15" s="1"/>
  <c r="U80" i="2"/>
  <c r="S80" i="2"/>
  <c r="O82" i="2"/>
  <c r="R76" i="2"/>
  <c r="P77" i="2"/>
  <c r="Q77" i="2" s="1"/>
  <c r="Q74" i="2"/>
  <c r="P74" i="2"/>
  <c r="D18" i="15"/>
  <c r="F22" i="15" s="1"/>
  <c r="L6" i="15"/>
  <c r="S60" i="2"/>
  <c r="P68" i="2"/>
  <c r="P66" i="2"/>
  <c r="P63" i="2"/>
  <c r="P58" i="2"/>
  <c r="P57" i="2"/>
  <c r="P53" i="2"/>
  <c r="P52" i="2"/>
  <c r="P49" i="2"/>
  <c r="F9" i="15"/>
  <c r="D5" i="15"/>
  <c r="Q35" i="2"/>
  <c r="O37" i="2" s="1"/>
  <c r="O35" i="2"/>
  <c r="R28" i="2"/>
  <c r="R27" i="2"/>
  <c r="T33" i="2"/>
  <c r="AG41" i="2"/>
  <c r="AF42" i="2"/>
  <c r="AF41" i="2"/>
  <c r="AE42" i="2"/>
  <c r="AG42" i="2" s="1"/>
  <c r="AH41" i="2" s="1"/>
  <c r="AE41" i="2"/>
  <c r="AF37" i="2"/>
  <c r="Y38" i="2"/>
  <c r="Y37" i="2"/>
  <c r="AA34" i="2"/>
  <c r="AG14" i="2"/>
  <c r="AF10" i="2"/>
  <c r="AG10" i="2"/>
  <c r="J6" i="2"/>
  <c r="AA33" i="2"/>
  <c r="Y34" i="2"/>
  <c r="Y33" i="2"/>
  <c r="T38" i="2"/>
  <c r="S22" i="2"/>
  <c r="T22" i="2" s="1"/>
  <c r="P38" i="2"/>
  <c r="O33" i="2"/>
  <c r="Q33" i="2" s="1"/>
  <c r="J5" i="2"/>
  <c r="F76" i="7"/>
  <c r="E74" i="7"/>
  <c r="D25" i="8"/>
  <c r="AD32" i="8"/>
  <c r="AC32" i="8"/>
  <c r="AB32" i="8"/>
  <c r="AA32" i="8"/>
  <c r="Z32" i="8"/>
  <c r="Y32" i="8"/>
  <c r="AE31" i="8"/>
  <c r="AE30" i="8"/>
  <c r="AE29" i="8"/>
  <c r="AE28" i="8"/>
  <c r="M28" i="8"/>
  <c r="N26" i="8"/>
  <c r="M26" i="8"/>
  <c r="L26" i="8"/>
  <c r="N25" i="8"/>
  <c r="Z16" i="8"/>
  <c r="Z18" i="8"/>
  <c r="AA16" i="8"/>
  <c r="AA15" i="8"/>
  <c r="Y16" i="8"/>
  <c r="K5" i="2"/>
  <c r="R7" i="8"/>
  <c r="P7" i="8"/>
  <c r="C4" i="9"/>
  <c r="F22" i="9"/>
  <c r="F23" i="9"/>
  <c r="F24" i="9"/>
  <c r="F25" i="9"/>
  <c r="F26" i="9"/>
  <c r="F27" i="9"/>
  <c r="F28" i="9"/>
  <c r="F29" i="9"/>
  <c r="F30" i="9"/>
  <c r="F31" i="9"/>
  <c r="F32" i="9"/>
  <c r="F21" i="9"/>
  <c r="H33" i="9"/>
  <c r="H34" i="9"/>
  <c r="H22" i="9"/>
  <c r="H23" i="9"/>
  <c r="H24" i="9"/>
  <c r="H25" i="9"/>
  <c r="H26" i="9"/>
  <c r="H27" i="9"/>
  <c r="H28" i="9"/>
  <c r="H29" i="9"/>
  <c r="H30" i="9"/>
  <c r="H31" i="9"/>
  <c r="H32" i="9"/>
  <c r="H21" i="9"/>
  <c r="BK7" i="6"/>
  <c r="BP7" i="6"/>
  <c r="BQ7" i="6"/>
  <c r="BS7" i="6"/>
  <c r="BL7" i="6"/>
  <c r="BM7" i="6"/>
  <c r="BJ7" i="6"/>
  <c r="BN7" i="6"/>
  <c r="BO7" i="6"/>
  <c r="BR7" i="6"/>
  <c r="H42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78" i="7" l="1"/>
  <c r="AO26" i="6"/>
  <c r="AO27" i="6"/>
  <c r="AO28" i="6"/>
  <c r="AO29" i="6"/>
  <c r="AN30" i="6" s="1"/>
  <c r="AO30" i="6"/>
  <c r="AO31" i="6"/>
  <c r="AN32" i="6" s="1"/>
  <c r="AO32" i="6"/>
  <c r="AO33" i="6"/>
  <c r="AN34" i="6" s="1"/>
  <c r="AO34" i="6"/>
  <c r="AO35" i="6"/>
  <c r="AO22" i="6"/>
  <c r="AO23" i="6"/>
  <c r="AN26" i="6" s="1"/>
  <c r="AO24" i="6"/>
  <c r="AO25" i="6"/>
  <c r="AN27" i="6" s="1"/>
  <c r="AO16" i="6"/>
  <c r="AO17" i="6"/>
  <c r="AO18" i="6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L2" i="9"/>
  <c r="AN28" i="6" l="1"/>
  <c r="AN35" i="6"/>
  <c r="AN33" i="6"/>
  <c r="AN31" i="6"/>
  <c r="AN29" i="6"/>
  <c r="F15" i="9"/>
  <c r="D68" i="9" s="1"/>
  <c r="G14" i="9"/>
  <c r="D79" i="9" s="1"/>
  <c r="G79" i="9" s="1"/>
  <c r="C14" i="9"/>
  <c r="D31" i="9" s="1"/>
  <c r="D13" i="9"/>
  <c r="D42" i="9" s="1"/>
  <c r="E12" i="9"/>
  <c r="D53" i="9" s="1"/>
  <c r="F11" i="9"/>
  <c r="D64" i="9" s="1"/>
  <c r="G10" i="9"/>
  <c r="D75" i="9" s="1"/>
  <c r="G75" i="9" s="1"/>
  <c r="C10" i="9"/>
  <c r="D27" i="9" s="1"/>
  <c r="J27" i="9" s="1"/>
  <c r="K27" i="9" s="1"/>
  <c r="O27" i="9" s="1"/>
  <c r="D9" i="9"/>
  <c r="D38" i="9" s="1"/>
  <c r="E8" i="9"/>
  <c r="D49" i="9" s="1"/>
  <c r="F7" i="9"/>
  <c r="D60" i="9" s="1"/>
  <c r="G6" i="9"/>
  <c r="D71" i="9" s="1"/>
  <c r="C6" i="9"/>
  <c r="D23" i="9" s="1"/>
  <c r="D5" i="9"/>
  <c r="D34" i="9" s="1"/>
  <c r="E4" i="9"/>
  <c r="E15" i="9"/>
  <c r="D56" i="9" s="1"/>
  <c r="F14" i="9"/>
  <c r="D67" i="9" s="1"/>
  <c r="G13" i="9"/>
  <c r="D78" i="9" s="1"/>
  <c r="G78" i="9" s="1"/>
  <c r="C13" i="9"/>
  <c r="D30" i="9" s="1"/>
  <c r="J30" i="9" s="1"/>
  <c r="K30" i="9" s="1"/>
  <c r="O30" i="9" s="1"/>
  <c r="D12" i="9"/>
  <c r="D41" i="9" s="1"/>
  <c r="E11" i="9"/>
  <c r="D52" i="9" s="1"/>
  <c r="F10" i="9"/>
  <c r="D63" i="9" s="1"/>
  <c r="G9" i="9"/>
  <c r="D74" i="9" s="1"/>
  <c r="G74" i="9" s="1"/>
  <c r="C9" i="9"/>
  <c r="D26" i="9" s="1"/>
  <c r="D8" i="9"/>
  <c r="D37" i="9" s="1"/>
  <c r="E7" i="9"/>
  <c r="D48" i="9" s="1"/>
  <c r="F6" i="9"/>
  <c r="D59" i="9" s="1"/>
  <c r="G5" i="9"/>
  <c r="D70" i="9" s="1"/>
  <c r="G70" i="9" s="1"/>
  <c r="C5" i="9"/>
  <c r="D22" i="9" s="1"/>
  <c r="D4" i="9"/>
  <c r="D6" i="9"/>
  <c r="D35" i="9" s="1"/>
  <c r="J35" i="9" s="1"/>
  <c r="K35" i="9" s="1"/>
  <c r="O35" i="9" s="1"/>
  <c r="E9" i="9"/>
  <c r="D50" i="9" s="1"/>
  <c r="J50" i="9" s="1"/>
  <c r="K50" i="9" s="1"/>
  <c r="O50" i="9" s="1"/>
  <c r="F12" i="9"/>
  <c r="D65" i="9" s="1"/>
  <c r="J65" i="9" s="1"/>
  <c r="K65" i="9" s="1"/>
  <c r="O65" i="9" s="1"/>
  <c r="G15" i="9"/>
  <c r="D80" i="9" s="1"/>
  <c r="G80" i="9" s="1"/>
  <c r="G4" i="9"/>
  <c r="F9" i="9"/>
  <c r="D62" i="9" s="1"/>
  <c r="J62" i="9" s="1"/>
  <c r="K62" i="9" s="1"/>
  <c r="O62" i="9" s="1"/>
  <c r="G12" i="9"/>
  <c r="D77" i="9" s="1"/>
  <c r="G77" i="9" s="1"/>
  <c r="J22" i="9"/>
  <c r="K22" i="9" s="1"/>
  <c r="O22" i="9" s="1"/>
  <c r="D10" i="9"/>
  <c r="D39" i="9" s="1"/>
  <c r="E13" i="9"/>
  <c r="D54" i="9" s="1"/>
  <c r="J54" i="9" s="1"/>
  <c r="K54" i="9" s="1"/>
  <c r="O54" i="9" s="1"/>
  <c r="C15" i="9"/>
  <c r="D32" i="9" s="1"/>
  <c r="F4" i="9"/>
  <c r="G7" i="9"/>
  <c r="D72" i="9" s="1"/>
  <c r="C11" i="9"/>
  <c r="D28" i="9" s="1"/>
  <c r="D14" i="9"/>
  <c r="D43" i="9" s="1"/>
  <c r="J43" i="9" s="1"/>
  <c r="K43" i="9" s="1"/>
  <c r="O43" i="9" s="1"/>
  <c r="J23" i="9"/>
  <c r="K23" i="9" s="1"/>
  <c r="O23" i="9" s="1"/>
  <c r="J38" i="9"/>
  <c r="K38" i="9" s="1"/>
  <c r="O38" i="9" s="1"/>
  <c r="E6" i="9"/>
  <c r="D47" i="9" s="1"/>
  <c r="C8" i="9"/>
  <c r="D25" i="9" s="1"/>
  <c r="D11" i="9"/>
  <c r="D40" i="9" s="1"/>
  <c r="E14" i="9"/>
  <c r="D55" i="9" s="1"/>
  <c r="J34" i="9"/>
  <c r="K34" i="9" s="1"/>
  <c r="O34" i="9" s="1"/>
  <c r="E5" i="9"/>
  <c r="D46" i="9" s="1"/>
  <c r="J46" i="9" s="1"/>
  <c r="K46" i="9" s="1"/>
  <c r="O46" i="9" s="1"/>
  <c r="C7" i="9"/>
  <c r="D24" i="9" s="1"/>
  <c r="F8" i="9"/>
  <c r="D61" i="9" s="1"/>
  <c r="G11" i="9"/>
  <c r="D76" i="9" s="1"/>
  <c r="G76" i="9" s="1"/>
  <c r="F5" i="9"/>
  <c r="D58" i="9" s="1"/>
  <c r="D7" i="9"/>
  <c r="D36" i="9" s="1"/>
  <c r="G8" i="9"/>
  <c r="D73" i="9" s="1"/>
  <c r="G73" i="9" s="1"/>
  <c r="E10" i="9"/>
  <c r="D51" i="9" s="1"/>
  <c r="C12" i="9"/>
  <c r="D29" i="9" s="1"/>
  <c r="F13" i="9"/>
  <c r="D66" i="9" s="1"/>
  <c r="J66" i="9" s="1"/>
  <c r="K66" i="9" s="1"/>
  <c r="O66" i="9" s="1"/>
  <c r="D15" i="9"/>
  <c r="D44" i="9" s="1"/>
  <c r="J53" i="9"/>
  <c r="K53" i="9" s="1"/>
  <c r="O53" i="9" s="1"/>
  <c r="J52" i="9"/>
  <c r="K52" i="9" s="1"/>
  <c r="O52" i="9" s="1"/>
  <c r="J42" i="9"/>
  <c r="K42" i="9" s="1"/>
  <c r="O42" i="9" s="1"/>
  <c r="J64" i="9"/>
  <c r="K64" i="9" s="1"/>
  <c r="O64" i="9" s="1"/>
  <c r="J68" i="9"/>
  <c r="K68" i="9" s="1"/>
  <c r="O68" i="9" s="1"/>
  <c r="J73" i="9"/>
  <c r="K73" i="9" s="1"/>
  <c r="O73" i="9" s="1"/>
  <c r="J77" i="9"/>
  <c r="K77" i="9" s="1"/>
  <c r="O77" i="9" s="1"/>
  <c r="J78" i="9"/>
  <c r="K78" i="9" s="1"/>
  <c r="O78" i="9" s="1"/>
  <c r="J76" i="9"/>
  <c r="K76" i="9" s="1"/>
  <c r="O76" i="9" s="1"/>
  <c r="J79" i="9"/>
  <c r="K79" i="9" s="1"/>
  <c r="O79" i="9" s="1"/>
  <c r="J70" i="9" l="1"/>
  <c r="K70" i="9" s="1"/>
  <c r="O70" i="9" s="1"/>
  <c r="G58" i="9"/>
  <c r="G61" i="9"/>
  <c r="E67" i="9"/>
  <c r="J61" i="9"/>
  <c r="K61" i="9" s="1"/>
  <c r="O61" i="9" s="1"/>
  <c r="G47" i="9"/>
  <c r="J28" i="9"/>
  <c r="K28" i="9" s="1"/>
  <c r="O28" i="9" s="1"/>
  <c r="G28" i="9"/>
  <c r="J32" i="9"/>
  <c r="K32" i="9" s="1"/>
  <c r="O32" i="9" s="1"/>
  <c r="G32" i="9"/>
  <c r="G51" i="9"/>
  <c r="J51" i="9"/>
  <c r="K51" i="9" s="1"/>
  <c r="O51" i="9" s="1"/>
  <c r="J24" i="9"/>
  <c r="K24" i="9" s="1"/>
  <c r="O24" i="9" s="1"/>
  <c r="E27" i="9"/>
  <c r="G24" i="9"/>
  <c r="J55" i="9"/>
  <c r="K55" i="9" s="1"/>
  <c r="O55" i="9" s="1"/>
  <c r="G55" i="9"/>
  <c r="G72" i="9"/>
  <c r="J72" i="9"/>
  <c r="K72" i="9" s="1"/>
  <c r="O72" i="9" s="1"/>
  <c r="G54" i="9"/>
  <c r="G48" i="9"/>
  <c r="J48" i="9"/>
  <c r="K48" i="9" s="1"/>
  <c r="O48" i="9" s="1"/>
  <c r="G64" i="9"/>
  <c r="J75" i="9"/>
  <c r="K75" i="9" s="1"/>
  <c r="O75" i="9" s="1"/>
  <c r="G44" i="9"/>
  <c r="J44" i="9"/>
  <c r="K44" i="9" s="1"/>
  <c r="O44" i="9" s="1"/>
  <c r="G46" i="9"/>
  <c r="J40" i="9"/>
  <c r="K40" i="9" s="1"/>
  <c r="O40" i="9" s="1"/>
  <c r="G40" i="9"/>
  <c r="D57" i="9"/>
  <c r="E53" i="9" s="1"/>
  <c r="F16" i="9"/>
  <c r="G39" i="9"/>
  <c r="G62" i="9"/>
  <c r="E56" i="9"/>
  <c r="G50" i="9"/>
  <c r="E25" i="9"/>
  <c r="G22" i="9"/>
  <c r="G37" i="9"/>
  <c r="J37" i="9"/>
  <c r="K37" i="9" s="1"/>
  <c r="O37" i="9" s="1"/>
  <c r="G52" i="9"/>
  <c r="G67" i="9"/>
  <c r="J67" i="9"/>
  <c r="K67" i="9" s="1"/>
  <c r="O67" i="9" s="1"/>
  <c r="G23" i="9"/>
  <c r="E26" i="9"/>
  <c r="G38" i="9"/>
  <c r="G53" i="9"/>
  <c r="G68" i="9"/>
  <c r="G29" i="9"/>
  <c r="J29" i="9"/>
  <c r="K29" i="9" s="1"/>
  <c r="O29" i="9" s="1"/>
  <c r="J59" i="9"/>
  <c r="K59" i="9" s="1"/>
  <c r="O59" i="9" s="1"/>
  <c r="G59" i="9"/>
  <c r="G30" i="9"/>
  <c r="E16" i="9"/>
  <c r="D45" i="9"/>
  <c r="E46" i="9" s="1"/>
  <c r="G60" i="9"/>
  <c r="J60" i="9"/>
  <c r="K60" i="9" s="1"/>
  <c r="O60" i="9" s="1"/>
  <c r="G31" i="9"/>
  <c r="J80" i="9"/>
  <c r="K80" i="9" s="1"/>
  <c r="O80" i="9" s="1"/>
  <c r="J58" i="9"/>
  <c r="K58" i="9" s="1"/>
  <c r="O58" i="9" s="1"/>
  <c r="J31" i="9"/>
  <c r="K31" i="9" s="1"/>
  <c r="O31" i="9" s="1"/>
  <c r="D21" i="9"/>
  <c r="C16" i="9"/>
  <c r="G65" i="9"/>
  <c r="D33" i="9"/>
  <c r="E32" i="9" s="1"/>
  <c r="D16" i="9"/>
  <c r="G63" i="9"/>
  <c r="J63" i="9"/>
  <c r="K63" i="9" s="1"/>
  <c r="O63" i="9" s="1"/>
  <c r="G34" i="9"/>
  <c r="E37" i="9"/>
  <c r="G49" i="9"/>
  <c r="J47" i="9"/>
  <c r="K47" i="9" s="1"/>
  <c r="O47" i="9" s="1"/>
  <c r="J74" i="9"/>
  <c r="K74" i="9" s="1"/>
  <c r="O74" i="9" s="1"/>
  <c r="G66" i="9"/>
  <c r="J36" i="9"/>
  <c r="K36" i="9" s="1"/>
  <c r="O36" i="9" s="1"/>
  <c r="G36" i="9"/>
  <c r="J39" i="9"/>
  <c r="K39" i="9" s="1"/>
  <c r="O39" i="9" s="1"/>
  <c r="E28" i="9"/>
  <c r="G25" i="9"/>
  <c r="J25" i="9"/>
  <c r="K25" i="9" s="1"/>
  <c r="O25" i="9" s="1"/>
  <c r="G43" i="9"/>
  <c r="J49" i="9"/>
  <c r="K49" i="9" s="1"/>
  <c r="O49" i="9" s="1"/>
  <c r="D69" i="9"/>
  <c r="E70" i="9" s="1"/>
  <c r="G16" i="9"/>
  <c r="E38" i="9"/>
  <c r="G35" i="9"/>
  <c r="G26" i="9"/>
  <c r="E29" i="9"/>
  <c r="G41" i="9"/>
  <c r="J41" i="9"/>
  <c r="K41" i="9" s="1"/>
  <c r="O41" i="9" s="1"/>
  <c r="E62" i="9"/>
  <c r="G56" i="9"/>
  <c r="J56" i="9"/>
  <c r="K56" i="9" s="1"/>
  <c r="O56" i="9" s="1"/>
  <c r="J71" i="9"/>
  <c r="K71" i="9" s="1"/>
  <c r="O71" i="9" s="1"/>
  <c r="G71" i="9"/>
  <c r="G27" i="9"/>
  <c r="G42" i="9"/>
  <c r="J26" i="9"/>
  <c r="K26" i="9" s="1"/>
  <c r="O26" i="9" s="1"/>
  <c r="E24" i="9" l="1"/>
  <c r="G21" i="9"/>
  <c r="E33" i="9"/>
  <c r="E52" i="9"/>
  <c r="E73" i="9"/>
  <c r="E69" i="9"/>
  <c r="E55" i="9"/>
  <c r="E59" i="9"/>
  <c r="E58" i="9"/>
  <c r="E30" i="9"/>
  <c r="E47" i="9"/>
  <c r="E41" i="9"/>
  <c r="E71" i="9"/>
  <c r="E34" i="9"/>
  <c r="E65" i="9"/>
  <c r="E54" i="9"/>
  <c r="E43" i="9"/>
  <c r="E45" i="9"/>
  <c r="E40" i="9"/>
  <c r="E44" i="9"/>
  <c r="E68" i="9"/>
  <c r="E57" i="9"/>
  <c r="G45" i="9"/>
  <c r="E51" i="9"/>
  <c r="J45" i="9"/>
  <c r="K45" i="9" s="1"/>
  <c r="O45" i="9" s="1"/>
  <c r="E42" i="9"/>
  <c r="E48" i="9"/>
  <c r="E49" i="9"/>
  <c r="G69" i="9"/>
  <c r="J69" i="9"/>
  <c r="K69" i="9" s="1"/>
  <c r="O69" i="9" s="1"/>
  <c r="E72" i="9"/>
  <c r="E36" i="9"/>
  <c r="E39" i="9"/>
  <c r="G33" i="9"/>
  <c r="J33" i="9"/>
  <c r="K33" i="9" s="1"/>
  <c r="O33" i="9" s="1"/>
  <c r="J21" i="9"/>
  <c r="E66" i="9"/>
  <c r="E74" i="9"/>
  <c r="E63" i="9"/>
  <c r="G57" i="9"/>
  <c r="J57" i="9"/>
  <c r="K57" i="9" s="1"/>
  <c r="O57" i="9" s="1"/>
  <c r="E50" i="9"/>
  <c r="E60" i="9"/>
  <c r="E61" i="9"/>
  <c r="E35" i="9"/>
  <c r="E31" i="9"/>
  <c r="E64" i="9"/>
  <c r="L72" i="9" l="1"/>
  <c r="M71" i="9"/>
  <c r="L68" i="9"/>
  <c r="M67" i="9"/>
  <c r="L64" i="9"/>
  <c r="M63" i="9"/>
  <c r="L60" i="9"/>
  <c r="M59" i="9"/>
  <c r="L56" i="9"/>
  <c r="M55" i="9"/>
  <c r="L52" i="9"/>
  <c r="M51" i="9"/>
  <c r="M80" i="9"/>
  <c r="M79" i="9"/>
  <c r="M78" i="9"/>
  <c r="M77" i="9"/>
  <c r="M76" i="9"/>
  <c r="M75" i="9"/>
  <c r="M74" i="9"/>
  <c r="L77" i="9"/>
  <c r="L69" i="9"/>
  <c r="L67" i="9"/>
  <c r="M65" i="9"/>
  <c r="L62" i="9"/>
  <c r="M60" i="9"/>
  <c r="M58" i="9"/>
  <c r="L53" i="9"/>
  <c r="L51" i="9"/>
  <c r="L49" i="9"/>
  <c r="M48" i="9"/>
  <c r="L45" i="9"/>
  <c r="M44" i="9"/>
  <c r="L78" i="9"/>
  <c r="L74" i="9"/>
  <c r="M72" i="9"/>
  <c r="M70" i="9"/>
  <c r="L65" i="9"/>
  <c r="L63" i="9"/>
  <c r="M61" i="9"/>
  <c r="L58" i="9"/>
  <c r="M56" i="9"/>
  <c r="M54" i="9"/>
  <c r="L48" i="9"/>
  <c r="M47" i="9"/>
  <c r="L44" i="9"/>
  <c r="M43" i="9"/>
  <c r="L76" i="9"/>
  <c r="L75" i="9"/>
  <c r="L71" i="9"/>
  <c r="M69" i="9"/>
  <c r="L61" i="9"/>
  <c r="L59" i="9"/>
  <c r="M57" i="9"/>
  <c r="L54" i="9"/>
  <c r="M52" i="9"/>
  <c r="M50" i="9"/>
  <c r="M49" i="9"/>
  <c r="M42" i="9"/>
  <c r="M41" i="9"/>
  <c r="L38" i="9"/>
  <c r="M37" i="9"/>
  <c r="L34" i="9"/>
  <c r="M33" i="9"/>
  <c r="L30" i="9"/>
  <c r="L26" i="9"/>
  <c r="M25" i="9"/>
  <c r="K21" i="9"/>
  <c r="M68" i="9"/>
  <c r="M62" i="9"/>
  <c r="M53" i="9"/>
  <c r="M45" i="9"/>
  <c r="L36" i="9"/>
  <c r="M35" i="9"/>
  <c r="M31" i="9"/>
  <c r="L57" i="9"/>
  <c r="L50" i="9"/>
  <c r="L43" i="9"/>
  <c r="L42" i="9"/>
  <c r="L41" i="9"/>
  <c r="M40" i="9"/>
  <c r="L37" i="9"/>
  <c r="M36" i="9"/>
  <c r="L33" i="9"/>
  <c r="M32" i="9"/>
  <c r="L29" i="9"/>
  <c r="M28" i="9"/>
  <c r="L25" i="9"/>
  <c r="M24" i="9"/>
  <c r="L80" i="9"/>
  <c r="L79" i="9"/>
  <c r="M73" i="9"/>
  <c r="L70" i="9"/>
  <c r="M66" i="9"/>
  <c r="L55" i="9"/>
  <c r="M46" i="9"/>
  <c r="L40" i="9"/>
  <c r="M39" i="9"/>
  <c r="L32" i="9"/>
  <c r="L28" i="9"/>
  <c r="L66" i="9"/>
  <c r="L35" i="9"/>
  <c r="M30" i="9"/>
  <c r="L27" i="9"/>
  <c r="M22" i="9"/>
  <c r="L21" i="9"/>
  <c r="L22" i="9"/>
  <c r="L47" i="9"/>
  <c r="L24" i="9"/>
  <c r="L73" i="9"/>
  <c r="M27" i="9"/>
  <c r="M21" i="9"/>
  <c r="L46" i="9"/>
  <c r="L39" i="9"/>
  <c r="M34" i="9"/>
  <c r="M23" i="9"/>
  <c r="M64" i="9"/>
  <c r="M38" i="9"/>
  <c r="L23" i="9"/>
  <c r="L31" i="9"/>
  <c r="M26" i="9"/>
  <c r="N80" i="9" l="1"/>
  <c r="N79" i="9"/>
  <c r="Q79" i="9" s="1"/>
  <c r="N78" i="9"/>
  <c r="Q78" i="9" s="1"/>
  <c r="N77" i="9"/>
  <c r="Q77" i="9" s="1"/>
  <c r="N76" i="9"/>
  <c r="Q76" i="9" s="1"/>
  <c r="N75" i="9"/>
  <c r="Q75" i="9" s="1"/>
  <c r="N74" i="9"/>
  <c r="Q74" i="9" s="1"/>
  <c r="N70" i="9"/>
  <c r="Q70" i="9" s="1"/>
  <c r="N66" i="9"/>
  <c r="Q66" i="9" s="1"/>
  <c r="N62" i="9"/>
  <c r="Q62" i="9" s="1"/>
  <c r="N58" i="9"/>
  <c r="Q58" i="9" s="1"/>
  <c r="N54" i="9"/>
  <c r="Q54" i="9" s="1"/>
  <c r="N50" i="9"/>
  <c r="Q50" i="9" s="1"/>
  <c r="N72" i="9"/>
  <c r="Q72" i="9" s="1"/>
  <c r="N63" i="9"/>
  <c r="Q63" i="9" s="1"/>
  <c r="N61" i="9"/>
  <c r="Q61" i="9" s="1"/>
  <c r="N56" i="9"/>
  <c r="Q56" i="9" s="1"/>
  <c r="N47" i="9"/>
  <c r="Q47" i="9" s="1"/>
  <c r="N43" i="9"/>
  <c r="Q43" i="9" s="1"/>
  <c r="N73" i="9"/>
  <c r="Q73" i="9" s="1"/>
  <c r="N68" i="9"/>
  <c r="Q68" i="9" s="1"/>
  <c r="N59" i="9"/>
  <c r="Q59" i="9" s="1"/>
  <c r="N57" i="9"/>
  <c r="Q57" i="9" s="1"/>
  <c r="N52" i="9"/>
  <c r="Q52" i="9" s="1"/>
  <c r="N46" i="9"/>
  <c r="Q46" i="9" s="1"/>
  <c r="N42" i="9"/>
  <c r="Q42" i="9" s="1"/>
  <c r="N67" i="9"/>
  <c r="Q67" i="9" s="1"/>
  <c r="N65" i="9"/>
  <c r="Q65" i="9" s="1"/>
  <c r="N40" i="9"/>
  <c r="Q40" i="9" s="1"/>
  <c r="N36" i="9"/>
  <c r="Q36" i="9" s="1"/>
  <c r="N32" i="9"/>
  <c r="Q32" i="9" s="1"/>
  <c r="Q28" i="9"/>
  <c r="N24" i="9"/>
  <c r="Q24" i="9" s="1"/>
  <c r="O21" i="9"/>
  <c r="N64" i="9"/>
  <c r="Q64" i="9" s="1"/>
  <c r="N51" i="9"/>
  <c r="Q51" i="9" s="1"/>
  <c r="N55" i="9"/>
  <c r="Q55" i="9" s="1"/>
  <c r="N53" i="9"/>
  <c r="Q53" i="9" s="1"/>
  <c r="N45" i="9"/>
  <c r="Q45" i="9" s="1"/>
  <c r="N44" i="9"/>
  <c r="Q44" i="9" s="1"/>
  <c r="N39" i="9"/>
  <c r="Q39" i="9" s="1"/>
  <c r="N35" i="9"/>
  <c r="Q35" i="9" s="1"/>
  <c r="N31" i="9"/>
  <c r="Q31" i="9" s="1"/>
  <c r="N27" i="9"/>
  <c r="Q27" i="9" s="1"/>
  <c r="N23" i="9"/>
  <c r="Q23" i="9" s="1"/>
  <c r="N22" i="9"/>
  <c r="Q22" i="9" s="1"/>
  <c r="Q21" i="9"/>
  <c r="N60" i="9"/>
  <c r="Q60" i="9" s="1"/>
  <c r="N38" i="9"/>
  <c r="Q38" i="9" s="1"/>
  <c r="N34" i="9"/>
  <c r="Q34" i="9" s="1"/>
  <c r="N30" i="9"/>
  <c r="Q30" i="9" s="1"/>
  <c r="N49" i="9"/>
  <c r="Q49" i="9" s="1"/>
  <c r="N29" i="9"/>
  <c r="Q29" i="9" s="1"/>
  <c r="N37" i="9"/>
  <c r="Q37" i="9" s="1"/>
  <c r="N26" i="9"/>
  <c r="Q26" i="9" s="1"/>
  <c r="N25" i="9"/>
  <c r="Q25" i="9" s="1"/>
  <c r="N69" i="9"/>
  <c r="Q69" i="9" s="1"/>
  <c r="N48" i="9"/>
  <c r="Q48" i="9" s="1"/>
  <c r="N41" i="9"/>
  <c r="Q41" i="9" s="1"/>
  <c r="N71" i="9"/>
  <c r="Q71" i="9" s="1"/>
  <c r="N33" i="9"/>
  <c r="Q33" i="9" s="1"/>
  <c r="P72" i="9" l="1"/>
  <c r="P68" i="9"/>
  <c r="P64" i="9"/>
  <c r="P60" i="9"/>
  <c r="P56" i="9"/>
  <c r="P52" i="9"/>
  <c r="P79" i="9"/>
  <c r="P75" i="9"/>
  <c r="P73" i="9"/>
  <c r="P71" i="9"/>
  <c r="P66" i="9"/>
  <c r="P57" i="9"/>
  <c r="P55" i="9"/>
  <c r="P50" i="9"/>
  <c r="P49" i="9"/>
  <c r="P45" i="9"/>
  <c r="P41" i="9"/>
  <c r="P80" i="9"/>
  <c r="P76" i="9"/>
  <c r="P69" i="9"/>
  <c r="P67" i="9"/>
  <c r="P62" i="9"/>
  <c r="P53" i="9"/>
  <c r="P51" i="9"/>
  <c r="P48" i="9"/>
  <c r="P44" i="9"/>
  <c r="P74" i="9"/>
  <c r="P38" i="9"/>
  <c r="P34" i="9"/>
  <c r="P30" i="9"/>
  <c r="P26" i="9"/>
  <c r="P40" i="9"/>
  <c r="P70" i="9"/>
  <c r="P58" i="9"/>
  <c r="P47" i="9"/>
  <c r="P46" i="9"/>
  <c r="P37" i="9"/>
  <c r="P33" i="9"/>
  <c r="P29" i="9"/>
  <c r="P25" i="9"/>
  <c r="P78" i="9"/>
  <c r="P77" i="9"/>
  <c r="P63" i="9"/>
  <c r="P36" i="9"/>
  <c r="P32" i="9"/>
  <c r="P28" i="9"/>
  <c r="P59" i="9"/>
  <c r="P43" i="9"/>
  <c r="P39" i="9"/>
  <c r="P24" i="9"/>
  <c r="P23" i="9"/>
  <c r="P61" i="9"/>
  <c r="P21" i="9"/>
  <c r="P54" i="9"/>
  <c r="P31" i="9"/>
  <c r="P27" i="9"/>
  <c r="P65" i="9"/>
  <c r="P42" i="9"/>
  <c r="P35" i="9"/>
  <c r="P22" i="9"/>
  <c r="Q80" i="9"/>
  <c r="N81" i="9"/>
  <c r="D26" i="8" l="1"/>
  <c r="E26" i="8" s="1"/>
  <c r="F26" i="8" s="1"/>
  <c r="G26" i="8" s="1"/>
  <c r="H26" i="8" s="1"/>
  <c r="D27" i="8"/>
  <c r="E27" i="8" s="1"/>
  <c r="F27" i="8" s="1"/>
  <c r="G27" i="8" s="1"/>
  <c r="H27" i="8" s="1"/>
  <c r="I27" i="8" s="1"/>
  <c r="D28" i="8"/>
  <c r="E28" i="8" s="1"/>
  <c r="F28" i="8" s="1"/>
  <c r="G28" i="8" s="1"/>
  <c r="H28" i="8" s="1"/>
  <c r="I28" i="8" s="1"/>
  <c r="E25" i="8"/>
  <c r="F25" i="8" s="1"/>
  <c r="G25" i="8" s="1"/>
  <c r="H25" i="8" s="1"/>
  <c r="I25" i="8" s="1"/>
  <c r="M29" i="8"/>
  <c r="M30" i="8" s="1"/>
  <c r="N29" i="8"/>
  <c r="N30" i="8" s="1"/>
  <c r="O29" i="8"/>
  <c r="O30" i="8" s="1"/>
  <c r="P29" i="8"/>
  <c r="P30" i="8" s="1"/>
  <c r="Q29" i="8"/>
  <c r="Q30" i="8" s="1"/>
  <c r="L29" i="8"/>
  <c r="L30" i="8" s="1"/>
  <c r="D18" i="8"/>
  <c r="E18" i="8"/>
  <c r="F18" i="8"/>
  <c r="G18" i="8"/>
  <c r="H18" i="8"/>
  <c r="I18" i="8"/>
  <c r="J15" i="8"/>
  <c r="J16" i="8"/>
  <c r="J17" i="8"/>
  <c r="J14" i="8"/>
  <c r="I77" i="7"/>
  <c r="R32" i="8" l="1"/>
  <c r="K18" i="8"/>
  <c r="K19" i="8" s="1"/>
  <c r="C10" i="5" l="1"/>
  <c r="F74" i="7" l="1"/>
  <c r="K74" i="7"/>
  <c r="M74" i="7"/>
  <c r="D115" i="7"/>
  <c r="D88" i="7"/>
  <c r="N14" i="5"/>
  <c r="N12" i="5"/>
  <c r="K9" i="5"/>
  <c r="K7" i="5"/>
  <c r="D5" i="5"/>
  <c r="C3" i="5" s="1"/>
  <c r="D113" i="7"/>
  <c r="D111" i="7"/>
  <c r="D110" i="7"/>
  <c r="D109" i="7"/>
  <c r="D103" i="7"/>
  <c r="D100" i="7"/>
  <c r="D99" i="7"/>
  <c r="D98" i="7"/>
  <c r="D92" i="7"/>
  <c r="D91" i="7" s="1"/>
  <c r="E84" i="7"/>
  <c r="F83" i="7"/>
  <c r="F82" i="7"/>
  <c r="F81" i="7"/>
  <c r="F80" i="7"/>
  <c r="E79" i="7"/>
  <c r="F79" i="7" s="1"/>
  <c r="C74" i="7"/>
  <c r="E73" i="7"/>
  <c r="G73" i="7" s="1"/>
  <c r="D73" i="7"/>
  <c r="M73" i="7" s="1"/>
  <c r="D72" i="7"/>
  <c r="M72" i="7" s="1"/>
  <c r="D71" i="7"/>
  <c r="M71" i="7" s="1"/>
  <c r="M70" i="7"/>
  <c r="D70" i="7"/>
  <c r="E70" i="7" s="1"/>
  <c r="G70" i="7" s="1"/>
  <c r="H70" i="7" s="1"/>
  <c r="D69" i="7"/>
  <c r="M69" i="7" s="1"/>
  <c r="D68" i="7"/>
  <c r="M68" i="7" s="1"/>
  <c r="D67" i="7"/>
  <c r="M67" i="7" s="1"/>
  <c r="D66" i="7"/>
  <c r="E66" i="7" s="1"/>
  <c r="G66" i="7" s="1"/>
  <c r="H66" i="7" s="1"/>
  <c r="M65" i="7"/>
  <c r="E65" i="7"/>
  <c r="G65" i="7" s="1"/>
  <c r="D65" i="7"/>
  <c r="D64" i="7"/>
  <c r="M64" i="7" s="1"/>
  <c r="D63" i="7"/>
  <c r="M63" i="7" s="1"/>
  <c r="M62" i="7"/>
  <c r="D62" i="7"/>
  <c r="E62" i="7" s="1"/>
  <c r="G62" i="7" s="1"/>
  <c r="H62" i="7" s="1"/>
  <c r="M61" i="7"/>
  <c r="D61" i="7"/>
  <c r="E61" i="7" s="1"/>
  <c r="G61" i="7" s="1"/>
  <c r="D60" i="7"/>
  <c r="M60" i="7" s="1"/>
  <c r="D59" i="7"/>
  <c r="M59" i="7" s="1"/>
  <c r="D58" i="7"/>
  <c r="E58" i="7" s="1"/>
  <c r="G58" i="7" s="1"/>
  <c r="H58" i="7" s="1"/>
  <c r="E57" i="7"/>
  <c r="G57" i="7" s="1"/>
  <c r="D57" i="7"/>
  <c r="M57" i="7" s="1"/>
  <c r="D56" i="7"/>
  <c r="M56" i="7" s="1"/>
  <c r="D55" i="7"/>
  <c r="M55" i="7" s="1"/>
  <c r="M54" i="7"/>
  <c r="D54" i="7"/>
  <c r="E54" i="7" s="1"/>
  <c r="G54" i="7" s="1"/>
  <c r="D53" i="7"/>
  <c r="M53" i="7" s="1"/>
  <c r="D52" i="7"/>
  <c r="M52" i="7" s="1"/>
  <c r="D51" i="7"/>
  <c r="M51" i="7" s="1"/>
  <c r="D50" i="7"/>
  <c r="E50" i="7" s="1"/>
  <c r="G50" i="7" s="1"/>
  <c r="M49" i="7"/>
  <c r="E49" i="7"/>
  <c r="G49" i="7" s="1"/>
  <c r="D49" i="7"/>
  <c r="D48" i="7"/>
  <c r="M48" i="7" s="1"/>
  <c r="D47" i="7"/>
  <c r="M47" i="7" s="1"/>
  <c r="M46" i="7"/>
  <c r="D46" i="7"/>
  <c r="E46" i="7" s="1"/>
  <c r="G46" i="7" s="1"/>
  <c r="M45" i="7"/>
  <c r="D45" i="7"/>
  <c r="E45" i="7" s="1"/>
  <c r="G45" i="7" s="1"/>
  <c r="D44" i="7"/>
  <c r="M44" i="7" s="1"/>
  <c r="D43" i="7"/>
  <c r="M43" i="7" s="1"/>
  <c r="D42" i="7"/>
  <c r="E42" i="7" s="1"/>
  <c r="G42" i="7" s="1"/>
  <c r="E41" i="7"/>
  <c r="G41" i="7" s="1"/>
  <c r="D41" i="7"/>
  <c r="M41" i="7" s="1"/>
  <c r="D40" i="7"/>
  <c r="M40" i="7" s="1"/>
  <c r="D39" i="7"/>
  <c r="M39" i="7" s="1"/>
  <c r="M38" i="7"/>
  <c r="D38" i="7"/>
  <c r="E38" i="7" s="1"/>
  <c r="G38" i="7" s="1"/>
  <c r="D37" i="7"/>
  <c r="M37" i="7" s="1"/>
  <c r="D36" i="7"/>
  <c r="M36" i="7" s="1"/>
  <c r="D35" i="7"/>
  <c r="M35" i="7" s="1"/>
  <c r="D34" i="7"/>
  <c r="E34" i="7" s="1"/>
  <c r="G34" i="7" s="1"/>
  <c r="M33" i="7"/>
  <c r="G33" i="7"/>
  <c r="D33" i="7"/>
  <c r="E33" i="7" s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E13" i="7" s="1"/>
  <c r="G13" i="7" s="1"/>
  <c r="D12" i="7"/>
  <c r="M12" i="7" s="1"/>
  <c r="D11" i="7"/>
  <c r="E11" i="7" s="1"/>
  <c r="G11" i="7" s="1"/>
  <c r="D10" i="7"/>
  <c r="E10" i="7" s="1"/>
  <c r="G10" i="7" s="1"/>
  <c r="D9" i="7"/>
  <c r="M9" i="7" s="1"/>
  <c r="D8" i="7"/>
  <c r="E8" i="7" s="1"/>
  <c r="G8" i="7" s="1"/>
  <c r="D7" i="7"/>
  <c r="E7" i="7" s="1"/>
  <c r="G7" i="7" s="1"/>
  <c r="D6" i="7"/>
  <c r="M6" i="7" s="1"/>
  <c r="D5" i="7"/>
  <c r="M5" i="7" s="1"/>
  <c r="D4" i="7"/>
  <c r="M4" i="7" s="1"/>
  <c r="D3" i="7"/>
  <c r="M3" i="7" s="1"/>
  <c r="D2" i="7"/>
  <c r="M34" i="7" l="1"/>
  <c r="E37" i="7"/>
  <c r="G37" i="7" s="1"/>
  <c r="M50" i="7"/>
  <c r="E53" i="7"/>
  <c r="G53" i="7" s="1"/>
  <c r="H53" i="7" s="1"/>
  <c r="M66" i="7"/>
  <c r="E69" i="7"/>
  <c r="G69" i="7" s="1"/>
  <c r="D74" i="7"/>
  <c r="M42" i="7"/>
  <c r="M58" i="7"/>
  <c r="M2" i="7"/>
  <c r="E36" i="7"/>
  <c r="G36" i="7" s="1"/>
  <c r="E40" i="7"/>
  <c r="G40" i="7" s="1"/>
  <c r="E44" i="7"/>
  <c r="G44" i="7" s="1"/>
  <c r="E48" i="7"/>
  <c r="G48" i="7" s="1"/>
  <c r="E52" i="7"/>
  <c r="G52" i="7" s="1"/>
  <c r="E56" i="7"/>
  <c r="G56" i="7" s="1"/>
  <c r="H56" i="7" s="1"/>
  <c r="E60" i="7"/>
  <c r="G60" i="7" s="1"/>
  <c r="H60" i="7" s="1"/>
  <c r="E64" i="7"/>
  <c r="G64" i="7" s="1"/>
  <c r="H64" i="7" s="1"/>
  <c r="E68" i="7"/>
  <c r="G68" i="7" s="1"/>
  <c r="H68" i="7" s="1"/>
  <c r="E72" i="7"/>
  <c r="G72" i="7" s="1"/>
  <c r="H72" i="7" s="1"/>
  <c r="E35" i="7"/>
  <c r="G35" i="7" s="1"/>
  <c r="E39" i="7"/>
  <c r="G39" i="7" s="1"/>
  <c r="E43" i="7"/>
  <c r="G43" i="7" s="1"/>
  <c r="E47" i="7"/>
  <c r="G47" i="7" s="1"/>
  <c r="H47" i="7" s="1"/>
  <c r="E51" i="7"/>
  <c r="G51" i="7" s="1"/>
  <c r="E55" i="7"/>
  <c r="G55" i="7" s="1"/>
  <c r="E59" i="7"/>
  <c r="G59" i="7" s="1"/>
  <c r="E63" i="7"/>
  <c r="G63" i="7" s="1"/>
  <c r="H63" i="7" s="1"/>
  <c r="E67" i="7"/>
  <c r="G67" i="7" s="1"/>
  <c r="E71" i="7"/>
  <c r="G71" i="7" s="1"/>
  <c r="F84" i="7"/>
  <c r="D97" i="7"/>
  <c r="D108" i="7"/>
  <c r="K11" i="5"/>
  <c r="J6" i="5" s="1"/>
  <c r="H11" i="7"/>
  <c r="H8" i="7"/>
  <c r="H13" i="7"/>
  <c r="H7" i="7"/>
  <c r="H10" i="7"/>
  <c r="E2" i="7"/>
  <c r="E3" i="7"/>
  <c r="G3" i="7" s="1"/>
  <c r="E4" i="7"/>
  <c r="G4" i="7" s="1"/>
  <c r="E5" i="7"/>
  <c r="G5" i="7" s="1"/>
  <c r="E6" i="7"/>
  <c r="G6" i="7" s="1"/>
  <c r="E9" i="7"/>
  <c r="G9" i="7" s="1"/>
  <c r="E12" i="7"/>
  <c r="G12" i="7" s="1"/>
  <c r="E14" i="7"/>
  <c r="G14" i="7" s="1"/>
  <c r="M14" i="7"/>
  <c r="E15" i="7"/>
  <c r="G15" i="7" s="1"/>
  <c r="M15" i="7"/>
  <c r="E16" i="7"/>
  <c r="G16" i="7" s="1"/>
  <c r="M16" i="7"/>
  <c r="E17" i="7"/>
  <c r="G17" i="7" s="1"/>
  <c r="M17" i="7"/>
  <c r="E18" i="7"/>
  <c r="G18" i="7" s="1"/>
  <c r="M18" i="7"/>
  <c r="E19" i="7"/>
  <c r="G19" i="7" s="1"/>
  <c r="M19" i="7"/>
  <c r="E20" i="7"/>
  <c r="G20" i="7" s="1"/>
  <c r="M20" i="7"/>
  <c r="E21" i="7"/>
  <c r="G21" i="7" s="1"/>
  <c r="M21" i="7"/>
  <c r="E22" i="7"/>
  <c r="G22" i="7" s="1"/>
  <c r="M22" i="7"/>
  <c r="E23" i="7"/>
  <c r="G23" i="7" s="1"/>
  <c r="M23" i="7"/>
  <c r="E24" i="7"/>
  <c r="G24" i="7" s="1"/>
  <c r="M24" i="7"/>
  <c r="E25" i="7"/>
  <c r="G25" i="7" s="1"/>
  <c r="M25" i="7"/>
  <c r="E26" i="7"/>
  <c r="G26" i="7" s="1"/>
  <c r="M26" i="7"/>
  <c r="E27" i="7"/>
  <c r="G27" i="7" s="1"/>
  <c r="M27" i="7"/>
  <c r="E28" i="7"/>
  <c r="G28" i="7" s="1"/>
  <c r="M28" i="7"/>
  <c r="E29" i="7"/>
  <c r="G29" i="7" s="1"/>
  <c r="M29" i="7"/>
  <c r="E30" i="7"/>
  <c r="G30" i="7" s="1"/>
  <c r="M30" i="7"/>
  <c r="E31" i="7"/>
  <c r="G31" i="7" s="1"/>
  <c r="M31" i="7"/>
  <c r="E32" i="7"/>
  <c r="G32" i="7" s="1"/>
  <c r="M32" i="7"/>
  <c r="M7" i="7"/>
  <c r="M8" i="7"/>
  <c r="M10" i="7"/>
  <c r="M11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8" i="7"/>
  <c r="H49" i="7"/>
  <c r="H50" i="7"/>
  <c r="H51" i="7"/>
  <c r="H52" i="7"/>
  <c r="H54" i="7"/>
  <c r="H55" i="7"/>
  <c r="D86" i="7"/>
  <c r="D117" i="7" s="1"/>
  <c r="M13" i="7"/>
  <c r="H57" i="7"/>
  <c r="H59" i="7"/>
  <c r="H61" i="7"/>
  <c r="H65" i="7"/>
  <c r="H67" i="7"/>
  <c r="H69" i="7"/>
  <c r="H71" i="7"/>
  <c r="H73" i="7"/>
  <c r="I3" i="5" l="1"/>
  <c r="N6" i="5"/>
  <c r="H31" i="7"/>
  <c r="H29" i="7"/>
  <c r="H27" i="7"/>
  <c r="H25" i="7"/>
  <c r="H23" i="7"/>
  <c r="H21" i="7"/>
  <c r="H19" i="7"/>
  <c r="H17" i="7"/>
  <c r="H15" i="7"/>
  <c r="H9" i="7"/>
  <c r="H3" i="7"/>
  <c r="I72" i="7"/>
  <c r="J72" i="7" s="1"/>
  <c r="K72" i="7" s="1"/>
  <c r="I70" i="7"/>
  <c r="J70" i="7" s="1"/>
  <c r="K70" i="7" s="1"/>
  <c r="I68" i="7"/>
  <c r="J68" i="7" s="1"/>
  <c r="K68" i="7" s="1"/>
  <c r="I66" i="7"/>
  <c r="J66" i="7" s="1"/>
  <c r="K66" i="7" s="1"/>
  <c r="I64" i="7"/>
  <c r="J64" i="7" s="1"/>
  <c r="K64" i="7" s="1"/>
  <c r="I62" i="7"/>
  <c r="J62" i="7" s="1"/>
  <c r="K62" i="7" s="1"/>
  <c r="I60" i="7"/>
  <c r="J60" i="7" s="1"/>
  <c r="K60" i="7" s="1"/>
  <c r="I58" i="7"/>
  <c r="J58" i="7" s="1"/>
  <c r="K58" i="7" s="1"/>
  <c r="I73" i="7"/>
  <c r="J73" i="7" s="1"/>
  <c r="K73" i="7" s="1"/>
  <c r="I71" i="7"/>
  <c r="J71" i="7" s="1"/>
  <c r="K71" i="7" s="1"/>
  <c r="I69" i="7"/>
  <c r="J69" i="7" s="1"/>
  <c r="K69" i="7" s="1"/>
  <c r="I67" i="7"/>
  <c r="J67" i="7" s="1"/>
  <c r="K67" i="7" s="1"/>
  <c r="I65" i="7"/>
  <c r="J65" i="7" s="1"/>
  <c r="K65" i="7" s="1"/>
  <c r="I63" i="7"/>
  <c r="J63" i="7" s="1"/>
  <c r="K63" i="7" s="1"/>
  <c r="I61" i="7"/>
  <c r="J61" i="7" s="1"/>
  <c r="K61" i="7" s="1"/>
  <c r="I59" i="7"/>
  <c r="J59" i="7" s="1"/>
  <c r="K59" i="7" s="1"/>
  <c r="I57" i="7"/>
  <c r="J57" i="7" s="1"/>
  <c r="K57" i="7" s="1"/>
  <c r="I56" i="7"/>
  <c r="J56" i="7" s="1"/>
  <c r="K56" i="7" s="1"/>
  <c r="I55" i="7"/>
  <c r="J55" i="7" s="1"/>
  <c r="K55" i="7" s="1"/>
  <c r="I54" i="7"/>
  <c r="J54" i="7" s="1"/>
  <c r="K54" i="7" s="1"/>
  <c r="I53" i="7"/>
  <c r="J53" i="7" s="1"/>
  <c r="K53" i="7" s="1"/>
  <c r="I52" i="7"/>
  <c r="J52" i="7" s="1"/>
  <c r="K52" i="7" s="1"/>
  <c r="I51" i="7"/>
  <c r="J51" i="7" s="1"/>
  <c r="K51" i="7" s="1"/>
  <c r="I50" i="7"/>
  <c r="J50" i="7" s="1"/>
  <c r="K50" i="7" s="1"/>
  <c r="I49" i="7"/>
  <c r="J49" i="7" s="1"/>
  <c r="K49" i="7" s="1"/>
  <c r="I48" i="7"/>
  <c r="J48" i="7" s="1"/>
  <c r="K48" i="7" s="1"/>
  <c r="I47" i="7"/>
  <c r="J47" i="7" s="1"/>
  <c r="K47" i="7" s="1"/>
  <c r="I46" i="7"/>
  <c r="J46" i="7" s="1"/>
  <c r="K46" i="7" s="1"/>
  <c r="I45" i="7"/>
  <c r="J45" i="7" s="1"/>
  <c r="K45" i="7" s="1"/>
  <c r="I44" i="7"/>
  <c r="J44" i="7" s="1"/>
  <c r="K44" i="7" s="1"/>
  <c r="I43" i="7"/>
  <c r="J43" i="7" s="1"/>
  <c r="K43" i="7" s="1"/>
  <c r="I42" i="7"/>
  <c r="J42" i="7" s="1"/>
  <c r="K42" i="7" s="1"/>
  <c r="I41" i="7"/>
  <c r="J41" i="7" s="1"/>
  <c r="K41" i="7" s="1"/>
  <c r="I40" i="7"/>
  <c r="J40" i="7" s="1"/>
  <c r="K40" i="7" s="1"/>
  <c r="I39" i="7"/>
  <c r="J39" i="7" s="1"/>
  <c r="K39" i="7" s="1"/>
  <c r="I38" i="7"/>
  <c r="J38" i="7" s="1"/>
  <c r="K38" i="7" s="1"/>
  <c r="I37" i="7"/>
  <c r="J37" i="7" s="1"/>
  <c r="K37" i="7" s="1"/>
  <c r="I36" i="7"/>
  <c r="J36" i="7" s="1"/>
  <c r="K36" i="7" s="1"/>
  <c r="I35" i="7"/>
  <c r="J35" i="7" s="1"/>
  <c r="K35" i="7" s="1"/>
  <c r="I34" i="7"/>
  <c r="J34" i="7" s="1"/>
  <c r="K34" i="7" s="1"/>
  <c r="I33" i="7"/>
  <c r="J33" i="7" s="1"/>
  <c r="K33" i="7" s="1"/>
  <c r="I32" i="7"/>
  <c r="J32" i="7" s="1"/>
  <c r="K32" i="7" s="1"/>
  <c r="I31" i="7"/>
  <c r="J31" i="7" s="1"/>
  <c r="K31" i="7" s="1"/>
  <c r="I30" i="7"/>
  <c r="I29" i="7"/>
  <c r="J29" i="7" s="1"/>
  <c r="K29" i="7" s="1"/>
  <c r="I28" i="7"/>
  <c r="J28" i="7" s="1"/>
  <c r="K28" i="7" s="1"/>
  <c r="I27" i="7"/>
  <c r="J27" i="7" s="1"/>
  <c r="K27" i="7" s="1"/>
  <c r="I26" i="7"/>
  <c r="I25" i="7"/>
  <c r="J25" i="7" s="1"/>
  <c r="K25" i="7" s="1"/>
  <c r="I24" i="7"/>
  <c r="J24" i="7" s="1"/>
  <c r="K24" i="7" s="1"/>
  <c r="I23" i="7"/>
  <c r="J23" i="7" s="1"/>
  <c r="K23" i="7" s="1"/>
  <c r="I22" i="7"/>
  <c r="I21" i="7"/>
  <c r="J21" i="7" s="1"/>
  <c r="K21" i="7" s="1"/>
  <c r="I20" i="7"/>
  <c r="J20" i="7" s="1"/>
  <c r="K20" i="7" s="1"/>
  <c r="I19" i="7"/>
  <c r="J19" i="7" s="1"/>
  <c r="K19" i="7" s="1"/>
  <c r="I18" i="7"/>
  <c r="I17" i="7"/>
  <c r="J17" i="7" s="1"/>
  <c r="K17" i="7" s="1"/>
  <c r="I16" i="7"/>
  <c r="J16" i="7" s="1"/>
  <c r="K16" i="7" s="1"/>
  <c r="I15" i="7"/>
  <c r="J15" i="7" s="1"/>
  <c r="K15" i="7" s="1"/>
  <c r="I14" i="7"/>
  <c r="I12" i="7"/>
  <c r="I11" i="7"/>
  <c r="J11" i="7" s="1"/>
  <c r="K11" i="7" s="1"/>
  <c r="I10" i="7"/>
  <c r="J10" i="7" s="1"/>
  <c r="K10" i="7" s="1"/>
  <c r="I7" i="7"/>
  <c r="J7" i="7" s="1"/>
  <c r="K7" i="7" s="1"/>
  <c r="I6" i="7"/>
  <c r="I2" i="7"/>
  <c r="I5" i="7"/>
  <c r="J5" i="7" s="1"/>
  <c r="K5" i="7" s="1"/>
  <c r="I3" i="7"/>
  <c r="J3" i="7" s="1"/>
  <c r="K3" i="7" s="1"/>
  <c r="I13" i="7"/>
  <c r="J13" i="7" s="1"/>
  <c r="K13" i="7" s="1"/>
  <c r="I9" i="7"/>
  <c r="J9" i="7" s="1"/>
  <c r="K9" i="7" s="1"/>
  <c r="I8" i="7"/>
  <c r="J8" i="7" s="1"/>
  <c r="K8" i="7" s="1"/>
  <c r="I4" i="7"/>
  <c r="J4" i="7" s="1"/>
  <c r="K4" i="7" s="1"/>
  <c r="H6" i="7"/>
  <c r="J6" i="7"/>
  <c r="K6" i="7" s="1"/>
  <c r="G2" i="7"/>
  <c r="H32" i="7"/>
  <c r="J30" i="7"/>
  <c r="K30" i="7" s="1"/>
  <c r="H30" i="7"/>
  <c r="H28" i="7"/>
  <c r="J26" i="7"/>
  <c r="K26" i="7" s="1"/>
  <c r="H26" i="7"/>
  <c r="H24" i="7"/>
  <c r="J22" i="7"/>
  <c r="K22" i="7" s="1"/>
  <c r="H22" i="7"/>
  <c r="H20" i="7"/>
  <c r="J18" i="7"/>
  <c r="K18" i="7" s="1"/>
  <c r="H18" i="7"/>
  <c r="H16" i="7"/>
  <c r="J14" i="7"/>
  <c r="K14" i="7" s="1"/>
  <c r="H14" i="7"/>
  <c r="H5" i="7"/>
  <c r="J12" i="7"/>
  <c r="K12" i="7" s="1"/>
  <c r="H12" i="7"/>
  <c r="H4" i="7"/>
  <c r="I74" i="7" l="1"/>
  <c r="G74" i="7"/>
  <c r="H74" i="7" s="1"/>
  <c r="J2" i="7"/>
  <c r="J74" i="7" s="1"/>
  <c r="J81" i="7" s="1"/>
  <c r="L81" i="7" s="1"/>
  <c r="H2" i="7"/>
  <c r="K2" i="7" l="1"/>
  <c r="BA14" i="6" l="1"/>
  <c r="AZ14" i="6"/>
  <c r="AY14" i="6"/>
  <c r="AX14" i="6"/>
  <c r="AT12" i="6"/>
  <c r="AU12" i="6"/>
  <c r="AU13" i="6" s="1"/>
  <c r="AV12" i="6"/>
  <c r="AW12" i="6"/>
  <c r="AX12" i="6"/>
  <c r="AZ12" i="6"/>
  <c r="BA12" i="6"/>
  <c r="AZ5" i="6"/>
  <c r="BA5" i="6" s="1"/>
  <c r="BB5" i="6" s="1"/>
  <c r="AY7" i="6"/>
  <c r="AY12" i="6" s="1"/>
  <c r="AM5" i="6"/>
  <c r="AL5" i="6"/>
  <c r="AO10" i="6"/>
  <c r="AO11" i="6"/>
  <c r="AO12" i="6"/>
  <c r="AO9" i="6"/>
  <c r="AO8" i="6"/>
  <c r="AO7" i="6"/>
  <c r="AO6" i="6"/>
  <c r="AO5" i="6"/>
  <c r="Z6" i="6"/>
  <c r="Z7" i="6" s="1"/>
  <c r="Y6" i="6"/>
  <c r="Y7" i="6" s="1"/>
  <c r="X6" i="6"/>
  <c r="X7" i="6" s="1"/>
  <c r="W6" i="6"/>
  <c r="W5" i="6" s="1"/>
  <c r="V6" i="6"/>
  <c r="V7" i="6" s="1"/>
  <c r="U6" i="6"/>
  <c r="U7" i="6" s="1"/>
  <c r="AA4" i="6"/>
  <c r="R4" i="6"/>
  <c r="M6" i="6"/>
  <c r="M5" i="6" s="1"/>
  <c r="N6" i="6"/>
  <c r="N5" i="6" s="1"/>
  <c r="O6" i="6"/>
  <c r="O5" i="6" s="1"/>
  <c r="P6" i="6"/>
  <c r="P5" i="6" s="1"/>
  <c r="Q6" i="6"/>
  <c r="Q5" i="6" s="1"/>
  <c r="L6" i="6"/>
  <c r="L5" i="6" s="1"/>
  <c r="AF9" i="2"/>
  <c r="AG9" i="2"/>
  <c r="AG8" i="2"/>
  <c r="AF8" i="2"/>
  <c r="AG7" i="2"/>
  <c r="AF7" i="2"/>
  <c r="J7" i="2"/>
  <c r="C3" i="2" s="1"/>
  <c r="T8" i="2"/>
  <c r="T9" i="2"/>
  <c r="T10" i="2"/>
  <c r="T11" i="2"/>
  <c r="T12" i="2"/>
  <c r="T13" i="2"/>
  <c r="K7" i="2" s="1"/>
  <c r="T14" i="2"/>
  <c r="T7" i="2"/>
  <c r="AF14" i="2" l="1"/>
  <c r="AN13" i="6"/>
  <c r="X5" i="6"/>
  <c r="AV13" i="6"/>
  <c r="AW13" i="6" s="1"/>
  <c r="AX13" i="6" s="1"/>
  <c r="AY13" i="6" s="1"/>
  <c r="AZ13" i="6" s="1"/>
  <c r="BA13" i="6" s="1"/>
  <c r="AN10" i="6"/>
  <c r="AN12" i="6"/>
  <c r="AN11" i="6"/>
  <c r="AN7" i="6"/>
  <c r="AN8" i="6" s="1"/>
  <c r="AN9" i="6" s="1"/>
  <c r="AK5" i="6"/>
  <c r="AL6" i="6" s="1"/>
  <c r="V5" i="6"/>
  <c r="U5" i="6"/>
  <c r="Z5" i="6"/>
  <c r="Y5" i="6"/>
  <c r="W7" i="6"/>
  <c r="AA6" i="6"/>
  <c r="AA7" i="6" s="1"/>
  <c r="P7" i="6"/>
  <c r="M7" i="6"/>
  <c r="Q7" i="6"/>
  <c r="L7" i="6"/>
  <c r="O7" i="6"/>
  <c r="N7" i="6"/>
  <c r="R5" i="6"/>
  <c r="R6" i="6"/>
  <c r="R7" i="6" s="1"/>
  <c r="C4" i="2" l="1"/>
  <c r="D3" i="2" s="1"/>
  <c r="AA5" i="6"/>
  <c r="AM6" i="6" l="1"/>
  <c r="AK6" i="6" s="1"/>
  <c r="AJ6" i="6" s="1"/>
  <c r="AJ5" i="6"/>
  <c r="AL7" i="6" l="1"/>
  <c r="BB7" i="6"/>
  <c r="AM7" i="6"/>
  <c r="AI7" i="6"/>
  <c r="BC6" i="6" l="1"/>
  <c r="BC5" i="6" s="1"/>
  <c r="BB12" i="6"/>
  <c r="AK7" i="6"/>
  <c r="AF6" i="6"/>
  <c r="AH7" i="6" s="1"/>
  <c r="AJ7" i="6" l="1"/>
  <c r="AI8" i="6" s="1"/>
  <c r="AX15" i="6"/>
  <c r="BB14" i="6" s="1"/>
  <c r="BB13" i="6" s="1"/>
  <c r="BC7" i="6"/>
  <c r="AL8" i="6"/>
  <c r="AM8" i="6"/>
  <c r="AG7" i="6"/>
  <c r="BD6" i="6" l="1"/>
  <c r="BD5" i="6" s="1"/>
  <c r="BC12" i="6"/>
  <c r="AK8" i="6"/>
  <c r="AJ8" i="6" s="1"/>
  <c r="AF7" i="6"/>
  <c r="BD7" i="6" l="1"/>
  <c r="AL9" i="6"/>
  <c r="AM9" i="6"/>
  <c r="AH8" i="6"/>
  <c r="AY15" i="6"/>
  <c r="BC14" i="6" s="1"/>
  <c r="BC13" i="6" s="1"/>
  <c r="AI9" i="6"/>
  <c r="AK9" i="6"/>
  <c r="AG8" i="6"/>
  <c r="AJ9" i="6" l="1"/>
  <c r="AI10" i="6" s="1"/>
  <c r="BE6" i="6"/>
  <c r="BE5" i="6" s="1"/>
  <c r="BD12" i="6"/>
  <c r="AF8" i="6"/>
  <c r="AM10" i="6"/>
  <c r="AL10" i="6"/>
  <c r="BE7" i="6"/>
  <c r="AK10" i="6" l="1"/>
  <c r="AG9" i="6"/>
  <c r="AZ15" i="6"/>
  <c r="BD14" i="6" s="1"/>
  <c r="BD13" i="6" s="1"/>
  <c r="AH9" i="6"/>
  <c r="BF6" i="6"/>
  <c r="BF5" i="6" s="1"/>
  <c r="BE12" i="6"/>
  <c r="AL11" i="6"/>
  <c r="AM11" i="6"/>
  <c r="AJ10" i="6" l="1"/>
  <c r="AI11" i="6" s="1"/>
  <c r="AF9" i="6"/>
  <c r="BA15" i="6" s="1"/>
  <c r="BE14" i="6" s="1"/>
  <c r="BE13" i="6" s="1"/>
  <c r="BF7" i="6"/>
  <c r="BG6" i="6" s="1"/>
  <c r="BG5" i="6" s="1"/>
  <c r="AK11" i="6"/>
  <c r="BF12" i="6" l="1"/>
  <c r="AJ11" i="6"/>
  <c r="BG7" i="6"/>
  <c r="AH10" i="6"/>
  <c r="AG10" i="6"/>
  <c r="AL12" i="6"/>
  <c r="AM12" i="6"/>
  <c r="AF10" i="6" l="1"/>
  <c r="BB15" i="6"/>
  <c r="BF14" i="6" s="1"/>
  <c r="BF13" i="6" s="1"/>
  <c r="AG11" i="6"/>
  <c r="AH11" i="6"/>
  <c r="BH6" i="6"/>
  <c r="BG12" i="6"/>
  <c r="AI12" i="6"/>
  <c r="AK12" i="6"/>
  <c r="AJ12" i="6" l="1"/>
  <c r="BH7" i="6"/>
  <c r="BH5" i="6"/>
  <c r="AO13" i="6" s="1"/>
  <c r="AO14" i="6"/>
  <c r="AF11" i="6"/>
  <c r="BC15" i="6" s="1"/>
  <c r="BG14" i="6" s="1"/>
  <c r="BG13" i="6" s="1"/>
  <c r="AL13" i="6"/>
  <c r="AM13" i="6"/>
  <c r="AO15" i="6"/>
  <c r="AN19" i="6" s="1"/>
  <c r="AN15" i="6" l="1"/>
  <c r="AN14" i="6"/>
  <c r="AH12" i="6"/>
  <c r="AG12" i="6"/>
  <c r="AI13" i="6"/>
  <c r="AK13" i="6"/>
  <c r="AJ13" i="6" s="1"/>
  <c r="AN17" i="6"/>
  <c r="AN18" i="6"/>
  <c r="AN16" i="6"/>
  <c r="BI6" i="6"/>
  <c r="BI5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H12" i="6"/>
  <c r="AO19" i="6" s="1"/>
  <c r="AN20" i="6" s="1"/>
  <c r="AF12" i="6" l="1"/>
  <c r="BD15" i="6" s="1"/>
  <c r="BH14" i="6" s="1"/>
  <c r="AH13" i="6"/>
  <c r="AL14" i="6"/>
  <c r="AM14" i="6"/>
  <c r="AK14" i="6" l="1"/>
  <c r="AJ14" i="6" s="1"/>
  <c r="AG13" i="6"/>
  <c r="BH13" i="6"/>
  <c r="AO20" i="6" s="1"/>
  <c r="AO21" i="6"/>
  <c r="AI14" i="6"/>
  <c r="AF13" i="6" l="1"/>
  <c r="AH14" i="6" s="1"/>
  <c r="AN25" i="6"/>
  <c r="AN23" i="6"/>
  <c r="AN24" i="6"/>
  <c r="AN22" i="6"/>
  <c r="AN21" i="6"/>
  <c r="AL15" i="6"/>
  <c r="AM15" i="6"/>
  <c r="AG14" i="6"/>
  <c r="AK15" i="6" l="1"/>
  <c r="AJ15" i="6" s="1"/>
  <c r="AI15" i="6"/>
  <c r="AF14" i="6" s="1"/>
  <c r="AG15" i="6" l="1"/>
  <c r="AH15" i="6"/>
  <c r="AL16" i="6"/>
  <c r="AM16" i="6"/>
  <c r="AK16" i="6" l="1"/>
  <c r="AJ16" i="6" s="1"/>
  <c r="AI16" i="6"/>
  <c r="AF15" i="6" s="1"/>
  <c r="AM17" i="6" l="1"/>
  <c r="AL17" i="6"/>
  <c r="AK17" i="6"/>
  <c r="AJ17" i="6" s="1"/>
  <c r="AI18" i="6" s="1"/>
  <c r="AM18" i="6"/>
  <c r="AH16" i="6"/>
  <c r="AG16" i="6"/>
  <c r="AI17" i="6"/>
  <c r="AF16" i="6" l="1"/>
  <c r="AL18" i="6"/>
  <c r="AK18" i="6"/>
  <c r="AJ18" i="6" s="1"/>
  <c r="AG17" i="6"/>
  <c r="AH17" i="6"/>
  <c r="AF17" i="6" l="1"/>
  <c r="AH18" i="6" s="1"/>
  <c r="AM19" i="6"/>
  <c r="AL19" i="6"/>
  <c r="AG18" i="6" l="1"/>
  <c r="AI19" i="6"/>
  <c r="AF18" i="6" s="1"/>
  <c r="AK19" i="6"/>
  <c r="AJ19" i="6" s="1"/>
  <c r="AG19" i="6" l="1"/>
  <c r="AH19" i="6"/>
  <c r="AM20" i="6"/>
  <c r="AL20" i="6"/>
  <c r="AI20" i="6" l="1"/>
  <c r="AF19" i="6" s="1"/>
  <c r="AK20" i="6"/>
  <c r="AJ20" i="6" s="1"/>
  <c r="AL21" i="6" l="1"/>
  <c r="AM21" i="6"/>
  <c r="AG20" i="6"/>
  <c r="AH20" i="6"/>
  <c r="AK21" i="6" l="1"/>
  <c r="AI21" i="6"/>
  <c r="AF20" i="6" s="1"/>
  <c r="AG21" i="6" l="1"/>
  <c r="AH21" i="6"/>
  <c r="AM22" i="6"/>
  <c r="AJ21" i="6"/>
  <c r="AL22" i="6"/>
  <c r="AI22" i="6" l="1"/>
  <c r="AF21" i="6" s="1"/>
  <c r="AK22" i="6"/>
  <c r="AM23" i="6" l="1"/>
  <c r="AJ22" i="6"/>
  <c r="AL23" i="6"/>
  <c r="AG22" i="6"/>
  <c r="AH22" i="6"/>
  <c r="AK23" i="6" l="1"/>
  <c r="AM24" i="6" s="1"/>
  <c r="AI23" i="6"/>
  <c r="AF22" i="6" s="1"/>
  <c r="AJ23" i="6" l="1"/>
  <c r="AI24" i="6" s="1"/>
  <c r="AL24" i="6"/>
  <c r="AK24" i="6" s="1"/>
  <c r="AG23" i="6"/>
  <c r="AH23" i="6"/>
  <c r="AF23" i="6" l="1"/>
  <c r="AH24" i="6" s="1"/>
  <c r="AM25" i="6"/>
  <c r="AJ24" i="6"/>
  <c r="AI25" i="6" s="1"/>
  <c r="AL25" i="6"/>
  <c r="AG24" i="6" l="1"/>
  <c r="AF24" i="6" s="1"/>
  <c r="AK25" i="6"/>
  <c r="AL26" i="6" s="1"/>
  <c r="AJ25" i="6" l="1"/>
  <c r="AI26" i="6" s="1"/>
  <c r="AM26" i="6"/>
  <c r="AK26" i="6" s="1"/>
  <c r="AG25" i="6"/>
  <c r="AH25" i="6"/>
  <c r="AJ26" i="6" l="1"/>
  <c r="AI27" i="6" s="1"/>
  <c r="AL27" i="6"/>
  <c r="AM27" i="6"/>
  <c r="AF25" i="6"/>
  <c r="AK27" i="6" l="1"/>
  <c r="AJ27" i="6" s="1"/>
  <c r="AG26" i="6"/>
  <c r="AH26" i="6"/>
  <c r="AM28" i="6" l="1"/>
  <c r="AL28" i="6"/>
  <c r="AK28" i="6" s="1"/>
  <c r="AM29" i="6" s="1"/>
  <c r="AI28" i="6"/>
  <c r="AF26" i="6"/>
  <c r="AJ28" i="6" l="1"/>
  <c r="AI29" i="6" s="1"/>
  <c r="AL29" i="6"/>
  <c r="AH27" i="6"/>
  <c r="AG27" i="6"/>
  <c r="AF27" i="6" s="1"/>
  <c r="AK29" i="6"/>
  <c r="AH28" i="6" l="1"/>
  <c r="AG28" i="6"/>
  <c r="AJ29" i="6"/>
  <c r="AL30" i="6"/>
  <c r="AM30" i="6"/>
  <c r="AK30" i="6" l="1"/>
  <c r="AM31" i="6" s="1"/>
  <c r="AF28" i="6"/>
  <c r="AG29" i="6" s="1"/>
  <c r="AI30" i="6"/>
  <c r="AL31" i="6" l="1"/>
  <c r="AK31" i="6" s="1"/>
  <c r="AJ31" i="6" s="1"/>
  <c r="AI32" i="6" s="1"/>
  <c r="AJ30" i="6"/>
  <c r="AH29" i="6"/>
  <c r="AF29" i="6"/>
  <c r="AI31" i="6"/>
  <c r="AM32" i="6" l="1"/>
  <c r="AL32" i="6"/>
  <c r="AK32" i="6" s="1"/>
  <c r="AH30" i="6"/>
  <c r="AG30" i="6"/>
  <c r="AF30" i="6" s="1"/>
  <c r="AJ32" i="6" l="1"/>
  <c r="AL33" i="6"/>
  <c r="AM33" i="6"/>
  <c r="AH31" i="6"/>
  <c r="AG31" i="6"/>
  <c r="AK33" i="6" l="1"/>
  <c r="AF31" i="6"/>
  <c r="AI33" i="6"/>
  <c r="AH32" i="6" l="1"/>
  <c r="AG32" i="6"/>
  <c r="AF32" i="6" s="1"/>
  <c r="AL34" i="6"/>
  <c r="AJ33" i="6"/>
  <c r="AM34" i="6"/>
  <c r="AK34" i="6" l="1"/>
  <c r="AJ34" i="6" s="1"/>
  <c r="AI35" i="6" s="1"/>
  <c r="AH33" i="6"/>
  <c r="AG33" i="6"/>
  <c r="AI34" i="6"/>
  <c r="AM35" i="6" l="1"/>
  <c r="AL35" i="6"/>
  <c r="AK35" i="6"/>
  <c r="AJ35" i="6" s="1"/>
  <c r="AF33" i="6"/>
  <c r="AH34" i="6" s="1"/>
  <c r="AG34" i="6" l="1"/>
  <c r="AF34" i="6" s="1"/>
  <c r="AH35" i="6" s="1"/>
  <c r="AG35" i="6" l="1"/>
  <c r="AF3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tc={A06B7229-937F-4207-B849-6A75CB47E17C}</author>
  </authors>
  <commentList>
    <comment ref="AN3" authorId="0" shapeId="0" xr:uid="{A06B7229-937F-4207-B849-6A75CB47E1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media de los pedidos de las últimas 4 semanas</t>
      </text>
    </comment>
  </commentList>
</comments>
</file>

<file path=xl/sharedStrings.xml><?xml version="1.0" encoding="utf-8"?>
<sst xmlns="http://schemas.openxmlformats.org/spreadsheetml/2006/main" count="810" uniqueCount="489">
  <si>
    <t>Largo</t>
  </si>
  <si>
    <t>Ancho</t>
  </si>
  <si>
    <t>Alto</t>
  </si>
  <si>
    <t>W</t>
  </si>
  <si>
    <t>Volumen cajas</t>
  </si>
  <si>
    <t>Kilos totales</t>
  </si>
  <si>
    <t>Número de cajas</t>
  </si>
  <si>
    <t>Canal doble</t>
  </si>
  <si>
    <t>https://www.rajapack.es/cajas-carton-contenedores-cajas-postales/cajas-carton-cajas-americanas/caja-carton-canal-doble-rajabox-menos-50cm-largo_PDT01529.html</t>
  </si>
  <si>
    <t>CAD14ES</t>
  </si>
  <si>
    <t>marrón</t>
  </si>
  <si>
    <t>cúbica</t>
  </si>
  <si>
    <t>Ref.</t>
  </si>
  <si>
    <t>color</t>
  </si>
  <si>
    <t>uso</t>
  </si>
  <si>
    <t>paquete</t>
  </si>
  <si>
    <t>cantidad por palet</t>
  </si>
  <si>
    <t>CAD4535AES</t>
  </si>
  <si>
    <t>A3+</t>
  </si>
  <si>
    <t>CAD52AES</t>
  </si>
  <si>
    <t>paletizable</t>
  </si>
  <si>
    <t>CAD11ES</t>
  </si>
  <si>
    <t>-</t>
  </si>
  <si>
    <t>CAD12AES</t>
  </si>
  <si>
    <t>base cuadrada</t>
  </si>
  <si>
    <t>CAD12ES</t>
  </si>
  <si>
    <t>CAD09ES</t>
  </si>
  <si>
    <t>Volumen</t>
  </si>
  <si>
    <t>Volumen m^3</t>
  </si>
  <si>
    <t>largo m</t>
  </si>
  <si>
    <t>ancho m</t>
  </si>
  <si>
    <t>alto m</t>
  </si>
  <si>
    <t>Escogemos esta por ser la más restrictiva</t>
  </si>
  <si>
    <t>PALETS</t>
  </si>
  <si>
    <t>CAJAS</t>
  </si>
  <si>
    <t>VOLUMEN TOTAL</t>
  </si>
  <si>
    <t>Tipos de palets</t>
  </si>
  <si>
    <t>https://www.transgesa.com/blog/tipos-de-palets/</t>
  </si>
  <si>
    <t>Kilos/caja</t>
  </si>
  <si>
    <t>Americano (25 kg)</t>
  </si>
  <si>
    <t>Europeo (25 kg)</t>
  </si>
  <si>
    <t>*</t>
  </si>
  <si>
    <t>Peso máximo carga estática</t>
  </si>
  <si>
    <t>Peso máximo carga dinámica (líquidos)</t>
  </si>
  <si>
    <t>Mejor para líquidos</t>
  </si>
  <si>
    <t>Mejor para la logística</t>
  </si>
  <si>
    <t>https://www.itepal.com/medidas-de-palets-europeo-americano</t>
  </si>
  <si>
    <t>Volumen palet (sin cajas)</t>
  </si>
  <si>
    <t>Número de palets (70 cajas)</t>
  </si>
  <si>
    <r>
      <t xml:space="preserve">ESCOGEMOS </t>
    </r>
    <r>
      <rPr>
        <b/>
        <sz val="14"/>
        <rFont val="Calibri"/>
        <family val="2"/>
        <scheme val="minor"/>
      </rPr>
      <t>PALET EUROPEO</t>
    </r>
    <r>
      <rPr>
        <sz val="11"/>
        <rFont val="Calibri"/>
        <family val="2"/>
        <scheme val="minor"/>
      </rPr>
      <t xml:space="preserve"> AL SER CARGA FIJA Y MEJOR PARA LA LOGÍSTICA</t>
    </r>
  </si>
  <si>
    <r>
      <t xml:space="preserve">TENEMOS EN CUENTA QUE SON </t>
    </r>
    <r>
      <rPr>
        <b/>
        <sz val="14"/>
        <rFont val="Calibri"/>
        <family val="2"/>
        <scheme val="minor"/>
      </rPr>
      <t>70 CAJAS</t>
    </r>
    <r>
      <rPr>
        <sz val="11"/>
        <rFont val="Calibri"/>
        <family val="2"/>
        <scheme val="minor"/>
      </rPr>
      <t>, YA QUE EL FABRICANTE DE CAJAS NOS LO RECOMIENDA, CUMPLIENDO ADEMÁS CON EL LÍMITE DE CARGA</t>
    </r>
  </si>
  <si>
    <t>Volumen total de palets (m^3)</t>
  </si>
  <si>
    <t>Análisis palets (54 )</t>
  </si>
  <si>
    <t>Análisis cajas (3000)</t>
  </si>
  <si>
    <t>cajas de 12 kg</t>
  </si>
  <si>
    <t>palets europeos</t>
  </si>
  <si>
    <t>70 cajas por palet</t>
  </si>
  <si>
    <t>Consideraciones</t>
  </si>
  <si>
    <t>Volumen máximo (m^3)</t>
  </si>
  <si>
    <t>Análisis estantes</t>
  </si>
  <si>
    <r>
      <rPr>
        <sz val="10"/>
        <color rgb="FF494949"/>
        <rFont val="Verdana"/>
        <family val="2"/>
      </rPr>
      <t>Actualmente, </t>
    </r>
    <r>
      <rPr>
        <b/>
        <sz val="10"/>
        <color rgb="FF494949"/>
        <rFont val="Verdana"/>
        <family val="2"/>
      </rPr>
      <t>las medidas del palet europeo sigue siendo un aspecto muy favorable para su uso</t>
    </r>
    <r>
      <rPr>
        <sz val="10"/>
        <color rgb="FF494949"/>
        <rFont val="Verdana"/>
        <family val="2"/>
      </rPr>
      <t>. Las cajas de los remolques de los camiones tienen un ancho de 2400 mm, es decir, una medida múltiplo de las medidas del palet. Permite así colocar 2 o 3 palets según si se colocan en una dirección o en otra, aprovechando al máximo la capacidad de los camiones</t>
    </r>
  </si>
  <si>
    <t>Número de cajas según peso estático (12 kg)</t>
  </si>
  <si>
    <t>Número de cajas según peso dinámico (12 kg)</t>
  </si>
  <si>
    <t>Almacén</t>
  </si>
  <si>
    <t>Tienda Dar es-Salam</t>
  </si>
  <si>
    <t>Tienda Dodoma</t>
  </si>
  <si>
    <t>Tienda Mombasa</t>
  </si>
  <si>
    <t>Tienda Nairobi</t>
  </si>
  <si>
    <t>Tienda Zanzíbar</t>
  </si>
  <si>
    <t>Número de pallets (70 cajas)</t>
  </si>
  <si>
    <t>ENVÍO INICIAL</t>
  </si>
  <si>
    <t>Número de cajas (12 kg)</t>
  </si>
  <si>
    <t>TOTAL</t>
  </si>
  <si>
    <t>12 KG/CAJA</t>
  </si>
  <si>
    <t>Oferta de cajas</t>
  </si>
  <si>
    <t>Suponiendo todas las tiendas del mismo tamaño</t>
  </si>
  <si>
    <t>Suponiendo todas las cajas del mismo peso y tamaño</t>
  </si>
  <si>
    <t>Suponiendo que caben 70 cajas por pallet</t>
  </si>
  <si>
    <t>Número de cajas por producto</t>
  </si>
  <si>
    <t>Consumo de cajas semanal por producto</t>
  </si>
  <si>
    <t>ENVÍOS</t>
  </si>
  <si>
    <t>LINKS</t>
  </si>
  <si>
    <t>Envíos y almacenaje'!K3</t>
  </si>
  <si>
    <t>Envíos y almacenaje'!T3</t>
  </si>
  <si>
    <t>Suponiendo 100 productos</t>
  </si>
  <si>
    <t>ALMACÉN</t>
  </si>
  <si>
    <t>ENVÍO SEMANAL APROXIMADO</t>
  </si>
  <si>
    <t>PEDIDOS COMPRA</t>
  </si>
  <si>
    <t>PEDIDOS TIENDA</t>
  </si>
  <si>
    <t>VENTA TIENDA</t>
  </si>
  <si>
    <t>SEMANA 1</t>
  </si>
  <si>
    <t>TIENDA</t>
  </si>
  <si>
    <t xml:space="preserve"> </t>
  </si>
  <si>
    <t>SEMANA 0</t>
  </si>
  <si>
    <t>SEMANA 2</t>
  </si>
  <si>
    <t>SEMANA 3</t>
  </si>
  <si>
    <t>SEMANA 4</t>
  </si>
  <si>
    <t>SEMANA 5</t>
  </si>
  <si>
    <t>SEMANA 6</t>
  </si>
  <si>
    <t>SEMANA 7</t>
  </si>
  <si>
    <t>SEMANA 8</t>
  </si>
  <si>
    <t>Necesidad</t>
  </si>
  <si>
    <t>Pedidos pendientes de llegar</t>
  </si>
  <si>
    <t>Pedidos pendientes de enviar</t>
  </si>
  <si>
    <t>INVENTARIO INICIAL</t>
  </si>
  <si>
    <t>SEMANA 9</t>
  </si>
  <si>
    <t>Envíos y almacenaje'!AD3</t>
  </si>
  <si>
    <t>SEMANA 10</t>
  </si>
  <si>
    <t>SEMANA 11</t>
  </si>
  <si>
    <t>SEMANA 12</t>
  </si>
  <si>
    <t>SEMANA 13</t>
  </si>
  <si>
    <t>SEMANA 14</t>
  </si>
  <si>
    <t>SEMANA 15</t>
  </si>
  <si>
    <t>SEMANA 16</t>
  </si>
  <si>
    <t>Inventario DISPONIBLE</t>
  </si>
  <si>
    <t>CONTABILIDAD ZONA PALET DESEADO</t>
  </si>
  <si>
    <t>CONTABILIDAD ZONA CAJA DESEADO</t>
  </si>
  <si>
    <t>MOSTRADOR TIENDA DESEADO</t>
  </si>
  <si>
    <t>ALMACEN TIENDA DESEADO</t>
  </si>
  <si>
    <t>TIENDA CERRADA</t>
  </si>
  <si>
    <t>TIENDA ABIERTA</t>
  </si>
  <si>
    <t>TIENDA (1 SEMANA)</t>
  </si>
  <si>
    <t>ALMACÉN (1 MES)</t>
  </si>
  <si>
    <t>CONTAINERS</t>
  </si>
  <si>
    <t>Artículo</t>
  </si>
  <si>
    <t>KN</t>
  </si>
  <si>
    <t>PRECIO</t>
  </si>
  <si>
    <t>Fact. Bruta</t>
  </si>
  <si>
    <t>P. Cost. KN</t>
  </si>
  <si>
    <t>M/Brut €</t>
  </si>
  <si>
    <t>M/Brut %</t>
  </si>
  <si>
    <t>Otros costes indirectos</t>
  </si>
  <si>
    <t>M/Net €</t>
  </si>
  <si>
    <t>M/Net %</t>
  </si>
  <si>
    <t>Total LOMO ATUN YF 2/3 SASHIM AHUMD C. 5 KG</t>
  </si>
  <si>
    <t>Total TACO ATUN YF (12X450) BB. FLT 10 PNC C ANO 26</t>
  </si>
  <si>
    <t>Total CALAMAR PATG RELLENO 10-12 (1X11) C.FANDI</t>
  </si>
  <si>
    <t>Total CALAMAR PATG TROC (6X850) MRM 15 C. FANDI  26</t>
  </si>
  <si>
    <t>Total TUBO C/REJ CAL PATG 12/14 (6X1) 0 B.MRM C.FANDI 71</t>
  </si>
  <si>
    <t>Total TUBO C/REJ CALAM. PATG 10/12 12X1 CB EMB 0 C.FANDI</t>
  </si>
  <si>
    <t>Total FTE DORADA 120/160 CP C. 5 KG 20</t>
  </si>
  <si>
    <t>Total FTE. HALIBUT (1X6) DP 10 C.ANONIMA</t>
  </si>
  <si>
    <t>Total COL. LANG. ARG. 20/40 PEL DEV (1X10)</t>
  </si>
  <si>
    <t>Total COL. LANG. ARG. 40/80 PEL DEV (4X3)</t>
  </si>
  <si>
    <t>Total LANGOSTINO ARG. 2 (6X2)</t>
  </si>
  <si>
    <t>Total LANGOSTINO ARG. 3 (6X2)</t>
  </si>
  <si>
    <t>Total FTE. LIMANDA 80/120 SP (1X6) 25</t>
  </si>
  <si>
    <t>Total FTE LUBINA 120/160 CP C. 5 KG 20</t>
  </si>
  <si>
    <t>Total FTE. LUBINA 160/200 (1X2,4) 20 C.ANONI T/F MRM</t>
  </si>
  <si>
    <t>Total MEJILLON  M/C 60/80 (1X6)</t>
  </si>
  <si>
    <t>Total MEJILLON 40/60 M/C (4X1) 10</t>
  </si>
  <si>
    <t>Total FTE. MZA. ARG. 2/4 SP CAJA 15 KG</t>
  </si>
  <si>
    <t>Total FTE. MZA. ARG. 4/6 SP CAJA 15 KG</t>
  </si>
  <si>
    <t>Total ROD. MZA. AUS. 90/140 (10X400) SK TQ MRM C ANO 26</t>
  </si>
  <si>
    <t>Total FTE. MZA. SUD. 2/4 SP (2X6,8) MSC</t>
  </si>
  <si>
    <t>Total LOMO MZA. SUD. 3/6 (10X400) E CARRE  0 C.ANON</t>
  </si>
  <si>
    <t>Total ROD. ESPADA 150/250 (10X900) BB MRM 10 C.ANON 62</t>
  </si>
  <si>
    <t>Total ROD. ESPADA 200/350 (1X4,8) 20 C.FANDI 15</t>
  </si>
  <si>
    <t>Total ANILLA POTA ARG. (10X500) BB NAT 10 C.ANONI 8</t>
  </si>
  <si>
    <t>Total ANILLA POTA ARG. 40/60 ROM (5X1) BB MARE C.ANON.</t>
  </si>
  <si>
    <t>Total TUBO POTA ARG. IQF (3X1,8) 10 C.ANO 8</t>
  </si>
  <si>
    <t>Total RABA POTON PAC IQF (1X6)  C.ANONIMA 26</t>
  </si>
  <si>
    <t>Total ROD. SALMON 150/270 (2X2.25) 5 MRM C.FANDI</t>
  </si>
  <si>
    <t>Total ALMEJA JAPÓNICA 60/80 0 C. (10X1)</t>
  </si>
  <si>
    <t>Total ALMEJA JAPONICA. 80/100(10X1)</t>
  </si>
  <si>
    <t>Total DORADA 200/300 ENT EVISC C. 5 KG 20</t>
  </si>
  <si>
    <t>Total DORADA 300/400 ENT EVISC C. 5 KG 20</t>
  </si>
  <si>
    <t>Total GALLO 3  G.SOL *BORDO</t>
  </si>
  <si>
    <t>Total GALLO 4 C.G.</t>
  </si>
  <si>
    <t>Total GALLO 5 C.G.</t>
  </si>
  <si>
    <t>Total GAMBA 10/30 PELADA 10X1 C.BONFRIG</t>
  </si>
  <si>
    <t>Total GAMBA 30/50 PELADA 10X1 C.BONFRIG</t>
  </si>
  <si>
    <t>Total GAMBA 50/70 PELADA 10X1 C.BONFRIG</t>
  </si>
  <si>
    <t>Total GAMBA PELADA 50/70 (5X1)</t>
  </si>
  <si>
    <t>Total GAMBA PELADA 70/100   (5X1)</t>
  </si>
  <si>
    <t>Total COL. LANGOSTINO VANNAMEI 31/35 (10X2,268)</t>
  </si>
  <si>
    <t>Total COLA LANG VANN (10X2) 40/50</t>
  </si>
  <si>
    <t>Total COLA LANG VANN (10X2) 50/60</t>
  </si>
  <si>
    <t>Total LANGOSTINO VANNAMEI 20/30 (2X10)</t>
  </si>
  <si>
    <t>Total LANGOSTINO VANNAMEI 30/40 (3X6)</t>
  </si>
  <si>
    <t>Total LUBINA 200/300 ENT EVISC C. 5 KG 20</t>
  </si>
  <si>
    <t>Total LUBINA 400/600 ENT EVISC C. 5 KG 20</t>
  </si>
  <si>
    <t>Total COL. RAPE 5 SP  1200 /1800</t>
  </si>
  <si>
    <t>Total COL. RAPE S/P 2000/3000</t>
  </si>
  <si>
    <t>Total COL. RAPE SP 800/1200  (HOSPT)</t>
  </si>
  <si>
    <t>Total ALA RAYA 1 SP C.G.</t>
  </si>
  <si>
    <t>Total ALA RAYA M SP</t>
  </si>
  <si>
    <t>Total RODABALLO 2000/3000</t>
  </si>
  <si>
    <t>Total RODABALLO 600/800</t>
  </si>
  <si>
    <t>Total ROSADA 3 ENV C.G.</t>
  </si>
  <si>
    <t>Total ROSADA 4 ENV C.G.</t>
  </si>
  <si>
    <t>Total SEPIA LIMPIA 1000/1500 (1X12) 15</t>
  </si>
  <si>
    <t>Total FTE. TILAPIA 140/200 SP (5X1) C. 5 KG</t>
  </si>
  <si>
    <t>Total PORC. TINTORERA S/P S/H 80/120  1X6</t>
  </si>
  <si>
    <t>Total VENTRESCA DE ATUN 1X6</t>
  </si>
  <si>
    <t>Total FTE. BACALAO +1000 CP PS (1X11) 10 C.FANDI BC</t>
  </si>
  <si>
    <t>Total FTE. BACALAO 1500/2000 CP GRANEL 10 C.FAND TF C4</t>
  </si>
  <si>
    <t>Total FTE. BACALAO ISLAND. 1000/1500 CP (1X11) 10 MSC</t>
  </si>
  <si>
    <t>Total FTE. BACALAO ISLAND. 500/1000 CP (1X11) 10 MSC</t>
  </si>
  <si>
    <t>Total LOMO BACALAO C/P 200/300 (6X2) ICEL.</t>
  </si>
  <si>
    <t>Total LOMO BACALAO C/P 300/400 (6X2) ICEL.</t>
  </si>
  <si>
    <t>Total BOGAVANTE (400/450) (1X5)</t>
  </si>
  <si>
    <t>Total BOGAVANTE (550/650) (1X5)</t>
  </si>
  <si>
    <t>Total BOGAVANTE (800/1000) (1X5)</t>
  </si>
  <si>
    <t>Total LENGUADO HOL.N.3 S/A (1X5)300/350</t>
  </si>
  <si>
    <t>Total LENGUADO HOL.N3 S/A(1X5) 275/325</t>
  </si>
  <si>
    <t>GASTOS</t>
  </si>
  <si>
    <t>5 tiendas</t>
  </si>
  <si>
    <t>salario</t>
  </si>
  <si>
    <t>SS</t>
  </si>
  <si>
    <t>MENSUALES</t>
  </si>
  <si>
    <t>Tenderos</t>
  </si>
  <si>
    <t>Cámara</t>
  </si>
  <si>
    <t xml:space="preserve">Dirección </t>
  </si>
  <si>
    <t>Administración</t>
  </si>
  <si>
    <t>Chóferes</t>
  </si>
  <si>
    <t>TOTAL SALARIOS + SS</t>
  </si>
  <si>
    <t>Amortización</t>
  </si>
  <si>
    <t>Tiendas</t>
  </si>
  <si>
    <t>Camión</t>
  </si>
  <si>
    <t>Coche</t>
  </si>
  <si>
    <t>Consumos</t>
  </si>
  <si>
    <t>Electricidad</t>
  </si>
  <si>
    <t>Gasóleo</t>
  </si>
  <si>
    <t>Desplazamientos</t>
  </si>
  <si>
    <t>Otros</t>
  </si>
  <si>
    <t>Reparaciones</t>
  </si>
  <si>
    <t>Instalaciones</t>
  </si>
  <si>
    <t>Otros C. Fijos</t>
  </si>
  <si>
    <t>Tasas</t>
  </si>
  <si>
    <t>Seguros</t>
  </si>
  <si>
    <t>Intereses</t>
  </si>
  <si>
    <t>Contabilidad</t>
  </si>
  <si>
    <t>Sociedad Matriz</t>
  </si>
  <si>
    <t>TOTAL COSTES MES</t>
  </si>
  <si>
    <t>COSTE INDIRECTO POR KG</t>
  </si>
  <si>
    <t>Volumen producto</t>
  </si>
  <si>
    <t>Kg/m^3</t>
  </si>
  <si>
    <t xml:space="preserve">kg </t>
  </si>
  <si>
    <t>Volúmen cámara</t>
  </si>
  <si>
    <t>m^3</t>
  </si>
  <si>
    <t>h</t>
  </si>
  <si>
    <t xml:space="preserve">m </t>
  </si>
  <si>
    <t>m^2</t>
  </si>
  <si>
    <t>Cantidad</t>
  </si>
  <si>
    <t>Unidad</t>
  </si>
  <si>
    <t>Medida</t>
  </si>
  <si>
    <t>Potencia calorífica paredes</t>
  </si>
  <si>
    <t>dT</t>
  </si>
  <si>
    <t>K (coef. Global de intercambio térmico)</t>
  </si>
  <si>
    <t>R pelicula ext</t>
  </si>
  <si>
    <t>R pelicula int</t>
  </si>
  <si>
    <t>R aislante</t>
  </si>
  <si>
    <t>Espesor</t>
  </si>
  <si>
    <t>Conductividad térmica</t>
  </si>
  <si>
    <t>R1</t>
  </si>
  <si>
    <t>R2</t>
  </si>
  <si>
    <t>ºC</t>
  </si>
  <si>
    <t>W/(m^2·K)</t>
  </si>
  <si>
    <t>Coef de pelicula h ext</t>
  </si>
  <si>
    <t>Coef de pelicula h int</t>
  </si>
  <si>
    <t>densidad de producto (pescado)</t>
  </si>
  <si>
    <t>Superficie suelo</t>
  </si>
  <si>
    <t>Superficie pared</t>
  </si>
  <si>
    <r>
      <t xml:space="preserve">En realidad es a partir de la potencia calorífica que tenemos por la diferencia de temperaturas, calculamos el </t>
    </r>
    <r>
      <rPr>
        <b/>
        <sz val="11"/>
        <color theme="1"/>
        <rFont val="Calibri"/>
        <family val="2"/>
        <scheme val="minor"/>
      </rPr>
      <t>espesor</t>
    </r>
    <r>
      <rPr>
        <sz val="11"/>
        <color theme="1"/>
        <rFont val="Calibri"/>
        <family val="2"/>
        <scheme val="minor"/>
      </rPr>
      <t xml:space="preserve"> y el </t>
    </r>
    <r>
      <rPr>
        <b/>
        <sz val="11"/>
        <color theme="1"/>
        <rFont val="Calibri"/>
        <family val="2"/>
        <scheme val="minor"/>
      </rPr>
      <t>material</t>
    </r>
  </si>
  <si>
    <t>RESTRICCIÓN</t>
  </si>
  <si>
    <t>Densidad de calor(&lt;7)</t>
  </si>
  <si>
    <t>Transporte mercancía</t>
  </si>
  <si>
    <t xml:space="preserve">inversión </t>
  </si>
  <si>
    <t>meses</t>
  </si>
  <si>
    <t>€</t>
  </si>
  <si>
    <t>€/mes</t>
  </si>
  <si>
    <t>ROI</t>
  </si>
  <si>
    <r>
      <t xml:space="preserve">PRECIO </t>
    </r>
    <r>
      <rPr>
        <sz val="10"/>
        <rFont val="Arial"/>
        <family val="2"/>
      </rPr>
      <t>MEDIO</t>
    </r>
  </si>
  <si>
    <t>P. Cost. KN MEDIO</t>
  </si>
  <si>
    <t>MRP</t>
  </si>
  <si>
    <t>Tienda 1</t>
  </si>
  <si>
    <t>Tienda 2</t>
  </si>
  <si>
    <t>Tienda 3</t>
  </si>
  <si>
    <t>Tienda 4</t>
  </si>
  <si>
    <t>DC</t>
  </si>
  <si>
    <t>Día 1</t>
  </si>
  <si>
    <t>Día 2</t>
  </si>
  <si>
    <t>Día 3</t>
  </si>
  <si>
    <t>Día 4</t>
  </si>
  <si>
    <t>Parámetros</t>
  </si>
  <si>
    <t>El pedido del día 2 lo hace según la demanda del día 0</t>
  </si>
  <si>
    <t>Salvo que haya algo urgente de peligro de desabastecimiento a final del día 1</t>
  </si>
  <si>
    <t>F.O.</t>
  </si>
  <si>
    <t>mínimizar los costes de envío</t>
  </si>
  <si>
    <t>VOLUMEN CAMIÓN</t>
  </si>
  <si>
    <t>INDICACIONES</t>
  </si>
  <si>
    <t>VARIABLES</t>
  </si>
  <si>
    <t>BINARIO</t>
  </si>
  <si>
    <t>PRODUCTO BARATO</t>
  </si>
  <si>
    <t>PRODUCTO INTERMEDIO</t>
  </si>
  <si>
    <t>PRODUCTO CARO</t>
  </si>
  <si>
    <t>Depende del tipo de producto del pedido</t>
  </si>
  <si>
    <t>COSTE GASOLINA / KM</t>
  </si>
  <si>
    <t>TIEMPO DE ENTREGA</t>
  </si>
  <si>
    <t>Día 5</t>
  </si>
  <si>
    <t>Día 6</t>
  </si>
  <si>
    <t>RESTRICCIONES</t>
  </si>
  <si>
    <t>TIEMPO DE CARGA</t>
  </si>
  <si>
    <t>TIEMPO MÁXIMO</t>
  </si>
  <si>
    <t>El tiempo es distancia + tiempo de entrega -&gt; ENTREGAR PEDIDO 1 HORA ANTES DE ABRIR</t>
  </si>
  <si>
    <t>GANANCIAS PRODUCTO / TON</t>
  </si>
  <si>
    <t>Sale a las 6 y fin de entregas a las 8</t>
  </si>
  <si>
    <t>A las 9 se abre la tienda</t>
  </si>
  <si>
    <t>4 días</t>
  </si>
  <si>
    <t>PRODUCTO DESABASTECIDO</t>
  </si>
  <si>
    <t>CANTIDAD DE ENVÍO</t>
  </si>
  <si>
    <t>ENVIOS TOTALES</t>
  </si>
  <si>
    <t>Si queremos que reparta todos los días y con un mínimo de carga al 50%</t>
  </si>
  <si>
    <t xml:space="preserve">                 Distancias
Tiempo    </t>
  </si>
  <si>
    <t>Excersise 7-1: ABC Corporation</t>
  </si>
  <si>
    <t>Potencial de mercado</t>
  </si>
  <si>
    <t>Sales</t>
  </si>
  <si>
    <t>Year 1</t>
  </si>
  <si>
    <t>Year 2</t>
  </si>
  <si>
    <t>Year 3</t>
  </si>
  <si>
    <t>Year 4</t>
  </si>
  <si>
    <t>Year 5</t>
  </si>
  <si>
    <t>JAN</t>
  </si>
  <si>
    <t>p = 6</t>
  </si>
  <si>
    <t>(even)</t>
  </si>
  <si>
    <t>FEB</t>
  </si>
  <si>
    <t>MAR</t>
  </si>
  <si>
    <t>Predicción = Porcentajes de población * Potencial de mercado</t>
  </si>
  <si>
    <t>APR</t>
  </si>
  <si>
    <t>MAY</t>
  </si>
  <si>
    <t>Picos de demanda en Agosto y Diciembre</t>
  </si>
  <si>
    <t>JUN</t>
  </si>
  <si>
    <t>JUL</t>
  </si>
  <si>
    <t>AUG</t>
  </si>
  <si>
    <t>SEP</t>
  </si>
  <si>
    <t>OCT</t>
  </si>
  <si>
    <t>NOV</t>
  </si>
  <si>
    <t>DEC</t>
  </si>
  <si>
    <t>Total</t>
  </si>
  <si>
    <t>Static Method for Forecasting</t>
  </si>
  <si>
    <t>Year</t>
  </si>
  <si>
    <t>Month</t>
  </si>
  <si>
    <t>Period</t>
  </si>
  <si>
    <r>
      <t>Demand D</t>
    </r>
    <r>
      <rPr>
        <vertAlign val="subscript"/>
        <sz val="10"/>
        <rFont val="Arial"/>
        <family val="2"/>
      </rPr>
      <t>t</t>
    </r>
  </si>
  <si>
    <r>
      <t>Deseasonalized Demand D</t>
    </r>
    <r>
      <rPr>
        <vertAlign val="subscript"/>
        <sz val="10"/>
        <rFont val="Arial"/>
        <family val="2"/>
      </rPr>
      <t>t</t>
    </r>
  </si>
  <si>
    <r>
      <t xml:space="preserve"> D</t>
    </r>
    <r>
      <rPr>
        <vertAlign val="subscript"/>
        <sz val="10"/>
        <rFont val="Arial"/>
        <family val="2"/>
      </rPr>
      <t xml:space="preserve">t </t>
    </r>
    <r>
      <rPr>
        <sz val="10"/>
        <rFont val="Arial"/>
        <family val="2"/>
      </rPr>
      <t>(based on regression)</t>
    </r>
  </si>
  <si>
    <r>
      <t>Seasonal Factor S</t>
    </r>
    <r>
      <rPr>
        <vertAlign val="subscript"/>
        <sz val="10"/>
        <rFont val="Arial"/>
        <family val="2"/>
      </rPr>
      <t>t</t>
    </r>
  </si>
  <si>
    <t>Forecast</t>
  </si>
  <si>
    <r>
      <t>E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</si>
  <si>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t</t>
    </r>
  </si>
  <si>
    <t>bias</t>
  </si>
  <si>
    <t>MSE</t>
  </si>
  <si>
    <t>MAD</t>
  </si>
  <si>
    <t>Percent Error</t>
  </si>
  <si>
    <t>MAPE</t>
  </si>
  <si>
    <t>TS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</si>
  <si>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</si>
  <si>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</si>
  <si>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</si>
  <si>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</si>
  <si>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</si>
  <si>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</si>
  <si>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</si>
  <si>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</si>
  <si>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</si>
  <si>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</si>
  <si>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</si>
  <si>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</si>
  <si>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</si>
  <si>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</si>
  <si>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</si>
  <si>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</si>
  <si>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</si>
  <si>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</si>
  <si>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</si>
  <si>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</si>
  <si>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</si>
  <si>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</si>
  <si>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Variable X 1</t>
  </si>
  <si>
    <t>Seasonal Factor St</t>
  </si>
  <si>
    <t>(Todas)</t>
  </si>
  <si>
    <t>Etiquetas de fila</t>
  </si>
  <si>
    <t>Promedio de Seasonal Factor St</t>
  </si>
  <si>
    <t>Total general</t>
  </si>
  <si>
    <t>Year 6</t>
  </si>
  <si>
    <t>Forecasts</t>
  </si>
  <si>
    <t>Estimate of standard deviation of forecast error:</t>
  </si>
  <si>
    <t>INVENTARIO  SEGURIDAD DESEADO</t>
  </si>
  <si>
    <t>INVENTARIO SEGURIDAD DESEADO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</si>
  <si>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</si>
  <si>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</si>
  <si>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</si>
  <si>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</si>
  <si>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</si>
  <si>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</si>
  <si>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</si>
  <si>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</si>
  <si>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</si>
  <si>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</si>
  <si>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</si>
  <si>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</si>
  <si>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</si>
  <si>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</si>
  <si>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</si>
  <si>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</si>
  <si>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</si>
  <si>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</si>
  <si>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</si>
  <si>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</si>
  <si>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</si>
  <si>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</si>
  <si>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km diarios</t>
  </si>
  <si>
    <t>dias por mes</t>
  </si>
  <si>
    <t>min</t>
  </si>
  <si>
    <t>DEMANDAS SEMANALES (ton)</t>
  </si>
  <si>
    <t>ancho</t>
  </si>
  <si>
    <t>largo</t>
  </si>
  <si>
    <t>Nº de cajas por palet</t>
  </si>
  <si>
    <t>Palet</t>
  </si>
  <si>
    <t>Cajas</t>
  </si>
  <si>
    <t>alto</t>
  </si>
  <si>
    <t xml:space="preserve">&gt;&gt; </t>
  </si>
  <si>
    <t>Capacidad</t>
  </si>
  <si>
    <t>cajas</t>
  </si>
  <si>
    <t>Nº de cajas por envío de camión</t>
  </si>
  <si>
    <t>Envío</t>
  </si>
  <si>
    <t>ancho (m)</t>
  </si>
  <si>
    <t>largo (m)</t>
  </si>
  <si>
    <t>alto (m)</t>
  </si>
  <si>
    <t>peso por caja</t>
  </si>
  <si>
    <t>kg</t>
  </si>
  <si>
    <t>nº de cajas necesarias</t>
  </si>
  <si>
    <t>modelo A</t>
  </si>
  <si>
    <t>Volumen camión</t>
  </si>
  <si>
    <t>m3</t>
  </si>
  <si>
    <t>número de palets</t>
  </si>
  <si>
    <t>Volumen palets</t>
  </si>
  <si>
    <t>Volumen total</t>
  </si>
  <si>
    <t>Restricción area base</t>
  </si>
  <si>
    <t>10 palets</t>
  </si>
  <si>
    <t>peso por palet</t>
  </si>
  <si>
    <t>Nº de cajas y palets almacen</t>
  </si>
  <si>
    <t>Peso</t>
  </si>
  <si>
    <t>nº de palets</t>
  </si>
  <si>
    <t>volumen cajas</t>
  </si>
  <si>
    <t>volumen palets</t>
  </si>
  <si>
    <t>area palet</t>
  </si>
  <si>
    <t>m2</t>
  </si>
  <si>
    <t>area total</t>
  </si>
  <si>
    <t>Colocación palets</t>
  </si>
  <si>
    <t>2 alturas</t>
  </si>
  <si>
    <t>Nº palets</t>
  </si>
  <si>
    <t>espacio disponible</t>
  </si>
  <si>
    <t xml:space="preserve">ancho </t>
  </si>
  <si>
    <t>metros</t>
  </si>
  <si>
    <t>holgura por palet</t>
  </si>
  <si>
    <t>holgura palets</t>
  </si>
  <si>
    <t>palets final</t>
  </si>
  <si>
    <t>palets posibles</t>
  </si>
  <si>
    <t>flujo total necesario</t>
  </si>
  <si>
    <t>S</t>
  </si>
  <si>
    <t>iluminaria necesaria</t>
  </si>
  <si>
    <t>n</t>
  </si>
  <si>
    <t>Nº de cajas en tienda</t>
  </si>
  <si>
    <t>25 kg/m3</t>
  </si>
  <si>
    <t>nº de arcones</t>
  </si>
  <si>
    <t>onsumo</t>
  </si>
  <si>
    <t>kwh</t>
  </si>
  <si>
    <t>Transtienda</t>
  </si>
  <si>
    <t>Tienda</t>
  </si>
  <si>
    <t>nº de frigorificos</t>
  </si>
  <si>
    <t>consumo</t>
  </si>
  <si>
    <t>oficina</t>
  </si>
  <si>
    <t>tienda y trastienda</t>
  </si>
  <si>
    <t>potencia</t>
  </si>
  <si>
    <t>Utilizacion</t>
  </si>
  <si>
    <t>dias</t>
  </si>
  <si>
    <t>horas</t>
  </si>
  <si>
    <t>uds</t>
  </si>
  <si>
    <t>Wh</t>
  </si>
  <si>
    <t>Espacio</t>
  </si>
  <si>
    <t xml:space="preserve"> ocupado</t>
  </si>
  <si>
    <t>libre</t>
  </si>
  <si>
    <t>Dimensiones</t>
  </si>
  <si>
    <t>area ocupada</t>
  </si>
  <si>
    <t>area ocupada total</t>
  </si>
  <si>
    <t>factor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</si>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</sst>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0.0000"/>
    <numFmt numFmtId="165" formatCode="#,##0.000"/>
    <numFmt numFmtId="166" formatCode="#,##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Verdana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494949"/>
      <name val="Verdana"/>
      <family val="2"/>
    </font>
    <font>
      <b/>
      <sz val="10"/>
      <color rgb="FF494949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  <font>
      <b/>
      <u/>
      <sz val="10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0" xfId="0" applyFill="1"/>
    <xf numFmtId="0" fontId="0" fillId="11" borderId="1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7" fillId="0" borderId="1" xfId="1" quotePrefix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1" quotePrefix="1" applyBorder="1" applyAlignment="1">
      <alignment wrapText="1"/>
    </xf>
    <xf numFmtId="0" fontId="0" fillId="13" borderId="24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2" xfId="0" applyBorder="1"/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12" fillId="16" borderId="32" xfId="0" applyFont="1" applyFill="1" applyBorder="1" applyAlignment="1">
      <alignment horizontal="center" vertical="center"/>
    </xf>
    <xf numFmtId="3" fontId="12" fillId="17" borderId="33" xfId="0" applyNumberFormat="1" applyFont="1" applyFill="1" applyBorder="1" applyAlignment="1">
      <alignment horizontal="center" vertical="center"/>
    </xf>
    <xf numFmtId="4" fontId="12" fillId="17" borderId="1" xfId="0" applyNumberFormat="1" applyFont="1" applyFill="1" applyBorder="1" applyAlignment="1">
      <alignment horizontal="center" vertical="center" wrapText="1"/>
    </xf>
    <xf numFmtId="3" fontId="12" fillId="17" borderId="34" xfId="0" applyNumberFormat="1" applyFont="1" applyFill="1" applyBorder="1" applyAlignment="1">
      <alignment horizontal="center" vertical="center"/>
    </xf>
    <xf numFmtId="3" fontId="12" fillId="18" borderId="32" xfId="0" applyNumberFormat="1" applyFont="1" applyFill="1" applyBorder="1" applyAlignment="1">
      <alignment horizontal="center" vertical="center"/>
    </xf>
    <xf numFmtId="3" fontId="12" fillId="19" borderId="33" xfId="0" applyNumberFormat="1" applyFont="1" applyFill="1" applyBorder="1" applyAlignment="1">
      <alignment horizontal="center" vertical="center"/>
    </xf>
    <xf numFmtId="3" fontId="12" fillId="19" borderId="1" xfId="0" applyNumberFormat="1" applyFont="1" applyFill="1" applyBorder="1" applyAlignment="1">
      <alignment horizontal="center" vertical="center" wrapText="1"/>
    </xf>
    <xf numFmtId="3" fontId="12" fillId="18" borderId="1" xfId="0" applyNumberFormat="1" applyFont="1" applyFill="1" applyBorder="1" applyAlignment="1">
      <alignment horizontal="center" vertical="center" wrapText="1"/>
    </xf>
    <xf numFmtId="3" fontId="12" fillId="2" borderId="35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10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0" fontId="0" fillId="0" borderId="0" xfId="0" applyNumberFormat="1"/>
    <xf numFmtId="3" fontId="1" fillId="0" borderId="0" xfId="0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" fillId="2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1" fillId="0" borderId="1" xfId="0" applyNumberFormat="1" applyFont="1" applyBorder="1"/>
    <xf numFmtId="2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10" fontId="0" fillId="0" borderId="24" xfId="0" applyNumberFormat="1" applyBorder="1"/>
    <xf numFmtId="4" fontId="1" fillId="0" borderId="0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41" xfId="0" applyNumberFormat="1" applyBorder="1"/>
    <xf numFmtId="0" fontId="0" fillId="0" borderId="41" xfId="0" applyBorder="1"/>
    <xf numFmtId="0" fontId="0" fillId="0" borderId="39" xfId="0" applyBorder="1"/>
    <xf numFmtId="3" fontId="0" fillId="0" borderId="13" xfId="0" applyNumberFormat="1" applyBorder="1" applyAlignment="1">
      <alignment horizontal="center"/>
    </xf>
    <xf numFmtId="0" fontId="0" fillId="0" borderId="42" xfId="0" applyNumberFormat="1" applyBorder="1"/>
    <xf numFmtId="0" fontId="0" fillId="0" borderId="42" xfId="0" applyBorder="1"/>
    <xf numFmtId="0" fontId="0" fillId="0" borderId="40" xfId="0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/>
    <xf numFmtId="3" fontId="11" fillId="0" borderId="0" xfId="0" applyNumberFormat="1" applyFont="1" applyFill="1" applyBorder="1" applyAlignment="1">
      <alignment horizontal="center"/>
    </xf>
    <xf numFmtId="4" fontId="11" fillId="0" borderId="0" xfId="0" applyNumberFormat="1" applyFont="1" applyFill="1" applyBorder="1" applyAlignment="1">
      <alignment horizontal="center"/>
    </xf>
    <xf numFmtId="10" fontId="11" fillId="0" borderId="0" xfId="2" applyNumberFormat="1" applyFont="1" applyFill="1" applyBorder="1" applyAlignment="1">
      <alignment horizontal="center"/>
    </xf>
    <xf numFmtId="10" fontId="11" fillId="0" borderId="0" xfId="0" applyNumberFormat="1" applyFont="1" applyFill="1" applyBorder="1"/>
    <xf numFmtId="0" fontId="0" fillId="0" borderId="0" xfId="0" applyFill="1"/>
    <xf numFmtId="0" fontId="15" fillId="0" borderId="0" xfId="0" applyFont="1"/>
    <xf numFmtId="0" fontId="16" fillId="0" borderId="0" xfId="0" applyFont="1"/>
    <xf numFmtId="3" fontId="12" fillId="0" borderId="33" xfId="0" applyNumberFormat="1" applyFont="1" applyFill="1" applyBorder="1" applyAlignment="1">
      <alignment horizontal="center" vertical="center"/>
    </xf>
    <xf numFmtId="4" fontId="12" fillId="0" borderId="1" xfId="0" applyNumberFormat="1" applyFont="1" applyFill="1" applyBorder="1" applyAlignment="1">
      <alignment horizontal="center" vertical="center" wrapText="1"/>
    </xf>
    <xf numFmtId="3" fontId="12" fillId="0" borderId="34" xfId="0" applyNumberFormat="1" applyFont="1" applyFill="1" applyBorder="1" applyAlignment="1">
      <alignment horizontal="center" vertical="center"/>
    </xf>
    <xf numFmtId="3" fontId="12" fillId="0" borderId="32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3" fontId="12" fillId="0" borderId="35" xfId="0" applyNumberFormat="1" applyFont="1" applyFill="1" applyBorder="1" applyAlignment="1">
      <alignment horizontal="center" vertical="center"/>
    </xf>
    <xf numFmtId="10" fontId="12" fillId="0" borderId="1" xfId="0" applyNumberFormat="1" applyFont="1" applyFill="1" applyBorder="1" applyAlignment="1">
      <alignment horizontal="center" vertical="center" wrapText="1"/>
    </xf>
    <xf numFmtId="4" fontId="0" fillId="0" borderId="24" xfId="0" applyNumberFormat="1" applyBorder="1" applyAlignment="1">
      <alignment horizontal="center"/>
    </xf>
    <xf numFmtId="0" fontId="0" fillId="0" borderId="11" xfId="0" applyBorder="1"/>
    <xf numFmtId="3" fontId="0" fillId="0" borderId="41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" fontId="0" fillId="0" borderId="43" xfId="0" applyNumberFormat="1" applyBorder="1" applyAlignment="1">
      <alignment horizontal="center"/>
    </xf>
    <xf numFmtId="0" fontId="0" fillId="0" borderId="13" xfId="0" applyBorder="1"/>
    <xf numFmtId="3" fontId="0" fillId="0" borderId="42" xfId="0" applyNumberFormat="1" applyBorder="1" applyAlignment="1">
      <alignment horizontal="center"/>
    </xf>
    <xf numFmtId="0" fontId="0" fillId="0" borderId="36" xfId="0" applyBorder="1"/>
    <xf numFmtId="3" fontId="0" fillId="0" borderId="37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5" xfId="0" applyFill="1" applyBorder="1"/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4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4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/>
    </xf>
    <xf numFmtId="0" fontId="17" fillId="0" borderId="36" xfId="0" applyFont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0" fontId="12" fillId="0" borderId="2" xfId="0" applyFont="1" applyBorder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8" fontId="0" fillId="0" borderId="0" xfId="0" applyNumberFormat="1"/>
    <xf numFmtId="0" fontId="12" fillId="0" borderId="5" xfId="0" applyFont="1" applyBorder="1"/>
    <xf numFmtId="2" fontId="0" fillId="0" borderId="0" xfId="0" applyNumberFormat="1" applyAlignment="1">
      <alignment horizontal="center"/>
    </xf>
    <xf numFmtId="2" fontId="0" fillId="0" borderId="46" xfId="0" applyNumberFormat="1" applyBorder="1" applyAlignment="1">
      <alignment horizontal="center"/>
    </xf>
    <xf numFmtId="0" fontId="12" fillId="0" borderId="0" xfId="0" applyFont="1"/>
    <xf numFmtId="0" fontId="17" fillId="0" borderId="36" xfId="0" applyFont="1" applyBorder="1"/>
    <xf numFmtId="0" fontId="0" fillId="0" borderId="37" xfId="0" applyBorder="1"/>
    <xf numFmtId="0" fontId="0" fillId="0" borderId="38" xfId="0" applyBorder="1"/>
    <xf numFmtId="0" fontId="0" fillId="11" borderId="36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21" borderId="1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2" fontId="17" fillId="0" borderId="1" xfId="0" applyNumberFormat="1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1" fontId="17" fillId="0" borderId="7" xfId="0" applyNumberFormat="1" applyFont="1" applyBorder="1" applyAlignment="1">
      <alignment horizontal="center"/>
    </xf>
    <xf numFmtId="2" fontId="17" fillId="0" borderId="7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10" borderId="46" xfId="0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2" fontId="17" fillId="0" borderId="9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0" xfId="0" applyFont="1" applyAlignment="1">
      <alignment horizontal="center"/>
    </xf>
    <xf numFmtId="1" fontId="0" fillId="20" borderId="7" xfId="0" applyNumberFormat="1" applyFill="1" applyBorder="1" applyAlignment="1">
      <alignment horizontal="center"/>
    </xf>
    <xf numFmtId="1" fontId="21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5" borderId="5" xfId="0" applyFill="1" applyBorder="1"/>
    <xf numFmtId="0" fontId="0" fillId="5" borderId="5" xfId="0" applyFill="1" applyBorder="1" applyAlignment="1">
      <alignment wrapText="1"/>
    </xf>
    <xf numFmtId="0" fontId="0" fillId="0" borderId="0" xfId="0" applyFill="1" applyBorder="1" applyAlignment="1"/>
    <xf numFmtId="0" fontId="0" fillId="0" borderId="42" xfId="0" applyFill="1" applyBorder="1" applyAlignment="1"/>
    <xf numFmtId="0" fontId="22" fillId="0" borderId="47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Continuous"/>
    </xf>
    <xf numFmtId="0" fontId="0" fillId="0" borderId="0" xfId="0" applyNumberFormat="1"/>
    <xf numFmtId="0" fontId="0" fillId="2" borderId="0" xfId="0" applyNumberFormat="1" applyFill="1"/>
    <xf numFmtId="0" fontId="0" fillId="2" borderId="29" xfId="0" applyFill="1" applyBorder="1" applyAlignment="1"/>
    <xf numFmtId="0" fontId="0" fillId="2" borderId="29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29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3" fillId="0" borderId="0" xfId="0" applyFont="1"/>
    <xf numFmtId="164" fontId="0" fillId="0" borderId="0" xfId="0" applyNumberFormat="1"/>
    <xf numFmtId="0" fontId="0" fillId="0" borderId="46" xfId="0" applyBorder="1"/>
    <xf numFmtId="0" fontId="23" fillId="0" borderId="0" xfId="0" applyFont="1" applyBorder="1"/>
    <xf numFmtId="0" fontId="0" fillId="0" borderId="43" xfId="0" applyBorder="1"/>
    <xf numFmtId="0" fontId="23" fillId="0" borderId="46" xfId="0" applyFont="1" applyBorder="1"/>
  </cellXfs>
  <cellStyles count="3">
    <cellStyle name="Hipervínculo" xfId="1" builtinId="8"/>
    <cellStyle name="Normal" xfId="0" builtinId="0"/>
    <cellStyle name="Porcentaje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Demand ABC Corporation </a:t>
            </a:r>
          </a:p>
        </c:rich>
      </c:tx>
      <c:layout>
        <c:manualLayout>
          <c:xMode val="edge"/>
          <c:yMode val="edge"/>
          <c:x val="0.18217081391957773"/>
          <c:y val="2.9962660327836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6709459672602"/>
          <c:y val="0.11610508124319939"/>
          <c:w val="0.83204239346434095"/>
          <c:h val="0.705993800462679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'[1]Previsión Centro'!$B$21:$B$80</c:f>
              <c:strCache>
                <c:ptCount val="6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</c:strCache>
            </c:strRef>
          </c:cat>
          <c:val>
            <c:numRef>
              <c:f>'[1]Previsión Centro'!$D$21:$D$80</c:f>
              <c:numCache>
                <c:formatCode>General</c:formatCode>
                <c:ptCount val="60"/>
                <c:pt idx="0">
                  <c:v>10000</c:v>
                </c:pt>
                <c:pt idx="1">
                  <c:v>32000</c:v>
                </c:pt>
                <c:pt idx="2">
                  <c:v>39000</c:v>
                </c:pt>
                <c:pt idx="3">
                  <c:v>42000</c:v>
                </c:pt>
                <c:pt idx="4">
                  <c:v>45000</c:v>
                </c:pt>
                <c:pt idx="5">
                  <c:v>49000</c:v>
                </c:pt>
                <c:pt idx="6">
                  <c:v>53000</c:v>
                </c:pt>
                <c:pt idx="7">
                  <c:v>56499.999999999993</c:v>
                </c:pt>
                <c:pt idx="8">
                  <c:v>62000</c:v>
                </c:pt>
                <c:pt idx="9">
                  <c:v>67000</c:v>
                </c:pt>
                <c:pt idx="10">
                  <c:v>71000</c:v>
                </c:pt>
                <c:pt idx="11">
                  <c:v>72000</c:v>
                </c:pt>
                <c:pt idx="12">
                  <c:v>73000</c:v>
                </c:pt>
                <c:pt idx="13">
                  <c:v>72000</c:v>
                </c:pt>
                <c:pt idx="14">
                  <c:v>73000</c:v>
                </c:pt>
                <c:pt idx="15">
                  <c:v>72000</c:v>
                </c:pt>
                <c:pt idx="16">
                  <c:v>71000</c:v>
                </c:pt>
                <c:pt idx="17">
                  <c:v>73000</c:v>
                </c:pt>
                <c:pt idx="18">
                  <c:v>77000</c:v>
                </c:pt>
                <c:pt idx="19">
                  <c:v>79000</c:v>
                </c:pt>
                <c:pt idx="20">
                  <c:v>81000</c:v>
                </c:pt>
                <c:pt idx="21">
                  <c:v>84000</c:v>
                </c:pt>
                <c:pt idx="22">
                  <c:v>83000</c:v>
                </c:pt>
                <c:pt idx="23">
                  <c:v>82000</c:v>
                </c:pt>
                <c:pt idx="24">
                  <c:v>79000</c:v>
                </c:pt>
                <c:pt idx="25">
                  <c:v>76000</c:v>
                </c:pt>
                <c:pt idx="26">
                  <c:v>73000</c:v>
                </c:pt>
                <c:pt idx="27">
                  <c:v>72000</c:v>
                </c:pt>
                <c:pt idx="28">
                  <c:v>75000</c:v>
                </c:pt>
                <c:pt idx="29">
                  <c:v>77000</c:v>
                </c:pt>
                <c:pt idx="30">
                  <c:v>79000</c:v>
                </c:pt>
                <c:pt idx="31">
                  <c:v>81000</c:v>
                </c:pt>
                <c:pt idx="32">
                  <c:v>83000</c:v>
                </c:pt>
                <c:pt idx="33">
                  <c:v>85000</c:v>
                </c:pt>
                <c:pt idx="34">
                  <c:v>85000</c:v>
                </c:pt>
                <c:pt idx="35">
                  <c:v>87000</c:v>
                </c:pt>
                <c:pt idx="36">
                  <c:v>91000</c:v>
                </c:pt>
                <c:pt idx="37">
                  <c:v>87000</c:v>
                </c:pt>
                <c:pt idx="38">
                  <c:v>85000</c:v>
                </c:pt>
                <c:pt idx="39">
                  <c:v>86000</c:v>
                </c:pt>
                <c:pt idx="40">
                  <c:v>86500</c:v>
                </c:pt>
                <c:pt idx="41">
                  <c:v>87500</c:v>
                </c:pt>
                <c:pt idx="42">
                  <c:v>88000</c:v>
                </c:pt>
                <c:pt idx="43">
                  <c:v>92000</c:v>
                </c:pt>
                <c:pt idx="44">
                  <c:v>90000</c:v>
                </c:pt>
                <c:pt idx="45">
                  <c:v>88000</c:v>
                </c:pt>
                <c:pt idx="46">
                  <c:v>87000</c:v>
                </c:pt>
                <c:pt idx="47">
                  <c:v>93000</c:v>
                </c:pt>
                <c:pt idx="48">
                  <c:v>95000</c:v>
                </c:pt>
                <c:pt idx="49">
                  <c:v>91000</c:v>
                </c:pt>
                <c:pt idx="50">
                  <c:v>90000</c:v>
                </c:pt>
                <c:pt idx="51">
                  <c:v>91000</c:v>
                </c:pt>
                <c:pt idx="52">
                  <c:v>89000</c:v>
                </c:pt>
                <c:pt idx="53">
                  <c:v>89000</c:v>
                </c:pt>
                <c:pt idx="54">
                  <c:v>92000</c:v>
                </c:pt>
                <c:pt idx="55">
                  <c:v>96000</c:v>
                </c:pt>
                <c:pt idx="56">
                  <c:v>93000</c:v>
                </c:pt>
                <c:pt idx="57">
                  <c:v>92000</c:v>
                </c:pt>
                <c:pt idx="58">
                  <c:v>96000</c:v>
                </c:pt>
                <c:pt idx="59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4-41D5-A275-30148FAD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0128"/>
        <c:axId val="134426624"/>
      </c:lineChart>
      <c:catAx>
        <c:axId val="1250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550455417878971"/>
              <c:y val="0.9213499727628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44266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3442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8087855297157646E-2"/>
              <c:y val="0.42322171049373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504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'[1]Previsión Centro'!$D$20</c:f>
              <c:strCache>
                <c:ptCount val="1"/>
                <c:pt idx="0">
                  <c:v>Demand Dt</c:v>
                </c:pt>
              </c:strCache>
            </c:strRef>
          </c:tx>
          <c:xVal>
            <c:numRef>
              <c:f>'[1]Previsión Centro'!$C$21:$C$80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'[1]Previsión Centro'!$D$21:$D$80</c:f>
              <c:numCache>
                <c:formatCode>General</c:formatCode>
                <c:ptCount val="60"/>
                <c:pt idx="0">
                  <c:v>10000</c:v>
                </c:pt>
                <c:pt idx="1">
                  <c:v>32000</c:v>
                </c:pt>
                <c:pt idx="2">
                  <c:v>39000</c:v>
                </c:pt>
                <c:pt idx="3">
                  <c:v>42000</c:v>
                </c:pt>
                <c:pt idx="4">
                  <c:v>45000</c:v>
                </c:pt>
                <c:pt idx="5">
                  <c:v>49000</c:v>
                </c:pt>
                <c:pt idx="6">
                  <c:v>53000</c:v>
                </c:pt>
                <c:pt idx="7">
                  <c:v>56499.999999999993</c:v>
                </c:pt>
                <c:pt idx="8">
                  <c:v>62000</c:v>
                </c:pt>
                <c:pt idx="9">
                  <c:v>67000</c:v>
                </c:pt>
                <c:pt idx="10">
                  <c:v>71000</c:v>
                </c:pt>
                <c:pt idx="11">
                  <c:v>72000</c:v>
                </c:pt>
                <c:pt idx="12">
                  <c:v>73000</c:v>
                </c:pt>
                <c:pt idx="13">
                  <c:v>72000</c:v>
                </c:pt>
                <c:pt idx="14">
                  <c:v>73000</c:v>
                </c:pt>
                <c:pt idx="15">
                  <c:v>72000</c:v>
                </c:pt>
                <c:pt idx="16">
                  <c:v>71000</c:v>
                </c:pt>
                <c:pt idx="17">
                  <c:v>73000</c:v>
                </c:pt>
                <c:pt idx="18">
                  <c:v>77000</c:v>
                </c:pt>
                <c:pt idx="19">
                  <c:v>79000</c:v>
                </c:pt>
                <c:pt idx="20">
                  <c:v>81000</c:v>
                </c:pt>
                <c:pt idx="21">
                  <c:v>84000</c:v>
                </c:pt>
                <c:pt idx="22">
                  <c:v>83000</c:v>
                </c:pt>
                <c:pt idx="23">
                  <c:v>82000</c:v>
                </c:pt>
                <c:pt idx="24">
                  <c:v>79000</c:v>
                </c:pt>
                <c:pt idx="25">
                  <c:v>76000</c:v>
                </c:pt>
                <c:pt idx="26">
                  <c:v>73000</c:v>
                </c:pt>
                <c:pt idx="27">
                  <c:v>72000</c:v>
                </c:pt>
                <c:pt idx="28">
                  <c:v>75000</c:v>
                </c:pt>
                <c:pt idx="29">
                  <c:v>77000</c:v>
                </c:pt>
                <c:pt idx="30">
                  <c:v>79000</c:v>
                </c:pt>
                <c:pt idx="31">
                  <c:v>81000</c:v>
                </c:pt>
                <c:pt idx="32">
                  <c:v>83000</c:v>
                </c:pt>
                <c:pt idx="33">
                  <c:v>85000</c:v>
                </c:pt>
                <c:pt idx="34">
                  <c:v>85000</c:v>
                </c:pt>
                <c:pt idx="35">
                  <c:v>87000</c:v>
                </c:pt>
                <c:pt idx="36">
                  <c:v>91000</c:v>
                </c:pt>
                <c:pt idx="37">
                  <c:v>87000</c:v>
                </c:pt>
                <c:pt idx="38">
                  <c:v>85000</c:v>
                </c:pt>
                <c:pt idx="39">
                  <c:v>86000</c:v>
                </c:pt>
                <c:pt idx="40">
                  <c:v>86500</c:v>
                </c:pt>
                <c:pt idx="41">
                  <c:v>87500</c:v>
                </c:pt>
                <c:pt idx="42">
                  <c:v>88000</c:v>
                </c:pt>
                <c:pt idx="43">
                  <c:v>92000</c:v>
                </c:pt>
                <c:pt idx="44">
                  <c:v>90000</c:v>
                </c:pt>
                <c:pt idx="45">
                  <c:v>88000</c:v>
                </c:pt>
                <c:pt idx="46">
                  <c:v>87000</c:v>
                </c:pt>
                <c:pt idx="47">
                  <c:v>93000</c:v>
                </c:pt>
                <c:pt idx="48">
                  <c:v>95000</c:v>
                </c:pt>
                <c:pt idx="49">
                  <c:v>91000</c:v>
                </c:pt>
                <c:pt idx="50">
                  <c:v>90000</c:v>
                </c:pt>
                <c:pt idx="51">
                  <c:v>91000</c:v>
                </c:pt>
                <c:pt idx="52">
                  <c:v>89000</c:v>
                </c:pt>
                <c:pt idx="53">
                  <c:v>89000</c:v>
                </c:pt>
                <c:pt idx="54">
                  <c:v>92000</c:v>
                </c:pt>
                <c:pt idx="55">
                  <c:v>96000</c:v>
                </c:pt>
                <c:pt idx="56">
                  <c:v>93000</c:v>
                </c:pt>
                <c:pt idx="57">
                  <c:v>92000</c:v>
                </c:pt>
                <c:pt idx="58">
                  <c:v>96000</c:v>
                </c:pt>
                <c:pt idx="59">
                  <c:v>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7-48A1-8EF8-E61CF8847744}"/>
            </c:ext>
          </c:extLst>
        </c:ser>
        <c:ser>
          <c:idx val="2"/>
          <c:order val="2"/>
          <c:tx>
            <c:v>Regresion initial</c:v>
          </c:tx>
          <c:trendline>
            <c:trendlineType val="linear"/>
            <c:dispRSqr val="1"/>
            <c:dispEq val="1"/>
            <c:trendlineLbl>
              <c:layout>
                <c:manualLayout>
                  <c:x val="-1.4830595329866652E-2"/>
                  <c:y val="1.1141976496524689E-2"/>
                </c:manualLayout>
              </c:layout>
              <c:numFmt formatCode="General" sourceLinked="0"/>
            </c:trendlineLbl>
          </c:trendline>
          <c:xVal>
            <c:numRef>
              <c:f>'Previsiones demanda'!$C$21:$C$33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'Previsiones demanda'!$D$21:$D$33</c:f>
              <c:numCache>
                <c:formatCode>General</c:formatCode>
                <c:ptCount val="13"/>
                <c:pt idx="0">
                  <c:v>22000</c:v>
                </c:pt>
                <c:pt idx="1">
                  <c:v>32000</c:v>
                </c:pt>
                <c:pt idx="2">
                  <c:v>39000</c:v>
                </c:pt>
                <c:pt idx="3">
                  <c:v>42000</c:v>
                </c:pt>
                <c:pt idx="4">
                  <c:v>45000</c:v>
                </c:pt>
                <c:pt idx="5">
                  <c:v>49000</c:v>
                </c:pt>
                <c:pt idx="6">
                  <c:v>53000</c:v>
                </c:pt>
                <c:pt idx="7">
                  <c:v>56499.999999999993</c:v>
                </c:pt>
                <c:pt idx="8">
                  <c:v>62000</c:v>
                </c:pt>
                <c:pt idx="9">
                  <c:v>67000</c:v>
                </c:pt>
                <c:pt idx="10">
                  <c:v>71000</c:v>
                </c:pt>
                <c:pt idx="11">
                  <c:v>72000</c:v>
                </c:pt>
                <c:pt idx="12">
                  <c:v>73000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37-48A1-8EF8-E61CF8847744}"/>
            </c:ext>
          </c:extLst>
        </c:ser>
        <c:ser>
          <c:idx val="3"/>
          <c:order val="3"/>
          <c:tx>
            <c:v>Regresion established</c:v>
          </c:tx>
          <c:trendline>
            <c:trendlineType val="linear"/>
            <c:dispRSqr val="1"/>
            <c:dispEq val="1"/>
            <c:trendlineLbl>
              <c:layout>
                <c:manualLayout>
                  <c:x val="-1.2314383943191218E-2"/>
                  <c:y val="-5.1120322931924846E-2"/>
                </c:manualLayout>
              </c:layout>
              <c:numFmt formatCode="General" sourceLinked="0"/>
            </c:trendlineLbl>
          </c:trendline>
          <c:xVal>
            <c:numRef>
              <c:f>'Previsiones demanda'!$C$33:$C$80</c:f>
              <c:numCache>
                <c:formatCode>General</c:formatCode>
                <c:ptCount val="4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</c:numCache>
            </c:numRef>
          </c:xVal>
          <c:yVal>
            <c:numRef>
              <c:f>'Previsiones demanda'!$D$33:$D$80</c:f>
              <c:numCache>
                <c:formatCode>General</c:formatCode>
                <c:ptCount val="48"/>
                <c:pt idx="0">
                  <c:v>73000</c:v>
                </c:pt>
                <c:pt idx="1">
                  <c:v>72000</c:v>
                </c:pt>
                <c:pt idx="2">
                  <c:v>73000</c:v>
                </c:pt>
                <c:pt idx="3">
                  <c:v>72000</c:v>
                </c:pt>
                <c:pt idx="4">
                  <c:v>71000</c:v>
                </c:pt>
                <c:pt idx="5">
                  <c:v>73000</c:v>
                </c:pt>
                <c:pt idx="6">
                  <c:v>77000</c:v>
                </c:pt>
                <c:pt idx="7">
                  <c:v>79000</c:v>
                </c:pt>
                <c:pt idx="8">
                  <c:v>81000</c:v>
                </c:pt>
                <c:pt idx="9">
                  <c:v>84000</c:v>
                </c:pt>
                <c:pt idx="10">
                  <c:v>83000</c:v>
                </c:pt>
                <c:pt idx="11">
                  <c:v>82000</c:v>
                </c:pt>
                <c:pt idx="12">
                  <c:v>79000</c:v>
                </c:pt>
                <c:pt idx="13">
                  <c:v>76000</c:v>
                </c:pt>
                <c:pt idx="14">
                  <c:v>73000</c:v>
                </c:pt>
                <c:pt idx="15">
                  <c:v>72000</c:v>
                </c:pt>
                <c:pt idx="16">
                  <c:v>75000</c:v>
                </c:pt>
                <c:pt idx="17">
                  <c:v>77000</c:v>
                </c:pt>
                <c:pt idx="18">
                  <c:v>79000</c:v>
                </c:pt>
                <c:pt idx="19">
                  <c:v>81000</c:v>
                </c:pt>
                <c:pt idx="20">
                  <c:v>83000</c:v>
                </c:pt>
                <c:pt idx="21">
                  <c:v>85000</c:v>
                </c:pt>
                <c:pt idx="22">
                  <c:v>85000</c:v>
                </c:pt>
                <c:pt idx="23">
                  <c:v>87000</c:v>
                </c:pt>
                <c:pt idx="24">
                  <c:v>91000</c:v>
                </c:pt>
                <c:pt idx="25">
                  <c:v>87000</c:v>
                </c:pt>
                <c:pt idx="26">
                  <c:v>85000</c:v>
                </c:pt>
                <c:pt idx="27">
                  <c:v>86000</c:v>
                </c:pt>
                <c:pt idx="28">
                  <c:v>86500</c:v>
                </c:pt>
                <c:pt idx="29">
                  <c:v>87500</c:v>
                </c:pt>
                <c:pt idx="30">
                  <c:v>88000</c:v>
                </c:pt>
                <c:pt idx="31">
                  <c:v>92000</c:v>
                </c:pt>
                <c:pt idx="32">
                  <c:v>90000</c:v>
                </c:pt>
                <c:pt idx="33">
                  <c:v>88000</c:v>
                </c:pt>
                <c:pt idx="34">
                  <c:v>87000</c:v>
                </c:pt>
                <c:pt idx="35">
                  <c:v>93000</c:v>
                </c:pt>
                <c:pt idx="36">
                  <c:v>95000</c:v>
                </c:pt>
                <c:pt idx="37">
                  <c:v>91000</c:v>
                </c:pt>
                <c:pt idx="38">
                  <c:v>90000</c:v>
                </c:pt>
                <c:pt idx="39">
                  <c:v>91000</c:v>
                </c:pt>
                <c:pt idx="40">
                  <c:v>89000</c:v>
                </c:pt>
                <c:pt idx="41">
                  <c:v>89000</c:v>
                </c:pt>
                <c:pt idx="42">
                  <c:v>92000</c:v>
                </c:pt>
                <c:pt idx="43">
                  <c:v>96000</c:v>
                </c:pt>
                <c:pt idx="44">
                  <c:v>93000</c:v>
                </c:pt>
                <c:pt idx="45">
                  <c:v>92000</c:v>
                </c:pt>
                <c:pt idx="46">
                  <c:v>96000</c:v>
                </c:pt>
                <c:pt idx="47">
                  <c:v>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37-48A1-8EF8-E61CF8847744}"/>
            </c:ext>
          </c:extLst>
        </c:ser>
        <c:ser>
          <c:idx val="4"/>
          <c:order val="4"/>
          <c:tx>
            <c:strRef>
              <c:f>'Previsiones demanda'!$H$20</c:f>
              <c:strCache>
                <c:ptCount val="1"/>
                <c:pt idx="0">
                  <c:v>Forecast</c:v>
                </c:pt>
              </c:strCache>
            </c:strRef>
          </c:tx>
          <c:xVal>
            <c:numRef>
              <c:f>'Previsiones demanda'!$C$21:$C$92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'Previsiones demanda'!$H$21:$H$92</c:f>
              <c:numCache>
                <c:formatCode>0</c:formatCode>
                <c:ptCount val="72"/>
                <c:pt idx="0">
                  <c:v>24701.588095033738</c:v>
                </c:pt>
                <c:pt idx="1">
                  <c:v>29250.861764573645</c:v>
                </c:pt>
                <c:pt idx="2">
                  <c:v>33800.135434113552</c:v>
                </c:pt>
                <c:pt idx="3">
                  <c:v>38349.409103653466</c:v>
                </c:pt>
                <c:pt idx="4">
                  <c:v>42898.682773193381</c:v>
                </c:pt>
                <c:pt idx="5">
                  <c:v>47447.956442733288</c:v>
                </c:pt>
                <c:pt idx="6">
                  <c:v>51997.230112273202</c:v>
                </c:pt>
                <c:pt idx="7">
                  <c:v>56546.50378181311</c:v>
                </c:pt>
                <c:pt idx="8">
                  <c:v>61095.777451353017</c:v>
                </c:pt>
                <c:pt idx="9">
                  <c:v>65645.051120892938</c:v>
                </c:pt>
                <c:pt idx="10">
                  <c:v>70194.324790432845</c:v>
                </c:pt>
                <c:pt idx="11">
                  <c:v>74743.598459972753</c:v>
                </c:pt>
                <c:pt idx="12">
                  <c:v>73641.340965155759</c:v>
                </c:pt>
                <c:pt idx="13">
                  <c:v>74144.891478736681</c:v>
                </c:pt>
                <c:pt idx="14">
                  <c:v>74321.85180566911</c:v>
                </c:pt>
                <c:pt idx="15">
                  <c:v>73549.868331194884</c:v>
                </c:pt>
                <c:pt idx="16">
                  <c:v>73123.690702507709</c:v>
                </c:pt>
                <c:pt idx="17">
                  <c:v>73964.480115649392</c:v>
                </c:pt>
                <c:pt idx="18">
                  <c:v>75644.465586234757</c:v>
                </c:pt>
                <c:pt idx="19">
                  <c:v>77587.852231778132</c:v>
                </c:pt>
                <c:pt idx="20">
                  <c:v>77907.433930262574</c:v>
                </c:pt>
                <c:pt idx="21">
                  <c:v>78601.134161842943</c:v>
                </c:pt>
                <c:pt idx="22">
                  <c:v>78875.207485450243</c:v>
                </c:pt>
                <c:pt idx="23">
                  <c:v>79958.350276111218</c:v>
                </c:pt>
                <c:pt idx="24">
                  <c:v>79103.380352411012</c:v>
                </c:pt>
                <c:pt idx="25">
                  <c:v>80187.497641707872</c:v>
                </c:pt>
                <c:pt idx="26">
                  <c:v>80338.021303360525</c:v>
                </c:pt>
                <c:pt idx="27">
                  <c:v>79463.655482332833</c:v>
                </c:pt>
                <c:pt idx="28">
                  <c:v>78964.077889794222</c:v>
                </c:pt>
                <c:pt idx="29">
                  <c:v>79832.961509716522</c:v>
                </c:pt>
                <c:pt idx="30">
                  <c:v>81606.818171777617</c:v>
                </c:pt>
                <c:pt idx="31">
                  <c:v>83663.476885026423</c:v>
                </c:pt>
                <c:pt idx="32">
                  <c:v>83968.531980229745</c:v>
                </c:pt>
                <c:pt idx="33">
                  <c:v>84676.811209025385</c:v>
                </c:pt>
                <c:pt idx="34">
                  <c:v>84933.048368466611</c:v>
                </c:pt>
                <c:pt idx="35">
                  <c:v>86060.325522730272</c:v>
                </c:pt>
                <c:pt idx="36">
                  <c:v>85101.960880315237</c:v>
                </c:pt>
                <c:pt idx="37">
                  <c:v>86230.103804679064</c:v>
                </c:pt>
                <c:pt idx="38">
                  <c:v>86354.190801051926</c:v>
                </c:pt>
                <c:pt idx="39">
                  <c:v>85377.442633470782</c:v>
                </c:pt>
                <c:pt idx="40">
                  <c:v>84804.465077080749</c:v>
                </c:pt>
                <c:pt idx="41">
                  <c:v>85701.442903783653</c:v>
                </c:pt>
                <c:pt idx="42">
                  <c:v>87569.170757320477</c:v>
                </c:pt>
                <c:pt idx="43">
                  <c:v>89739.101538274714</c:v>
                </c:pt>
                <c:pt idx="44">
                  <c:v>90029.630030196917</c:v>
                </c:pt>
                <c:pt idx="45">
                  <c:v>90752.488256207813</c:v>
                </c:pt>
                <c:pt idx="46">
                  <c:v>90990.889251482979</c:v>
                </c:pt>
                <c:pt idx="47">
                  <c:v>92162.300769349327</c:v>
                </c:pt>
                <c:pt idx="48">
                  <c:v>91100.541408219491</c:v>
                </c:pt>
                <c:pt idx="49">
                  <c:v>92272.709967650255</c:v>
                </c:pt>
                <c:pt idx="50">
                  <c:v>92370.360298743355</c:v>
                </c:pt>
                <c:pt idx="51">
                  <c:v>91291.229784608717</c:v>
                </c:pt>
                <c:pt idx="52">
                  <c:v>90644.852264367277</c:v>
                </c:pt>
                <c:pt idx="53">
                  <c:v>91569.924297850783</c:v>
                </c:pt>
                <c:pt idx="54">
                  <c:v>93531.523342863351</c:v>
                </c:pt>
                <c:pt idx="55">
                  <c:v>95814.726191523005</c:v>
                </c:pt>
                <c:pt idx="56">
                  <c:v>96090.728080164088</c:v>
                </c:pt>
                <c:pt idx="57">
                  <c:v>96828.16530339024</c:v>
                </c:pt>
                <c:pt idx="58">
                  <c:v>97048.730134499361</c:v>
                </c:pt>
                <c:pt idx="59">
                  <c:v>98264.276015968368</c:v>
                </c:pt>
                <c:pt idx="60">
                  <c:v>97099.121936123731</c:v>
                </c:pt>
                <c:pt idx="61">
                  <c:v>98315.316130621446</c:v>
                </c:pt>
                <c:pt idx="62">
                  <c:v>98386.529796434756</c:v>
                </c:pt>
                <c:pt idx="63">
                  <c:v>97205.016935746666</c:v>
                </c:pt>
                <c:pt idx="64">
                  <c:v>96485.239451653804</c:v>
                </c:pt>
                <c:pt idx="65">
                  <c:v>97438.405691917913</c:v>
                </c:pt>
                <c:pt idx="66">
                  <c:v>99493.875928406211</c:v>
                </c:pt>
                <c:pt idx="67">
                  <c:v>101890.3508447713</c:v>
                </c:pt>
                <c:pt idx="68">
                  <c:v>102151.82613013126</c:v>
                </c:pt>
                <c:pt idx="69">
                  <c:v>102903.84235057267</c:v>
                </c:pt>
                <c:pt idx="70">
                  <c:v>103106.57101751573</c:v>
                </c:pt>
                <c:pt idx="71">
                  <c:v>104366.25126258742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37-48A1-8EF8-E61CF8847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2032"/>
        <c:axId val="135619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'[1]Previsión Centro'!$E$20</c15:sqref>
                        </c15:formulaRef>
                      </c:ext>
                    </c:extLst>
                    <c:strCache>
                      <c:ptCount val="1"/>
                      <c:pt idx="0">
                        <c:v>Deseasonalized Demand Dt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'[1]Previsión Centro'!$C$24:$C$74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'[1]Previsión Centro'!$E$24:$E$74</c15:sqref>
                        </c15:formulaRef>
                      </c:ext>
                    </c:extLst>
                    <c:numCache>
                      <c:formatCode>0</c:formatCode>
                      <c:ptCount val="51"/>
                      <c:pt idx="0">
                        <c:v>39750</c:v>
                      </c:pt>
                      <c:pt idx="1">
                        <c:v>45375</c:v>
                      </c:pt>
                      <c:pt idx="2">
                        <c:v>49333.333333333336</c:v>
                      </c:pt>
                      <c:pt idx="3">
                        <c:v>53333.333333333336</c:v>
                      </c:pt>
                      <c:pt idx="4">
                        <c:v>57583.333333333336</c:v>
                      </c:pt>
                      <c:pt idx="5">
                        <c:v>61666.666666666664</c:v>
                      </c:pt>
                      <c:pt idx="6">
                        <c:v>65250</c:v>
                      </c:pt>
                      <c:pt idx="7">
                        <c:v>68208.333333333328</c:v>
                      </c:pt>
                      <c:pt idx="8">
                        <c:v>70416.666666666672</c:v>
                      </c:pt>
                      <c:pt idx="9">
                        <c:v>71750</c:v>
                      </c:pt>
                      <c:pt idx="10">
                        <c:v>72166.666666666672</c:v>
                      </c:pt>
                      <c:pt idx="11">
                        <c:v>72250</c:v>
                      </c:pt>
                      <c:pt idx="12">
                        <c:v>72666.666666666672</c:v>
                      </c:pt>
                      <c:pt idx="13">
                        <c:v>73583.333333333328</c:v>
                      </c:pt>
                      <c:pt idx="14">
                        <c:v>74833.333333333328</c:v>
                      </c:pt>
                      <c:pt idx="15">
                        <c:v>76916.666666666672</c:v>
                      </c:pt>
                      <c:pt idx="16">
                        <c:v>77333.333333333328</c:v>
                      </c:pt>
                      <c:pt idx="17">
                        <c:v>77500</c:v>
                      </c:pt>
                      <c:pt idx="18">
                        <c:v>77500</c:v>
                      </c:pt>
                      <c:pt idx="19">
                        <c:v>77666.666666666672</c:v>
                      </c:pt>
                      <c:pt idx="20">
                        <c:v>78000</c:v>
                      </c:pt>
                      <c:pt idx="21">
                        <c:v>78250</c:v>
                      </c:pt>
                      <c:pt idx="22">
                        <c:v>78416.666666666672</c:v>
                      </c:pt>
                      <c:pt idx="23">
                        <c:v>78583.333333333328</c:v>
                      </c:pt>
                      <c:pt idx="24">
                        <c:v>78708.333333333328</c:v>
                      </c:pt>
                      <c:pt idx="25">
                        <c:v>78833.333333333328</c:v>
                      </c:pt>
                      <c:pt idx="26">
                        <c:v>79125</c:v>
                      </c:pt>
                      <c:pt idx="27">
                        <c:v>79833.333333333328</c:v>
                      </c:pt>
                      <c:pt idx="28">
                        <c:v>80791.666666666672</c:v>
                      </c:pt>
                      <c:pt idx="29">
                        <c:v>81750</c:v>
                      </c:pt>
                      <c:pt idx="30">
                        <c:v>82833.333333333328</c:v>
                      </c:pt>
                      <c:pt idx="31">
                        <c:v>83895.833333333328</c:v>
                      </c:pt>
                      <c:pt idx="32">
                        <c:v>84812.5</c:v>
                      </c:pt>
                      <c:pt idx="33">
                        <c:v>85625</c:v>
                      </c:pt>
                      <c:pt idx="34">
                        <c:v>86458.333333333328</c:v>
                      </c:pt>
                      <c:pt idx="35">
                        <c:v>87208.333333333328</c:v>
                      </c:pt>
                      <c:pt idx="36">
                        <c:v>87625</c:v>
                      </c:pt>
                      <c:pt idx="37">
                        <c:v>87833.333333333328</c:v>
                      </c:pt>
                      <c:pt idx="38">
                        <c:v>88166.666666666672</c:v>
                      </c:pt>
                      <c:pt idx="39">
                        <c:v>88583.333333333328</c:v>
                      </c:pt>
                      <c:pt idx="40">
                        <c:v>88916.666666666672</c:v>
                      </c:pt>
                      <c:pt idx="41">
                        <c:v>89291.666666666672</c:v>
                      </c:pt>
                      <c:pt idx="42">
                        <c:v>89708.333333333328</c:v>
                      </c:pt>
                      <c:pt idx="43">
                        <c:v>90020.833333333328</c:v>
                      </c:pt>
                      <c:pt idx="44">
                        <c:v>90187.5</c:v>
                      </c:pt>
                      <c:pt idx="45">
                        <c:v>90416.666666666672</c:v>
                      </c:pt>
                      <c:pt idx="46">
                        <c:v>90750</c:v>
                      </c:pt>
                      <c:pt idx="47">
                        <c:v>91041.666666666672</c:v>
                      </c:pt>
                      <c:pt idx="48">
                        <c:v>91333.333333333328</c:v>
                      </c:pt>
                      <c:pt idx="49">
                        <c:v>91875</c:v>
                      </c:pt>
                      <c:pt idx="50">
                        <c:v>92500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737-48A1-8EF8-E61CF8847744}"/>
                  </c:ext>
                </c:extLst>
              </c15:ser>
            </c15:filteredScatterSeries>
          </c:ext>
        </c:extLst>
      </c:scatterChart>
      <c:valAx>
        <c:axId val="1357720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Meses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19328"/>
        <c:crosses val="autoZero"/>
        <c:crossBetween val="midCat"/>
      </c:valAx>
      <c:valAx>
        <c:axId val="135619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Demanda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7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354806</xdr:colOff>
      <xdr:row>1</xdr:row>
      <xdr:rowOff>521494</xdr:rowOff>
    </xdr:from>
    <xdr:to>
      <xdr:col>14</xdr:col>
      <xdr:colOff>440048</xdr:colOff>
      <xdr:row>6</xdr:row>
      <xdr:rowOff>258608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6E04CF-AB80-4F66-9172-513A50F46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3556" y="711994"/>
          <a:ext cx="2371242" cy="1844520"/>
        </a:xfrm>
        <a:prstGeom prst="rect">
          <a:avLst/>
        </a:prstGeom>
      </xdr:spPr>
    </xdr:pic>
    <xdr:clientData/>
  </xdr:twoCellAnchor>
  <xdr:twoCellAnchor editAs="oneCell">
    <xdr:from>
      <xdr:col>41</xdr:col>
      <xdr:colOff>702469</xdr:colOff>
      <xdr:row>1</xdr:row>
      <xdr:rowOff>0</xdr:rowOff>
    </xdr:from>
    <xdr:to>
      <xdr:col>52</xdr:col>
      <xdr:colOff>6183</xdr:colOff>
      <xdr:row>8</xdr:row>
      <xdr:rowOff>932875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A44C75-FF38-4075-B9E1-1AEDCF85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0" y="190500"/>
          <a:ext cx="7685714" cy="46000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10</xdr:row>
      <xdr:rowOff>0</xdr:rowOff>
    </xdr:from>
    <xdr:to>
      <xdr:col>51</xdr:col>
      <xdr:colOff>761048</xdr:colOff>
      <xdr:row>23</xdr:row>
      <xdr:rowOff>51017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1EB042-14E9-4C9C-A6C0-D93DCE09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49281" y="5369719"/>
          <a:ext cx="7619048" cy="4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309563</xdr:colOff>
      <xdr:row>25</xdr:row>
      <xdr:rowOff>31750</xdr:rowOff>
    </xdr:from>
    <xdr:to>
      <xdr:col>10</xdr:col>
      <xdr:colOff>719840</xdr:colOff>
      <xdr:row>56</xdr:row>
      <xdr:rowOff>183250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71DC1DB-8CE8-4395-86E8-F6E7D564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0876" y="10548938"/>
          <a:ext cx="7085714" cy="7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57</xdr:row>
      <xdr:rowOff>127000</xdr:rowOff>
    </xdr:from>
    <xdr:to>
      <xdr:col>11</xdr:col>
      <xdr:colOff>15875</xdr:colOff>
      <xdr:row>102</xdr:row>
      <xdr:rowOff>11606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2CD3CE7-87C7-4858-913B-D60E71EC0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2125" y="17891125"/>
          <a:ext cx="7302500" cy="8457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607219</xdr:colOff>
      <xdr:row>1</xdr:row>
      <xdr:rowOff>95250</xdr:rowOff>
    </xdr:from>
    <xdr:to>
      <xdr:col>27</xdr:col>
      <xdr:colOff>720838</xdr:colOff>
      <xdr:row>21</xdr:row>
      <xdr:rowOff>123184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D1BB12-03C4-4729-9DF6-B8FAB8B3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6407" y="297656"/>
          <a:ext cx="5447619" cy="51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160868</xdr:colOff>
      <xdr:row>0</xdr:row>
      <xdr:rowOff>108477</xdr:rowOff>
    </xdr:from>
    <xdr:to>
      <xdr:col>23</xdr:col>
      <xdr:colOff>381001</xdr:colOff>
      <xdr:row>17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5475F-2958-48B1-B3DF-B98C43EAC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72</xdr:row>
      <xdr:rowOff>52387</xdr:rowOff>
    </xdr:from>
    <xdr:to>
      <xdr:col>26</xdr:col>
      <xdr:colOff>381000</xdr:colOff>
      <xdr:row>93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1850107-3B45-4A09-B670-73F72457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abilidad%20y%20previs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os%20macr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 macro"/>
      <sheetName val="Análisis económico"/>
      <sheetName val="Análisis competencia"/>
      <sheetName val="Inversión inicial + mensuales"/>
      <sheetName val="PRECIOS TANZANIA"/>
      <sheetName val="Base producto"/>
      <sheetName val="Cuentas anuales"/>
      <sheetName val="Resultados previsiones"/>
      <sheetName val="Potenciales clientes "/>
      <sheetName val="Previsión Centro"/>
      <sheetName val="Hoja1"/>
      <sheetName val="Hoja5"/>
      <sheetName val="Previsión Upanga East"/>
      <sheetName val="Previsión Oyster Bay"/>
      <sheetName val="Previsión Masaki"/>
      <sheetName val="Pasos a segu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D20" t="str">
            <v>Demand Dt</v>
          </cell>
          <cell r="E20" t="str">
            <v>Deseasonalized Demand Dt</v>
          </cell>
          <cell r="H20" t="str">
            <v>Forecast</v>
          </cell>
        </row>
        <row r="21">
          <cell r="B21" t="str">
            <v>JAN</v>
          </cell>
          <cell r="C21">
            <v>1</v>
          </cell>
          <cell r="D21">
            <v>10000</v>
          </cell>
          <cell r="H21">
            <v>40210.582482740851</v>
          </cell>
        </row>
        <row r="22">
          <cell r="B22" t="str">
            <v>FEB</v>
          </cell>
          <cell r="C22">
            <v>2</v>
          </cell>
          <cell r="D22">
            <v>32000</v>
          </cell>
          <cell r="H22">
            <v>50913.073676567372</v>
          </cell>
        </row>
        <row r="23">
          <cell r="B23" t="str">
            <v>MAR</v>
          </cell>
          <cell r="C23">
            <v>3</v>
          </cell>
          <cell r="D23">
            <v>39000</v>
          </cell>
          <cell r="H23">
            <v>62453.311605598377</v>
          </cell>
        </row>
        <row r="24">
          <cell r="B24" t="str">
            <v>APR</v>
          </cell>
          <cell r="C24">
            <v>4</v>
          </cell>
          <cell r="D24">
            <v>42000</v>
          </cell>
          <cell r="E24">
            <v>39750</v>
          </cell>
          <cell r="H24">
            <v>74421.129729587774</v>
          </cell>
        </row>
        <row r="25">
          <cell r="B25" t="str">
            <v>MAY</v>
          </cell>
          <cell r="C25">
            <v>5</v>
          </cell>
          <cell r="D25">
            <v>45000</v>
          </cell>
          <cell r="E25">
            <v>45375</v>
          </cell>
          <cell r="H25">
            <v>88230.186214151705</v>
          </cell>
        </row>
        <row r="26">
          <cell r="B26" t="str">
            <v>JUN</v>
          </cell>
          <cell r="C26">
            <v>6</v>
          </cell>
          <cell r="D26">
            <v>49000</v>
          </cell>
          <cell r="E26">
            <v>49333.333333333336</v>
          </cell>
          <cell r="H26">
            <v>95324.560313820926</v>
          </cell>
        </row>
        <row r="27">
          <cell r="B27" t="str">
            <v>JUL</v>
          </cell>
          <cell r="C27">
            <v>7</v>
          </cell>
          <cell r="D27">
            <v>53000</v>
          </cell>
          <cell r="E27">
            <v>53333.333333333336</v>
          </cell>
          <cell r="H27">
            <v>107888.41580991262</v>
          </cell>
        </row>
        <row r="28">
          <cell r="B28" t="str">
            <v>AUG</v>
          </cell>
          <cell r="C28">
            <v>8</v>
          </cell>
          <cell r="D28">
            <v>56499.999999999993</v>
          </cell>
          <cell r="E28">
            <v>57583.333333333336</v>
          </cell>
          <cell r="H28">
            <v>118952.43697932377</v>
          </cell>
        </row>
        <row r="29">
          <cell r="B29" t="str">
            <v>SEP</v>
          </cell>
          <cell r="C29">
            <v>9</v>
          </cell>
          <cell r="D29">
            <v>62000</v>
          </cell>
          <cell r="E29">
            <v>61666.666666666664</v>
          </cell>
          <cell r="H29">
            <v>123895.39733058414</v>
          </cell>
        </row>
        <row r="30">
          <cell r="B30" t="str">
            <v>OCT</v>
          </cell>
          <cell r="C30">
            <v>10</v>
          </cell>
          <cell r="D30">
            <v>67000</v>
          </cell>
          <cell r="E30">
            <v>65250</v>
          </cell>
          <cell r="H30">
            <v>130683.82212841892</v>
          </cell>
        </row>
        <row r="31">
          <cell r="B31" t="str">
            <v>NOV</v>
          </cell>
          <cell r="C31">
            <v>11</v>
          </cell>
          <cell r="D31">
            <v>71000</v>
          </cell>
          <cell r="E31">
            <v>68208.333333333328</v>
          </cell>
          <cell r="H31">
            <v>135073.17964001579</v>
          </cell>
        </row>
        <row r="32">
          <cell r="B32" t="str">
            <v>DEC</v>
          </cell>
          <cell r="C32">
            <v>12</v>
          </cell>
          <cell r="D32">
            <v>72000</v>
          </cell>
          <cell r="E32">
            <v>70416.666666666672</v>
          </cell>
          <cell r="H32">
            <v>144368.17931778653</v>
          </cell>
        </row>
        <row r="33">
          <cell r="B33" t="str">
            <v>JAN</v>
          </cell>
          <cell r="C33">
            <v>13</v>
          </cell>
          <cell r="D33">
            <v>73000</v>
          </cell>
          <cell r="E33">
            <v>71750</v>
          </cell>
          <cell r="H33">
            <v>173096.2589224804</v>
          </cell>
        </row>
        <row r="34">
          <cell r="B34" t="str">
            <v>FEB</v>
          </cell>
          <cell r="C34">
            <v>14</v>
          </cell>
          <cell r="D34">
            <v>72000</v>
          </cell>
          <cell r="E34">
            <v>72166.666666666672</v>
          </cell>
          <cell r="H34">
            <v>182836.61583998799</v>
          </cell>
        </row>
        <row r="35">
          <cell r="B35" t="str">
            <v>MAR</v>
          </cell>
          <cell r="C35">
            <v>15</v>
          </cell>
          <cell r="D35">
            <v>73000</v>
          </cell>
          <cell r="E35">
            <v>72250</v>
          </cell>
          <cell r="H35">
            <v>195541.68161010757</v>
          </cell>
        </row>
        <row r="36">
          <cell r="B36" t="str">
            <v>APR</v>
          </cell>
          <cell r="C36">
            <v>16</v>
          </cell>
          <cell r="D36">
            <v>72000</v>
          </cell>
          <cell r="E36">
            <v>72666.666666666672</v>
          </cell>
          <cell r="H36">
            <v>209096.77455788129</v>
          </cell>
        </row>
        <row r="37">
          <cell r="B37" t="str">
            <v>MAY</v>
          </cell>
          <cell r="C37">
            <v>17</v>
          </cell>
          <cell r="D37">
            <v>71000</v>
          </cell>
          <cell r="E37">
            <v>73583.333333333328</v>
          </cell>
          <cell r="H37">
            <v>226972.46038604289</v>
          </cell>
        </row>
        <row r="38">
          <cell r="B38" t="str">
            <v>JUN</v>
          </cell>
          <cell r="C38">
            <v>18</v>
          </cell>
          <cell r="D38">
            <v>73000</v>
          </cell>
          <cell r="E38">
            <v>74833.333333333328</v>
          </cell>
          <cell r="H38">
            <v>227855.63157906715</v>
          </cell>
        </row>
        <row r="39">
          <cell r="B39" t="str">
            <v>JUL</v>
          </cell>
          <cell r="C39">
            <v>19</v>
          </cell>
          <cell r="D39">
            <v>77000</v>
          </cell>
          <cell r="E39">
            <v>76916.666666666672</v>
          </cell>
          <cell r="H39">
            <v>242312.8442104655</v>
          </cell>
        </row>
        <row r="40">
          <cell r="B40" t="str">
            <v>AUG</v>
          </cell>
          <cell r="C40">
            <v>20</v>
          </cell>
          <cell r="D40">
            <v>79000</v>
          </cell>
          <cell r="E40">
            <v>77333.333333333328</v>
          </cell>
          <cell r="H40">
            <v>253221.08022534632</v>
          </cell>
        </row>
        <row r="41">
          <cell r="B41" t="str">
            <v>SEP</v>
          </cell>
          <cell r="C41">
            <v>21</v>
          </cell>
          <cell r="D41">
            <v>81000</v>
          </cell>
          <cell r="E41">
            <v>77500</v>
          </cell>
          <cell r="H41">
            <v>251719.86614112585</v>
          </cell>
        </row>
        <row r="42">
          <cell r="B42" t="str">
            <v>OCT</v>
          </cell>
          <cell r="C42">
            <v>22</v>
          </cell>
          <cell r="D42">
            <v>84000</v>
          </cell>
          <cell r="E42">
            <v>77500</v>
          </cell>
          <cell r="H42">
            <v>254837.7309124344</v>
          </cell>
        </row>
        <row r="43">
          <cell r="B43" t="str">
            <v>NOV</v>
          </cell>
          <cell r="C43">
            <v>23</v>
          </cell>
          <cell r="D43">
            <v>83000</v>
          </cell>
          <cell r="E43">
            <v>77666.666666666672</v>
          </cell>
          <cell r="H43">
            <v>253983.09568938572</v>
          </cell>
        </row>
        <row r="44">
          <cell r="B44" t="str">
            <v>DEC</v>
          </cell>
          <cell r="C44">
            <v>24</v>
          </cell>
          <cell r="D44">
            <v>82000</v>
          </cell>
          <cell r="E44">
            <v>78000</v>
          </cell>
          <cell r="H44">
            <v>262774.38082125474</v>
          </cell>
        </row>
        <row r="45">
          <cell r="B45" t="str">
            <v>JAN</v>
          </cell>
          <cell r="C45">
            <v>25</v>
          </cell>
          <cell r="D45">
            <v>79000</v>
          </cell>
          <cell r="E45">
            <v>78250</v>
          </cell>
          <cell r="H45">
            <v>305981.93536221993</v>
          </cell>
        </row>
        <row r="46">
          <cell r="B46" t="str">
            <v>FEB</v>
          </cell>
          <cell r="C46">
            <v>26</v>
          </cell>
          <cell r="D46">
            <v>76000</v>
          </cell>
          <cell r="E46">
            <v>78416.666666666672</v>
          </cell>
          <cell r="H46">
            <v>314760.15800340858</v>
          </cell>
        </row>
        <row r="47">
          <cell r="B47" t="str">
            <v>MAR</v>
          </cell>
          <cell r="C47">
            <v>27</v>
          </cell>
          <cell r="D47">
            <v>73000</v>
          </cell>
          <cell r="E47">
            <v>78583.333333333328</v>
          </cell>
          <cell r="H47">
            <v>328630.05161461682</v>
          </cell>
        </row>
        <row r="48">
          <cell r="B48" t="str">
            <v>APR</v>
          </cell>
          <cell r="C48">
            <v>28</v>
          </cell>
          <cell r="D48">
            <v>72000</v>
          </cell>
          <cell r="E48">
            <v>78708.333333333328</v>
          </cell>
          <cell r="H48">
            <v>343772.41938617482</v>
          </cell>
        </row>
        <row r="49">
          <cell r="B49" t="str">
            <v>MAY</v>
          </cell>
          <cell r="C49">
            <v>29</v>
          </cell>
          <cell r="D49">
            <v>75000</v>
          </cell>
          <cell r="E49">
            <v>78833.333333333328</v>
          </cell>
          <cell r="H49">
            <v>365714.73455793411</v>
          </cell>
        </row>
        <row r="50">
          <cell r="B50" t="str">
            <v>JUN</v>
          </cell>
          <cell r="C50">
            <v>30</v>
          </cell>
          <cell r="D50">
            <v>77000</v>
          </cell>
          <cell r="E50">
            <v>79125</v>
          </cell>
          <cell r="H50">
            <v>360386.70284431335</v>
          </cell>
        </row>
        <row r="51">
          <cell r="B51" t="str">
            <v>JUL</v>
          </cell>
          <cell r="C51">
            <v>31</v>
          </cell>
          <cell r="D51">
            <v>79000</v>
          </cell>
          <cell r="E51">
            <v>79833.333333333328</v>
          </cell>
          <cell r="H51">
            <v>376737.27261101839</v>
          </cell>
        </row>
        <row r="52">
          <cell r="B52" t="str">
            <v>AUG</v>
          </cell>
          <cell r="C52">
            <v>32</v>
          </cell>
          <cell r="D52">
            <v>81000</v>
          </cell>
          <cell r="E52">
            <v>80791.666666666672</v>
          </cell>
          <cell r="H52">
            <v>387489.72347136884</v>
          </cell>
        </row>
        <row r="53">
          <cell r="B53" t="str">
            <v>SEP</v>
          </cell>
          <cell r="C53">
            <v>33</v>
          </cell>
          <cell r="D53">
            <v>83000</v>
          </cell>
          <cell r="E53">
            <v>81750</v>
          </cell>
          <cell r="H53">
            <v>379544.33495166752</v>
          </cell>
        </row>
        <row r="54">
          <cell r="B54" t="str">
            <v>OCT</v>
          </cell>
          <cell r="C54">
            <v>34</v>
          </cell>
          <cell r="D54">
            <v>85000</v>
          </cell>
          <cell r="E54">
            <v>82833.333333333328</v>
          </cell>
          <cell r="H54">
            <v>378991.63969644991</v>
          </cell>
        </row>
        <row r="55">
          <cell r="B55" t="str">
            <v>NOV</v>
          </cell>
          <cell r="C55">
            <v>35</v>
          </cell>
          <cell r="D55">
            <v>85000</v>
          </cell>
          <cell r="E55">
            <v>83895.833333333328</v>
          </cell>
          <cell r="H55">
            <v>372893.01173875568</v>
          </cell>
        </row>
        <row r="56">
          <cell r="B56" t="str">
            <v>DEC</v>
          </cell>
          <cell r="C56">
            <v>36</v>
          </cell>
          <cell r="D56">
            <v>87000</v>
          </cell>
          <cell r="E56">
            <v>84812.5</v>
          </cell>
          <cell r="H56">
            <v>381180.5823247229</v>
          </cell>
        </row>
        <row r="57">
          <cell r="B57" t="str">
            <v>JAN</v>
          </cell>
          <cell r="C57">
            <v>37</v>
          </cell>
          <cell r="D57">
            <v>91000</v>
          </cell>
          <cell r="E57">
            <v>85625</v>
          </cell>
          <cell r="H57">
            <v>438867.61180195952</v>
          </cell>
        </row>
        <row r="58">
          <cell r="B58" t="str">
            <v>FEB</v>
          </cell>
          <cell r="C58">
            <v>38</v>
          </cell>
          <cell r="D58">
            <v>87000</v>
          </cell>
          <cell r="E58">
            <v>86458.333333333328</v>
          </cell>
          <cell r="H58">
            <v>446683.70016682916</v>
          </cell>
        </row>
        <row r="59">
          <cell r="B59" t="str">
            <v>MAR</v>
          </cell>
          <cell r="C59">
            <v>39</v>
          </cell>
          <cell r="D59">
            <v>85000</v>
          </cell>
          <cell r="E59">
            <v>87208.333333333328</v>
          </cell>
          <cell r="H59">
            <v>461718.42161912605</v>
          </cell>
        </row>
        <row r="60">
          <cell r="B60" t="str">
            <v>APR</v>
          </cell>
          <cell r="C60">
            <v>40</v>
          </cell>
          <cell r="D60">
            <v>86000</v>
          </cell>
          <cell r="E60">
            <v>87625</v>
          </cell>
          <cell r="H60">
            <v>478448.06421446835</v>
          </cell>
        </row>
        <row r="61">
          <cell r="B61" t="str">
            <v>MAY</v>
          </cell>
          <cell r="C61">
            <v>41</v>
          </cell>
          <cell r="D61">
            <v>86500</v>
          </cell>
          <cell r="E61">
            <v>87833.333333333328</v>
          </cell>
          <cell r="H61">
            <v>504457.00872982526</v>
          </cell>
        </row>
        <row r="62">
          <cell r="B62" t="str">
            <v>JUN</v>
          </cell>
          <cell r="C62">
            <v>42</v>
          </cell>
          <cell r="D62">
            <v>87500</v>
          </cell>
          <cell r="E62">
            <v>88166.666666666672</v>
          </cell>
          <cell r="H62">
            <v>492917.77410955966</v>
          </cell>
        </row>
        <row r="63">
          <cell r="B63" t="str">
            <v>JUL</v>
          </cell>
          <cell r="C63">
            <v>43</v>
          </cell>
          <cell r="D63">
            <v>88000</v>
          </cell>
          <cell r="E63">
            <v>88583.333333333328</v>
          </cell>
          <cell r="H63">
            <v>511161.70101157128</v>
          </cell>
        </row>
        <row r="64">
          <cell r="B64" t="str">
            <v>AUG</v>
          </cell>
          <cell r="C64">
            <v>44</v>
          </cell>
          <cell r="D64">
            <v>92000</v>
          </cell>
          <cell r="E64">
            <v>88916.666666666672</v>
          </cell>
          <cell r="H64">
            <v>521758.36671739141</v>
          </cell>
        </row>
        <row r="65">
          <cell r="B65" t="str">
            <v>SEP</v>
          </cell>
          <cell r="C65">
            <v>45</v>
          </cell>
          <cell r="D65">
            <v>90000</v>
          </cell>
          <cell r="E65">
            <v>89291.666666666672</v>
          </cell>
          <cell r="H65">
            <v>507368.80376220925</v>
          </cell>
        </row>
        <row r="66">
          <cell r="B66" t="str">
            <v>OCT</v>
          </cell>
          <cell r="C66">
            <v>46</v>
          </cell>
          <cell r="D66">
            <v>88000</v>
          </cell>
          <cell r="E66">
            <v>89708.333333333328</v>
          </cell>
          <cell r="H66">
            <v>503145.54848046537</v>
          </cell>
        </row>
        <row r="67">
          <cell r="B67" t="str">
            <v>NOV</v>
          </cell>
          <cell r="C67">
            <v>47</v>
          </cell>
          <cell r="D67">
            <v>87000</v>
          </cell>
          <cell r="E67">
            <v>90020.833333333328</v>
          </cell>
          <cell r="H67">
            <v>491802.92778812558</v>
          </cell>
        </row>
        <row r="68">
          <cell r="B68" t="str">
            <v>DEC</v>
          </cell>
          <cell r="C68">
            <v>48</v>
          </cell>
          <cell r="D68">
            <v>93000</v>
          </cell>
          <cell r="E68">
            <v>90187.5</v>
          </cell>
          <cell r="H68">
            <v>499586.78382819111</v>
          </cell>
        </row>
        <row r="69">
          <cell r="B69" t="str">
            <v>JAN</v>
          </cell>
          <cell r="C69">
            <v>49</v>
          </cell>
          <cell r="D69">
            <v>95000</v>
          </cell>
          <cell r="E69">
            <v>90416.666666666672</v>
          </cell>
          <cell r="H69">
            <v>571753.28824169899</v>
          </cell>
        </row>
        <row r="70">
          <cell r="B70" t="str">
            <v>FEB</v>
          </cell>
          <cell r="C70">
            <v>50</v>
          </cell>
          <cell r="D70">
            <v>91000</v>
          </cell>
          <cell r="E70">
            <v>90750</v>
          </cell>
          <cell r="H70">
            <v>578607.24233024986</v>
          </cell>
        </row>
        <row r="71">
          <cell r="B71" t="str">
            <v>MAR</v>
          </cell>
          <cell r="C71">
            <v>51</v>
          </cell>
          <cell r="D71">
            <v>90000</v>
          </cell>
          <cell r="E71">
            <v>91041.666666666672</v>
          </cell>
          <cell r="H71">
            <v>594806.79162363522</v>
          </cell>
        </row>
        <row r="72">
          <cell r="B72" t="str">
            <v>APR</v>
          </cell>
          <cell r="C72">
            <v>52</v>
          </cell>
          <cell r="D72">
            <v>91000</v>
          </cell>
          <cell r="E72">
            <v>91333.333333333328</v>
          </cell>
          <cell r="H72">
            <v>613123.70904276182</v>
          </cell>
        </row>
        <row r="73">
          <cell r="B73" t="str">
            <v>MAY</v>
          </cell>
          <cell r="C73">
            <v>53</v>
          </cell>
          <cell r="D73">
            <v>89000</v>
          </cell>
          <cell r="E73">
            <v>91875</v>
          </cell>
          <cell r="H73">
            <v>643199.28290171642</v>
          </cell>
        </row>
        <row r="74">
          <cell r="B74" t="str">
            <v>JUN</v>
          </cell>
          <cell r="C74">
            <v>54</v>
          </cell>
          <cell r="D74">
            <v>89000</v>
          </cell>
          <cell r="E74">
            <v>92500</v>
          </cell>
          <cell r="H74">
            <v>625448.84537480585</v>
          </cell>
        </row>
        <row r="75">
          <cell r="B75" t="str">
            <v>JUL</v>
          </cell>
          <cell r="C75">
            <v>55</v>
          </cell>
          <cell r="D75">
            <v>92000</v>
          </cell>
          <cell r="H75">
            <v>645586.12941212417</v>
          </cell>
        </row>
        <row r="76">
          <cell r="B76" t="str">
            <v>AUG</v>
          </cell>
          <cell r="C76">
            <v>56</v>
          </cell>
          <cell r="D76">
            <v>96000</v>
          </cell>
          <cell r="H76">
            <v>656027.00996341405</v>
          </cell>
        </row>
        <row r="77">
          <cell r="B77" t="str">
            <v>SEP</v>
          </cell>
          <cell r="C77">
            <v>57</v>
          </cell>
          <cell r="D77">
            <v>93000</v>
          </cell>
          <cell r="H77">
            <v>635193.27257275092</v>
          </cell>
        </row>
        <row r="78">
          <cell r="B78" t="str">
            <v>OCT</v>
          </cell>
          <cell r="C78">
            <v>58</v>
          </cell>
          <cell r="D78">
            <v>92000</v>
          </cell>
          <cell r="H78">
            <v>627299.457264481</v>
          </cell>
        </row>
        <row r="79">
          <cell r="B79" t="str">
            <v>NOV</v>
          </cell>
          <cell r="C79">
            <v>59</v>
          </cell>
          <cell r="D79">
            <v>96000</v>
          </cell>
          <cell r="H79">
            <v>610712.84383749566</v>
          </cell>
        </row>
        <row r="80">
          <cell r="B80" t="str">
            <v>DEC</v>
          </cell>
          <cell r="C80">
            <v>60</v>
          </cell>
          <cell r="D80">
            <v>99000</v>
          </cell>
          <cell r="H80">
            <v>617992.98533165932</v>
          </cell>
        </row>
        <row r="81">
          <cell r="H81">
            <v>704638.96468143864</v>
          </cell>
        </row>
        <row r="82">
          <cell r="H82">
            <v>710530.78449367045</v>
          </cell>
        </row>
        <row r="83">
          <cell r="H83">
            <v>727895.16162814456</v>
          </cell>
        </row>
        <row r="84">
          <cell r="H84">
            <v>747799.35387105541</v>
          </cell>
        </row>
        <row r="85">
          <cell r="H85">
            <v>781941.55707360758</v>
          </cell>
        </row>
        <row r="86">
          <cell r="H86">
            <v>757979.91664005222</v>
          </cell>
        </row>
        <row r="87">
          <cell r="H87">
            <v>780010.55781267723</v>
          </cell>
        </row>
        <row r="88">
          <cell r="H88">
            <v>790295.65320943668</v>
          </cell>
        </row>
        <row r="89">
          <cell r="H89">
            <v>763017.74138329271</v>
          </cell>
        </row>
        <row r="90">
          <cell r="H90">
            <v>751453.36604849633</v>
          </cell>
        </row>
        <row r="91">
          <cell r="H91">
            <v>729622.75988686562</v>
          </cell>
        </row>
        <row r="92">
          <cell r="H92">
            <v>736399.18683512753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macr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s Núñez Marcos" id="{3B1E6477-5863-46AB-8FFC-A00061A5E8CD}" userId="S::201306004@alu.comillas.edu::4150d686-4f3a-4324-bdc3-6ca8d9ddf6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NUEZ" refreshedDate="44438.830668171293" createdVersion="6" refreshedVersion="6" minRefreshableVersion="3" recordCount="60" xr:uid="{F5B27284-9110-4C78-942D-701C953DB386}">
  <cacheSource type="worksheet">
    <worksheetSource ref="B20:H80" sheet="Previsiones demanda"/>
  </cacheSource>
  <cacheFields count="7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eriod" numFmtId="0">
      <sharedItems containsSemiMixedTypes="0" containsString="0" containsNumber="1" containsInteger="1" minValue="1" maxValue="60"/>
    </cacheField>
    <cacheField name="Demand Dt" numFmtId="0">
      <sharedItems containsSemiMixedTypes="0" containsString="0" containsNumber="1" minValue="22000" maxValue="99000"/>
    </cacheField>
    <cacheField name="Deseasonalized Demand Dt" numFmtId="1">
      <sharedItems containsString="0" containsBlank="1" containsNumber="1" minValue="40750" maxValue="92500"/>
    </cacheField>
    <cacheField name=" Dt (based on regression)" numFmtId="1">
      <sharedItems containsSemiMixedTypes="0" containsString="0" containsNumber="1" minValue="24538.461538461546" maxValue="95961.309523809527"/>
    </cacheField>
    <cacheField name="Seasonal Factor St" numFmtId="2">
      <sharedItems containsSemiMixedTypes="0" containsString="0" containsNumber="1" minValue="0.1500081216403244" maxValue="1.1615120274914088" count="73">
        <n v="0.89655172413793072"/>
        <n v="1.1012574454003969"/>
        <n v="1.1615120274914088"/>
        <n v="1.1024734982332154"/>
        <n v="1.0559566787003607"/>
        <n v="1.0395756833945327"/>
        <n v="1.0260610573343261"/>
        <n v="1.0058199246833275"/>
        <n v="1.0215462610899875"/>
        <n v="1.0274255381893245"/>
        <n v="1.0182018753447324"/>
        <n v="0.96969696969696972"/>
        <n v="1.0052047047252164"/>
        <n v="0.98470150837151826"/>
        <n v="0.99164323359979223"/>
        <n v="0.97150566528790405"/>
        <n v="0.95163616148156327"/>
        <n v="0.97197352235179257"/>
        <n v="1.0184982146731005"/>
        <n v="1.0381338408192782"/>
        <n v="1.0575148625600725"/>
        <n v="1.0896178409347599"/>
        <n v="1.0697554084130234"/>
        <n v="1.0501456075659168"/>
        <n v="1.0053322008685275"/>
        <n v="0.96108162041267053"/>
        <n v="0.91738332928813859"/>
        <n v="0.89920496774555814"/>
        <n v="0.93089861897841664"/>
        <n v="0.94986802441255436"/>
        <n v="0.96860643958127435"/>
        <n v="0.98711805810108466"/>
        <n v="1.0054069726859285"/>
        <n v="1.0234771781638072"/>
        <n v="1.0173938945148864"/>
        <n v="1.0351797337729514"/>
        <n v="1.0764140803187885"/>
        <n v="1.0230896338289535"/>
        <n v="0.99376711563077691"/>
        <n v="0.99965478686953524"/>
        <n v="0.999696287313665"/>
        <n v="1.0054829308757773"/>
        <n v="1.0054908918050485"/>
        <n v="1.0452642507027237"/>
        <n v="1.0168043720413138"/>
        <n v="0.98866204763263243"/>
        <n v="0.97200445710040861"/>
        <n v="1.0333064333994457"/>
        <n v="1.0497362434830553"/>
        <n v="1.0000494084555265"/>
        <n v="0.98369165369524558"/>
        <n v="0.98925231553984516"/>
        <n v="0.96231565729356583"/>
        <n v="0.95717629560417028"/>
        <n v="0.98418451020890629"/>
        <n v="1.0215484217881705"/>
        <n v="0.98442316650970729"/>
        <n v="0.96874585343963637"/>
        <n v="1.0056070030160937"/>
        <n v="1.03166578792296"/>
        <n v="0.761029100877891" u="1"/>
        <n v="0.87774310408353728" u="1"/>
        <n v="0.57644368777651644" u="1"/>
        <n v="0.65550483299219364" u="1"/>
        <n v="0.1500081216403244" u="1"/>
        <n v="0.77429467084639469" u="1"/>
        <n v="0.70864588494193437" u="1"/>
        <n v="0.80554188782064884" u="1"/>
        <n v="0.94190707731805967" u="1"/>
        <n v="0.99122054027580475" u="1"/>
        <n v="0.4764766614651349" u="1"/>
        <n v="0.99826076268321928" u="1"/>
        <n v="0.61626229130449739" u="1"/>
      </sharedItems>
    </cacheField>
    <cacheField name="Forecast" numFmtId="1">
      <sharedItems containsSemiMixedTypes="0" containsString="0" containsNumber="1" minValue="24101.588095033741" maxValue="98264.276015968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"/>
    <n v="22000"/>
    <m/>
    <n v="24538.461538461546"/>
    <x v="0"/>
    <n v="24101.588095033741"/>
  </r>
  <r>
    <x v="1"/>
    <n v="2"/>
    <n v="32000"/>
    <m/>
    <n v="29057.692307692312"/>
    <x v="1"/>
    <n v="28540.360197175527"/>
  </r>
  <r>
    <x v="2"/>
    <n v="3"/>
    <n v="39000"/>
    <m/>
    <n v="33576.923076923078"/>
    <x v="2"/>
    <n v="32979.132299317316"/>
  </r>
  <r>
    <x v="3"/>
    <n v="4"/>
    <n v="42000"/>
    <n v="40750"/>
    <n v="38096.153846153851"/>
    <x v="3"/>
    <n v="37417.904401459113"/>
  </r>
  <r>
    <x v="4"/>
    <n v="5"/>
    <n v="45000"/>
    <n v="45375"/>
    <n v="42615.384615384624"/>
    <x v="4"/>
    <n v="41856.676503600909"/>
  </r>
  <r>
    <x v="5"/>
    <n v="6"/>
    <n v="49000"/>
    <n v="49333.333333333336"/>
    <n v="47134.61538461539"/>
    <x v="5"/>
    <n v="46295.448605742698"/>
  </r>
  <r>
    <x v="6"/>
    <n v="7"/>
    <n v="53000"/>
    <n v="53333.333333333336"/>
    <n v="51653.846153846156"/>
    <x v="6"/>
    <n v="50734.220707884488"/>
  </r>
  <r>
    <x v="7"/>
    <n v="8"/>
    <n v="56499.999999999993"/>
    <n v="57583.333333333336"/>
    <n v="56173.076923076922"/>
    <x v="7"/>
    <n v="55172.992810026277"/>
  </r>
  <r>
    <x v="8"/>
    <n v="9"/>
    <n v="62000"/>
    <n v="61666.666666666664"/>
    <n v="60692.307692307688"/>
    <x v="8"/>
    <n v="59611.764912168066"/>
  </r>
  <r>
    <x v="9"/>
    <n v="10"/>
    <n v="67000"/>
    <n v="65250"/>
    <n v="65211.538461538468"/>
    <x v="9"/>
    <n v="64050.53701430987"/>
  </r>
  <r>
    <x v="10"/>
    <n v="11"/>
    <n v="71000"/>
    <n v="68208.333333333328"/>
    <n v="69730.769230769234"/>
    <x v="10"/>
    <n v="68489.309116451652"/>
  </r>
  <r>
    <x v="11"/>
    <n v="12"/>
    <n v="72000"/>
    <n v="70416.666666666672"/>
    <n v="74250"/>
    <x v="11"/>
    <n v="72928.081218593448"/>
  </r>
  <r>
    <x v="0"/>
    <n v="13"/>
    <n v="73000"/>
    <n v="71750"/>
    <n v="72622.023809523802"/>
    <x v="12"/>
    <n v="73641.340965155759"/>
  </r>
  <r>
    <x v="1"/>
    <n v="14"/>
    <n v="72000"/>
    <n v="72166.666666666672"/>
    <n v="73118.604356636264"/>
    <x v="13"/>
    <n v="74144.891478736681"/>
  </r>
  <r>
    <x v="2"/>
    <n v="15"/>
    <n v="73000"/>
    <n v="72250"/>
    <n v="73615.184903748726"/>
    <x v="14"/>
    <n v="74321.85180566911"/>
  </r>
  <r>
    <x v="3"/>
    <n v="16"/>
    <n v="72000"/>
    <n v="72666.666666666672"/>
    <n v="74111.765450861189"/>
    <x v="15"/>
    <n v="73549.868331194884"/>
  </r>
  <r>
    <x v="4"/>
    <n v="17"/>
    <n v="71000"/>
    <n v="73583.333333333328"/>
    <n v="74608.345997973651"/>
    <x v="16"/>
    <n v="73123.690702507709"/>
  </r>
  <r>
    <x v="5"/>
    <n v="18"/>
    <n v="73000"/>
    <n v="74833.333333333328"/>
    <n v="75104.926545086113"/>
    <x v="17"/>
    <n v="73964.480115649392"/>
  </r>
  <r>
    <x v="6"/>
    <n v="19"/>
    <n v="77000"/>
    <n v="76916.666666666672"/>
    <n v="75601.507092198575"/>
    <x v="18"/>
    <n v="75644.465586234757"/>
  </r>
  <r>
    <x v="7"/>
    <n v="20"/>
    <n v="79000"/>
    <n v="77333.333333333328"/>
    <n v="76098.087639311037"/>
    <x v="19"/>
    <n v="77587.852231778132"/>
  </r>
  <r>
    <x v="8"/>
    <n v="21"/>
    <n v="81000"/>
    <n v="77500"/>
    <n v="76594.6681864235"/>
    <x v="20"/>
    <n v="77907.433930262574"/>
  </r>
  <r>
    <x v="9"/>
    <n v="22"/>
    <n v="84000"/>
    <n v="77500"/>
    <n v="77091.248733535962"/>
    <x v="21"/>
    <n v="78601.134161842943"/>
  </r>
  <r>
    <x v="10"/>
    <n v="23"/>
    <n v="83000"/>
    <n v="77666.666666666672"/>
    <n v="77587.829280648424"/>
    <x v="22"/>
    <n v="78875.207485450243"/>
  </r>
  <r>
    <x v="11"/>
    <n v="24"/>
    <n v="82000"/>
    <n v="78000"/>
    <n v="78084.409827760886"/>
    <x v="23"/>
    <n v="79958.350276111218"/>
  </r>
  <r>
    <x v="0"/>
    <n v="25"/>
    <n v="79000"/>
    <n v="78250"/>
    <n v="78580.990374873349"/>
    <x v="24"/>
    <n v="77181.964286818504"/>
  </r>
  <r>
    <x v="1"/>
    <n v="26"/>
    <n v="76000"/>
    <n v="78416.666666666672"/>
    <n v="79077.570921985811"/>
    <x v="25"/>
    <n v="80187.497641707872"/>
  </r>
  <r>
    <x v="2"/>
    <n v="27"/>
    <n v="73000"/>
    <n v="78583.333333333328"/>
    <n v="79574.151469098273"/>
    <x v="26"/>
    <n v="80338.021303360525"/>
  </r>
  <r>
    <x v="3"/>
    <n v="28"/>
    <n v="72000"/>
    <n v="78708.333333333328"/>
    <n v="80070.732016210735"/>
    <x v="27"/>
    <n v="79463.655482332833"/>
  </r>
  <r>
    <x v="4"/>
    <n v="29"/>
    <n v="75000"/>
    <n v="78833.333333333328"/>
    <n v="80567.312563323198"/>
    <x v="28"/>
    <n v="78964.077889794222"/>
  </r>
  <r>
    <x v="5"/>
    <n v="30"/>
    <n v="77000"/>
    <n v="79125"/>
    <n v="81063.89311043566"/>
    <x v="29"/>
    <n v="79832.961509716522"/>
  </r>
  <r>
    <x v="6"/>
    <n v="31"/>
    <n v="79000"/>
    <n v="79833.333333333328"/>
    <n v="81560.473657548122"/>
    <x v="30"/>
    <n v="81606.818171777617"/>
  </r>
  <r>
    <x v="7"/>
    <n v="32"/>
    <n v="81000"/>
    <n v="80791.666666666672"/>
    <n v="82057.054204660584"/>
    <x v="31"/>
    <n v="83663.476885026423"/>
  </r>
  <r>
    <x v="8"/>
    <n v="33"/>
    <n v="83000"/>
    <n v="81750"/>
    <n v="82553.634751773046"/>
    <x v="32"/>
    <n v="83968.531980229745"/>
  </r>
  <r>
    <x v="9"/>
    <n v="34"/>
    <n v="85000"/>
    <n v="82833.333333333328"/>
    <n v="83050.215298885509"/>
    <x v="33"/>
    <n v="84676.811209025385"/>
  </r>
  <r>
    <x v="10"/>
    <n v="35"/>
    <n v="85000"/>
    <n v="83895.833333333328"/>
    <n v="83546.795845997971"/>
    <x v="34"/>
    <n v="84933.048368466611"/>
  </r>
  <r>
    <x v="11"/>
    <n v="36"/>
    <n v="87000"/>
    <n v="84812.5"/>
    <n v="84043.376393110433"/>
    <x v="35"/>
    <n v="86060.325522730272"/>
  </r>
  <r>
    <x v="0"/>
    <n v="37"/>
    <n v="91000"/>
    <n v="85625"/>
    <n v="84539.956940222895"/>
    <x v="36"/>
    <n v="83034.839676134245"/>
  </r>
  <r>
    <x v="1"/>
    <n v="38"/>
    <n v="87000"/>
    <n v="86458.333333333328"/>
    <n v="85036.537487335358"/>
    <x v="37"/>
    <n v="86230.103804679064"/>
  </r>
  <r>
    <x v="2"/>
    <n v="39"/>
    <n v="85000"/>
    <n v="87208.333333333328"/>
    <n v="85533.11803444782"/>
    <x v="38"/>
    <n v="86354.190801051926"/>
  </r>
  <r>
    <x v="3"/>
    <n v="40"/>
    <n v="86000"/>
    <n v="87625"/>
    <n v="86029.698581560282"/>
    <x v="39"/>
    <n v="85377.442633470782"/>
  </r>
  <r>
    <x v="4"/>
    <n v="41"/>
    <n v="86500"/>
    <n v="87833.333333333328"/>
    <n v="86526.279128672744"/>
    <x v="40"/>
    <n v="84804.465077080749"/>
  </r>
  <r>
    <x v="5"/>
    <n v="42"/>
    <n v="87500"/>
    <n v="88166.666666666672"/>
    <n v="87022.859675785206"/>
    <x v="41"/>
    <n v="85701.442903783653"/>
  </r>
  <r>
    <x v="6"/>
    <n v="43"/>
    <n v="88000"/>
    <n v="88583.333333333328"/>
    <n v="87519.440222897669"/>
    <x v="42"/>
    <n v="87569.170757320477"/>
  </r>
  <r>
    <x v="7"/>
    <n v="44"/>
    <n v="92000"/>
    <n v="88916.666666666672"/>
    <n v="88016.020770010131"/>
    <x v="43"/>
    <n v="89739.101538274714"/>
  </r>
  <r>
    <x v="8"/>
    <n v="45"/>
    <n v="90000"/>
    <n v="89291.666666666672"/>
    <n v="88512.601317122593"/>
    <x v="44"/>
    <n v="90029.630030196917"/>
  </r>
  <r>
    <x v="9"/>
    <n v="46"/>
    <n v="88000"/>
    <n v="89708.333333333328"/>
    <n v="89009.181864235055"/>
    <x v="45"/>
    <n v="90752.488256207813"/>
  </r>
  <r>
    <x v="10"/>
    <n v="47"/>
    <n v="87000"/>
    <n v="90020.833333333328"/>
    <n v="89505.762411347518"/>
    <x v="46"/>
    <n v="90990.889251482979"/>
  </r>
  <r>
    <x v="11"/>
    <n v="48"/>
    <n v="93000"/>
    <n v="90187.5"/>
    <n v="90002.34295845998"/>
    <x v="47"/>
    <n v="92162.300769349327"/>
  </r>
  <r>
    <x v="0"/>
    <n v="49"/>
    <n v="95000"/>
    <n v="90416.666666666672"/>
    <n v="90498.923505572457"/>
    <x v="48"/>
    <n v="88887.715065450015"/>
  </r>
  <r>
    <x v="1"/>
    <n v="50"/>
    <n v="91000"/>
    <n v="90750"/>
    <n v="90995.504052684904"/>
    <x v="49"/>
    <n v="92272.709967650255"/>
  </r>
  <r>
    <x v="2"/>
    <n v="51"/>
    <n v="90000"/>
    <n v="91041.666666666672"/>
    <n v="91492.084599797381"/>
    <x v="50"/>
    <n v="92370.360298743355"/>
  </r>
  <r>
    <x v="3"/>
    <n v="52"/>
    <n v="91000"/>
    <n v="91333.333333333328"/>
    <n v="91988.665146909829"/>
    <x v="51"/>
    <n v="91291.229784608717"/>
  </r>
  <r>
    <x v="4"/>
    <n v="53"/>
    <n v="89000"/>
    <n v="91875"/>
    <n v="92485.245694022306"/>
    <x v="52"/>
    <n v="90644.852264367277"/>
  </r>
  <r>
    <x v="5"/>
    <n v="54"/>
    <n v="89000"/>
    <n v="92500"/>
    <n v="92981.826241134753"/>
    <x v="53"/>
    <n v="91569.924297850783"/>
  </r>
  <r>
    <x v="6"/>
    <n v="55"/>
    <n v="92000"/>
    <m/>
    <n v="93478.40678824723"/>
    <x v="54"/>
    <n v="93531.523342863351"/>
  </r>
  <r>
    <x v="7"/>
    <n v="56"/>
    <n v="96000"/>
    <m/>
    <n v="93974.987335359678"/>
    <x v="55"/>
    <n v="95814.726191523005"/>
  </r>
  <r>
    <x v="8"/>
    <n v="57"/>
    <n v="93000"/>
    <m/>
    <n v="94471.567882472154"/>
    <x v="56"/>
    <n v="96090.728080164088"/>
  </r>
  <r>
    <x v="9"/>
    <n v="58"/>
    <n v="92000"/>
    <m/>
    <n v="94968.148429584602"/>
    <x v="57"/>
    <n v="96828.16530339024"/>
  </r>
  <r>
    <x v="10"/>
    <n v="59"/>
    <n v="96000"/>
    <m/>
    <n v="95464.728976697079"/>
    <x v="58"/>
    <n v="97048.730134499361"/>
  </r>
  <r>
    <x v="11"/>
    <n v="60"/>
    <n v="99000"/>
    <m/>
    <n v="95961.309523809527"/>
    <x v="59"/>
    <n v="98264.276015968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70BB2-5CD2-4C8E-AB0F-5914F94E810F}" name="TablaDinámica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S57:T70" firstHeaderRow="1" firstDataRow="1" firstDataCol="1" rowPageCount="1" colPageCount="1"/>
  <pivotFields count="7">
    <pivotField axis="axisRow" showAll="0" nonAutoSortDefaul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" showAll="0"/>
    <pivotField axis="axisPage" dataField="1" numFmtId="2" showAll="0">
      <items count="74">
        <item m="1" x="64"/>
        <item m="1" x="70"/>
        <item m="1" x="62"/>
        <item m="1" x="72"/>
        <item m="1" x="63"/>
        <item m="1" x="66"/>
        <item m="1" x="60"/>
        <item m="1" x="67"/>
        <item m="1" x="61"/>
        <item m="1" x="68"/>
        <item m="1" x="69"/>
        <item m="1" x="7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65"/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umFmtI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Promedio de Seasonal Factor St" fld="5" subtotal="average" baseField="0" baseItem="4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7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3" dT="2021-03-09T19:59:47.71" personId="{3B1E6477-5863-46AB-8FFC-A00061A5E8CD}" id="{A06B7229-937F-4207-B849-6A75CB47E17C}">
    <text>La media de los pedidos de las últimas 4 semanas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0033-7E59-427E-A636-EFEBCA9E33E8}">
  <dimension ref="A1:AB117"/>
  <sheetViews>
    <sheetView topLeftCell="B52" zoomScale="90" zoomScaleNormal="90" workbookViewId="0">
      <selection activeCell="G74" sqref="G74"/>
    </sheetView>
  </sheetViews>
  <sheetFormatPr baseColWidth="10" defaultRowHeight="15" x14ac:dyDescent="0.25"/>
  <cols>
    <col min="2" max="2" width="53.28515625" bestFit="1" customWidth="1"/>
    <col min="3" max="3" width="18.42578125" style="71" bestFit="1" customWidth="1"/>
    <col min="5" max="6" width="11.42578125" style="72"/>
    <col min="7" max="7" width="11.42578125" style="71"/>
    <col min="8" max="9" width="11.42578125" style="82"/>
    <col min="10" max="10" width="11.42578125" style="71"/>
    <col min="11" max="11" width="11.42578125" style="76"/>
    <col min="17" max="17" width="40" customWidth="1"/>
  </cols>
  <sheetData>
    <row r="1" spans="1:28" ht="38.25" x14ac:dyDescent="0.25">
      <c r="A1" s="61"/>
      <c r="B1" s="61" t="s">
        <v>124</v>
      </c>
      <c r="C1" s="62" t="s">
        <v>125</v>
      </c>
      <c r="D1" s="63" t="s">
        <v>126</v>
      </c>
      <c r="E1" s="64" t="s">
        <v>127</v>
      </c>
      <c r="F1" s="65" t="s">
        <v>128</v>
      </c>
      <c r="G1" s="66" t="s">
        <v>129</v>
      </c>
      <c r="H1" s="67" t="s">
        <v>130</v>
      </c>
      <c r="I1" s="68" t="s">
        <v>131</v>
      </c>
      <c r="J1" s="69" t="s">
        <v>132</v>
      </c>
      <c r="K1" s="70" t="s">
        <v>133</v>
      </c>
      <c r="R1" s="117" t="s">
        <v>125</v>
      </c>
      <c r="S1" s="118" t="s">
        <v>273</v>
      </c>
      <c r="T1" s="119" t="s">
        <v>127</v>
      </c>
      <c r="U1" s="120" t="s">
        <v>274</v>
      </c>
      <c r="V1" s="117" t="s">
        <v>129</v>
      </c>
      <c r="W1" s="121" t="s">
        <v>130</v>
      </c>
      <c r="X1" s="121" t="s">
        <v>131</v>
      </c>
      <c r="Y1" s="122" t="s">
        <v>132</v>
      </c>
      <c r="Z1" s="123" t="s">
        <v>133</v>
      </c>
    </row>
    <row r="2" spans="1:28" x14ac:dyDescent="0.25">
      <c r="B2" t="s">
        <v>134</v>
      </c>
      <c r="C2" s="71">
        <v>1000</v>
      </c>
      <c r="D2" s="72">
        <f>+F2/0.9</f>
        <v>12.809209111111111</v>
      </c>
      <c r="E2" s="71">
        <f>+C2*D2</f>
        <v>12809.209111111111</v>
      </c>
      <c r="F2" s="73">
        <v>11.5282882</v>
      </c>
      <c r="G2" s="71">
        <f>+E2-C2*F2</f>
        <v>1280.9209111111104</v>
      </c>
      <c r="H2" s="74">
        <f>+G2/E2</f>
        <v>9.999999999999995E-2</v>
      </c>
      <c r="I2" s="75">
        <f>+C2*$D$117</f>
        <v>705.33333333333348</v>
      </c>
      <c r="J2" s="71">
        <f>+G2-I2</f>
        <v>575.58757777777691</v>
      </c>
      <c r="K2" s="76">
        <f>+J2/E2</f>
        <v>4.4935450173773345E-2</v>
      </c>
      <c r="M2">
        <f>+D2*0.88</f>
        <v>11.272104017777778</v>
      </c>
      <c r="R2">
        <v>100000</v>
      </c>
      <c r="S2">
        <v>7.5350081595493146</v>
      </c>
      <c r="T2">
        <v>705152.96840268886</v>
      </c>
      <c r="U2">
        <v>6.5676050614832242</v>
      </c>
      <c r="V2">
        <v>93806.38342238334</v>
      </c>
      <c r="W2" s="76">
        <v>0.13302983554741801</v>
      </c>
      <c r="X2" s="116">
        <v>70533.333333333314</v>
      </c>
      <c r="Y2" s="115">
        <v>23273.050089049993</v>
      </c>
      <c r="Z2" s="76">
        <v>3.3004257419164046E-2</v>
      </c>
      <c r="AA2">
        <v>6.6308071804033979</v>
      </c>
    </row>
    <row r="3" spans="1:28" x14ac:dyDescent="0.25">
      <c r="B3" t="s">
        <v>135</v>
      </c>
      <c r="C3" s="71">
        <v>1250</v>
      </c>
      <c r="D3" s="72">
        <f>+F3/0.86</f>
        <v>6.4466727906976748</v>
      </c>
      <c r="E3" s="71">
        <f t="shared" ref="E3:E66" si="0">+C3*D3</f>
        <v>8058.3409883720933</v>
      </c>
      <c r="F3" s="73">
        <v>5.5441386000000001</v>
      </c>
      <c r="G3" s="71">
        <f t="shared" ref="G3:G66" si="1">+E3-C3*F3</f>
        <v>1128.1677383720935</v>
      </c>
      <c r="H3" s="74">
        <f t="shared" ref="H3:H66" si="2">+G3/E3</f>
        <v>0.14000000000000004</v>
      </c>
      <c r="I3" s="75">
        <f t="shared" ref="I3:I66" si="3">+C3*$D$117</f>
        <v>881.66666666666686</v>
      </c>
      <c r="J3" s="71">
        <f t="shared" ref="J3:J66" si="4">+G3-I3</f>
        <v>246.50107170542663</v>
      </c>
      <c r="K3" s="76">
        <f t="shared" ref="K3:K66" si="5">+J3/E3</f>
        <v>3.0589555847924423E-2</v>
      </c>
      <c r="M3">
        <f t="shared" ref="M3:M66" si="6">+D3*0.88</f>
        <v>5.6730720558139538</v>
      </c>
    </row>
    <row r="4" spans="1:28" x14ac:dyDescent="0.25">
      <c r="B4" t="s">
        <v>136</v>
      </c>
      <c r="C4" s="71">
        <v>1250</v>
      </c>
      <c r="D4" s="72">
        <f t="shared" ref="D4:D6" si="7">+F4/0.86</f>
        <v>6.3955087209302341</v>
      </c>
      <c r="E4" s="71">
        <f t="shared" si="0"/>
        <v>7994.3859011627928</v>
      </c>
      <c r="F4" s="73">
        <v>5.500137500000001</v>
      </c>
      <c r="G4" s="71">
        <f t="shared" si="1"/>
        <v>1119.2140261627919</v>
      </c>
      <c r="H4" s="74">
        <f t="shared" si="2"/>
        <v>0.14000000000000012</v>
      </c>
      <c r="I4" s="75">
        <f t="shared" si="3"/>
        <v>881.66666666666686</v>
      </c>
      <c r="J4" s="71">
        <f t="shared" si="4"/>
        <v>237.54735949612507</v>
      </c>
      <c r="K4" s="76">
        <f t="shared" si="5"/>
        <v>2.9714272294707907E-2</v>
      </c>
      <c r="M4">
        <f t="shared" si="6"/>
        <v>5.6280476744186059</v>
      </c>
    </row>
    <row r="5" spans="1:28" x14ac:dyDescent="0.25">
      <c r="B5" t="s">
        <v>137</v>
      </c>
      <c r="C5" s="71">
        <v>1250</v>
      </c>
      <c r="D5" s="72">
        <f t="shared" si="7"/>
        <v>6.190852441860466</v>
      </c>
      <c r="E5" s="71">
        <f t="shared" si="0"/>
        <v>7738.5655523255828</v>
      </c>
      <c r="F5" s="73">
        <v>5.324133100000001</v>
      </c>
      <c r="G5" s="71">
        <f t="shared" si="1"/>
        <v>1083.3991773255811</v>
      </c>
      <c r="H5" s="74">
        <f t="shared" si="2"/>
        <v>0.13999999999999993</v>
      </c>
      <c r="I5" s="75">
        <f t="shared" si="3"/>
        <v>881.66666666666686</v>
      </c>
      <c r="J5" s="71">
        <f t="shared" si="4"/>
        <v>201.73251065891429</v>
      </c>
      <c r="K5" s="76">
        <f t="shared" si="5"/>
        <v>2.6068463114367484E-2</v>
      </c>
      <c r="M5">
        <f t="shared" si="6"/>
        <v>5.4479501488372097</v>
      </c>
    </row>
    <row r="6" spans="1:28" x14ac:dyDescent="0.25">
      <c r="B6" t="s">
        <v>138</v>
      </c>
      <c r="C6" s="71">
        <v>1250</v>
      </c>
      <c r="D6" s="72">
        <f t="shared" si="7"/>
        <v>6.3443446511627908</v>
      </c>
      <c r="E6" s="71">
        <f t="shared" si="0"/>
        <v>7930.4308139534887</v>
      </c>
      <c r="F6" s="73">
        <v>5.4561364000000001</v>
      </c>
      <c r="G6" s="71">
        <f t="shared" si="1"/>
        <v>1110.2603139534885</v>
      </c>
      <c r="H6" s="74">
        <f t="shared" si="2"/>
        <v>0.14000000000000001</v>
      </c>
      <c r="I6" s="75">
        <f t="shared" si="3"/>
        <v>881.66666666666686</v>
      </c>
      <c r="J6" s="71">
        <f t="shared" si="4"/>
        <v>228.59364728682169</v>
      </c>
      <c r="K6" s="76">
        <f t="shared" si="5"/>
        <v>2.8824871264826392E-2</v>
      </c>
      <c r="M6">
        <f t="shared" si="6"/>
        <v>5.5830232930232562</v>
      </c>
    </row>
    <row r="7" spans="1:28" x14ac:dyDescent="0.25">
      <c r="B7" t="s">
        <v>139</v>
      </c>
      <c r="C7" s="71">
        <v>1750</v>
      </c>
      <c r="D7" s="72">
        <f>+F7/0.86</f>
        <v>6.0066617906976729</v>
      </c>
      <c r="E7" s="71">
        <f t="shared" si="0"/>
        <v>10511.658133720928</v>
      </c>
      <c r="F7" s="73">
        <v>5.1657291399999989</v>
      </c>
      <c r="G7" s="71">
        <f t="shared" si="1"/>
        <v>1471.63213872093</v>
      </c>
      <c r="H7" s="74">
        <f t="shared" si="2"/>
        <v>0.14000000000000001</v>
      </c>
      <c r="I7" s="75">
        <f t="shared" si="3"/>
        <v>1234.3333333333335</v>
      </c>
      <c r="J7" s="71">
        <f t="shared" si="4"/>
        <v>237.29880538759653</v>
      </c>
      <c r="K7" s="76">
        <f t="shared" si="5"/>
        <v>2.25748214381471E-2</v>
      </c>
      <c r="M7">
        <f t="shared" si="6"/>
        <v>5.2858623758139522</v>
      </c>
    </row>
    <row r="8" spans="1:28" x14ac:dyDescent="0.25">
      <c r="B8" t="s">
        <v>140</v>
      </c>
      <c r="C8" s="71">
        <v>1250</v>
      </c>
      <c r="D8" s="72">
        <f t="shared" ref="D8:D59" si="8">+F8/0.88</f>
        <v>8.5002124999999999</v>
      </c>
      <c r="E8" s="71">
        <f t="shared" si="0"/>
        <v>10625.265625</v>
      </c>
      <c r="F8" s="73">
        <v>7.4801869999999999</v>
      </c>
      <c r="G8" s="71">
        <f t="shared" si="1"/>
        <v>1275.0318750000006</v>
      </c>
      <c r="H8" s="74">
        <f t="shared" si="2"/>
        <v>0.12000000000000005</v>
      </c>
      <c r="I8" s="75">
        <f t="shared" si="3"/>
        <v>881.66666666666686</v>
      </c>
      <c r="J8" s="71">
        <f t="shared" si="4"/>
        <v>393.36520833333373</v>
      </c>
      <c r="K8" s="76">
        <f t="shared" si="5"/>
        <v>3.7021682301079765E-2</v>
      </c>
      <c r="M8">
        <f t="shared" si="6"/>
        <v>7.4801869999999999</v>
      </c>
    </row>
    <row r="9" spans="1:28" x14ac:dyDescent="0.25">
      <c r="B9" t="s">
        <v>141</v>
      </c>
      <c r="C9" s="71">
        <v>1250</v>
      </c>
      <c r="D9" s="72">
        <f t="shared" si="8"/>
        <v>8.5002124999999999</v>
      </c>
      <c r="E9" s="71">
        <f t="shared" si="0"/>
        <v>10625.265625</v>
      </c>
      <c r="F9" s="73">
        <v>7.4801869999999999</v>
      </c>
      <c r="G9" s="71">
        <f t="shared" si="1"/>
        <v>1275.0318750000006</v>
      </c>
      <c r="H9" s="74">
        <f t="shared" si="2"/>
        <v>0.12000000000000005</v>
      </c>
      <c r="I9" s="75">
        <f t="shared" si="3"/>
        <v>881.66666666666686</v>
      </c>
      <c r="J9" s="71">
        <f t="shared" si="4"/>
        <v>393.36520833333373</v>
      </c>
      <c r="K9" s="76">
        <f t="shared" si="5"/>
        <v>3.7021682301079765E-2</v>
      </c>
      <c r="M9">
        <f t="shared" si="6"/>
        <v>7.4801869999999999</v>
      </c>
    </row>
    <row r="10" spans="1:28" x14ac:dyDescent="0.25">
      <c r="B10" t="s">
        <v>142</v>
      </c>
      <c r="C10" s="71">
        <v>1000</v>
      </c>
      <c r="D10" s="72">
        <f>+F10/0.89</f>
        <v>12.557617303370789</v>
      </c>
      <c r="E10" s="71">
        <f t="shared" si="0"/>
        <v>12557.617303370789</v>
      </c>
      <c r="F10" s="73">
        <v>11.176279400000002</v>
      </c>
      <c r="G10" s="71">
        <f t="shared" si="1"/>
        <v>1381.3379033707879</v>
      </c>
      <c r="H10" s="74">
        <f t="shared" si="2"/>
        <v>0.11000000000000008</v>
      </c>
      <c r="I10" s="75">
        <f t="shared" si="3"/>
        <v>705.33333333333348</v>
      </c>
      <c r="J10" s="71">
        <f t="shared" si="4"/>
        <v>676.00457003745441</v>
      </c>
      <c r="K10" s="76">
        <f t="shared" si="5"/>
        <v>5.3832232158882345E-2</v>
      </c>
      <c r="M10">
        <f t="shared" si="6"/>
        <v>11.050703226966293</v>
      </c>
    </row>
    <row r="11" spans="1:28" x14ac:dyDescent="0.25">
      <c r="B11" t="s">
        <v>143</v>
      </c>
      <c r="C11" s="71">
        <v>1000</v>
      </c>
      <c r="D11" s="72">
        <f>+F11/0.89</f>
        <v>12.745487168539325</v>
      </c>
      <c r="E11" s="71">
        <f t="shared" si="0"/>
        <v>12745.487168539325</v>
      </c>
      <c r="F11" s="73">
        <v>11.343483579999999</v>
      </c>
      <c r="G11" s="71">
        <f t="shared" si="1"/>
        <v>1402.0035885393263</v>
      </c>
      <c r="H11" s="74">
        <f t="shared" si="2"/>
        <v>0.11000000000000004</v>
      </c>
      <c r="I11" s="75">
        <f t="shared" si="3"/>
        <v>705.33333333333348</v>
      </c>
      <c r="J11" s="71">
        <f t="shared" si="4"/>
        <v>696.67025520599282</v>
      </c>
      <c r="K11" s="76">
        <f t="shared" si="5"/>
        <v>5.4660151157316143E-2</v>
      </c>
      <c r="M11">
        <f t="shared" si="6"/>
        <v>11.216028708314607</v>
      </c>
    </row>
    <row r="12" spans="1:28" x14ac:dyDescent="0.25">
      <c r="B12" t="s">
        <v>144</v>
      </c>
      <c r="C12" s="71">
        <v>1250</v>
      </c>
      <c r="D12" s="72">
        <f t="shared" si="8"/>
        <v>9.0653490570519093</v>
      </c>
      <c r="E12" s="71">
        <f t="shared" si="0"/>
        <v>11331.686321314886</v>
      </c>
      <c r="F12" s="73">
        <v>7.9775071702056799</v>
      </c>
      <c r="G12" s="71">
        <f t="shared" si="1"/>
        <v>1359.8023585577866</v>
      </c>
      <c r="H12" s="74">
        <f t="shared" si="2"/>
        <v>0.12000000000000002</v>
      </c>
      <c r="I12" s="75">
        <f t="shared" si="3"/>
        <v>881.66666666666686</v>
      </c>
      <c r="J12" s="71">
        <f t="shared" si="4"/>
        <v>478.13569189111979</v>
      </c>
      <c r="K12" s="76">
        <f t="shared" si="5"/>
        <v>4.2194575311509219E-2</v>
      </c>
      <c r="M12">
        <f t="shared" si="6"/>
        <v>7.9775071702056799</v>
      </c>
    </row>
    <row r="13" spans="1:28" x14ac:dyDescent="0.25">
      <c r="B13" t="s">
        <v>145</v>
      </c>
      <c r="C13" s="71">
        <v>1250</v>
      </c>
      <c r="D13" s="72">
        <f t="shared" si="8"/>
        <v>7.489774328337881</v>
      </c>
      <c r="E13" s="71">
        <f t="shared" si="0"/>
        <v>9362.2179104223505</v>
      </c>
      <c r="F13" s="73">
        <v>6.591001408937335</v>
      </c>
      <c r="G13" s="71">
        <f t="shared" si="1"/>
        <v>1123.4661492506821</v>
      </c>
      <c r="H13" s="74">
        <f t="shared" si="2"/>
        <v>0.12</v>
      </c>
      <c r="I13" s="75">
        <f t="shared" si="3"/>
        <v>881.66666666666686</v>
      </c>
      <c r="J13" s="71">
        <f t="shared" si="4"/>
        <v>241.79948258401521</v>
      </c>
      <c r="K13" s="76">
        <f t="shared" si="5"/>
        <v>2.5827158147519246E-2</v>
      </c>
      <c r="M13">
        <f t="shared" si="6"/>
        <v>6.591001408937335</v>
      </c>
    </row>
    <row r="14" spans="1:28" x14ac:dyDescent="0.25">
      <c r="B14" t="s">
        <v>146</v>
      </c>
      <c r="C14" s="71">
        <v>1750</v>
      </c>
      <c r="D14" s="72">
        <f>+F14/0.81</f>
        <v>4.1753278799489157</v>
      </c>
      <c r="E14" s="71">
        <f t="shared" si="0"/>
        <v>7306.8237899106025</v>
      </c>
      <c r="F14" s="73">
        <v>3.3820155827586218</v>
      </c>
      <c r="G14" s="71">
        <f t="shared" si="1"/>
        <v>1388.296520083014</v>
      </c>
      <c r="H14" s="74">
        <f t="shared" si="2"/>
        <v>0.18999999999999995</v>
      </c>
      <c r="I14" s="75">
        <f t="shared" si="3"/>
        <v>1234.3333333333335</v>
      </c>
      <c r="J14" s="71">
        <f t="shared" si="4"/>
        <v>153.96318674968052</v>
      </c>
      <c r="K14" s="76">
        <f t="shared" si="5"/>
        <v>2.1071150909958404E-2</v>
      </c>
      <c r="M14">
        <f t="shared" si="6"/>
        <v>3.6742885343550458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</row>
    <row r="15" spans="1:28" x14ac:dyDescent="0.25">
      <c r="B15" t="s">
        <v>147</v>
      </c>
      <c r="C15" s="71">
        <v>1250</v>
      </c>
      <c r="D15" s="72">
        <f t="shared" si="8"/>
        <v>8.8502212499999988</v>
      </c>
      <c r="E15" s="71">
        <f t="shared" si="0"/>
        <v>11062.776562499999</v>
      </c>
      <c r="F15" s="73">
        <v>7.7881946999999991</v>
      </c>
      <c r="G15" s="71">
        <f t="shared" si="1"/>
        <v>1327.5331875000011</v>
      </c>
      <c r="H15" s="74">
        <f t="shared" si="2"/>
        <v>0.12000000000000011</v>
      </c>
      <c r="I15" s="75">
        <f t="shared" si="3"/>
        <v>881.66666666666686</v>
      </c>
      <c r="J15" s="71">
        <f t="shared" si="4"/>
        <v>445.86652083333422</v>
      </c>
      <c r="K15" s="76">
        <f t="shared" si="5"/>
        <v>4.0303310684652927E-2</v>
      </c>
      <c r="M15">
        <f t="shared" si="6"/>
        <v>7.7881946999999991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</row>
    <row r="16" spans="1:28" x14ac:dyDescent="0.25">
      <c r="B16" t="s">
        <v>148</v>
      </c>
      <c r="C16" s="71">
        <v>1000</v>
      </c>
      <c r="D16" s="72">
        <f>+F16/0.89</f>
        <v>11.371070786516853</v>
      </c>
      <c r="E16" s="71">
        <f t="shared" si="0"/>
        <v>11371.070786516853</v>
      </c>
      <c r="F16" s="73">
        <v>10.120253</v>
      </c>
      <c r="G16" s="71">
        <f t="shared" si="1"/>
        <v>1250.8177865168527</v>
      </c>
      <c r="H16" s="74">
        <f t="shared" si="2"/>
        <v>0.1099999999999999</v>
      </c>
      <c r="I16" s="75">
        <f t="shared" si="3"/>
        <v>705.33333333333348</v>
      </c>
      <c r="J16" s="71">
        <f t="shared" si="4"/>
        <v>545.48445318351924</v>
      </c>
      <c r="K16" s="76">
        <f t="shared" si="5"/>
        <v>4.7971247688504637E-2</v>
      </c>
      <c r="M16">
        <f t="shared" si="6"/>
        <v>10.006542292134831</v>
      </c>
      <c r="Q16" s="104"/>
      <c r="R16" s="105"/>
      <c r="S16" s="106"/>
      <c r="T16" s="105"/>
      <c r="U16" s="105"/>
      <c r="V16" s="105"/>
      <c r="W16" s="107"/>
      <c r="X16" s="107"/>
      <c r="Y16" s="105"/>
      <c r="Z16" s="108"/>
      <c r="AA16" s="103"/>
      <c r="AB16" s="103"/>
    </row>
    <row r="17" spans="2:28" x14ac:dyDescent="0.25">
      <c r="B17" t="s">
        <v>149</v>
      </c>
      <c r="C17" s="71">
        <v>1750</v>
      </c>
      <c r="D17" s="72">
        <f>+F17/0.83</f>
        <v>4.6651768674698797</v>
      </c>
      <c r="E17" s="71">
        <f t="shared" si="0"/>
        <v>8164.0595180722894</v>
      </c>
      <c r="F17" s="73">
        <v>3.8720968</v>
      </c>
      <c r="G17" s="71">
        <f t="shared" si="1"/>
        <v>1387.8901180722896</v>
      </c>
      <c r="H17" s="74">
        <f t="shared" si="2"/>
        <v>0.17000000000000004</v>
      </c>
      <c r="I17" s="75">
        <f t="shared" si="3"/>
        <v>1234.3333333333335</v>
      </c>
      <c r="J17" s="71">
        <f t="shared" si="4"/>
        <v>153.55678473895614</v>
      </c>
      <c r="K17" s="76">
        <f t="shared" si="5"/>
        <v>1.88088761968279E-2</v>
      </c>
      <c r="M17">
        <f t="shared" si="6"/>
        <v>4.1053556433734943</v>
      </c>
      <c r="Q17" s="109"/>
      <c r="R17" s="110"/>
      <c r="S17" s="111"/>
      <c r="T17" s="110"/>
      <c r="U17" s="111"/>
      <c r="V17" s="110"/>
      <c r="W17" s="112"/>
      <c r="X17" s="110"/>
      <c r="Y17" s="110"/>
      <c r="Z17" s="113"/>
      <c r="AA17" s="103"/>
      <c r="AB17" s="103"/>
    </row>
    <row r="18" spans="2:28" x14ac:dyDescent="0.25">
      <c r="B18" t="s">
        <v>150</v>
      </c>
      <c r="C18" s="71">
        <v>1750</v>
      </c>
      <c r="D18" s="72">
        <f>+F18/0.85</f>
        <v>5.5493151999999997</v>
      </c>
      <c r="E18" s="71">
        <f t="shared" si="0"/>
        <v>9711.3015999999989</v>
      </c>
      <c r="F18" s="73">
        <v>4.7169179199999993</v>
      </c>
      <c r="G18" s="71">
        <f t="shared" si="1"/>
        <v>1456.6952400000009</v>
      </c>
      <c r="H18" s="74">
        <f t="shared" si="2"/>
        <v>0.15000000000000011</v>
      </c>
      <c r="I18" s="75">
        <f t="shared" si="3"/>
        <v>1234.3333333333335</v>
      </c>
      <c r="J18" s="71">
        <f t="shared" si="4"/>
        <v>222.36190666666744</v>
      </c>
      <c r="K18" s="76">
        <f t="shared" si="5"/>
        <v>2.2897230034197216E-2</v>
      </c>
      <c r="M18">
        <f t="shared" si="6"/>
        <v>4.8833973759999996</v>
      </c>
      <c r="Q18" s="109"/>
      <c r="R18" s="110"/>
      <c r="S18" s="111"/>
      <c r="T18" s="110"/>
      <c r="U18" s="111"/>
      <c r="V18" s="110"/>
      <c r="W18" s="112"/>
      <c r="X18" s="110"/>
      <c r="Y18" s="110"/>
      <c r="Z18" s="113"/>
      <c r="AA18" s="103"/>
      <c r="AB18" s="103"/>
    </row>
    <row r="19" spans="2:28" x14ac:dyDescent="0.25">
      <c r="B19" t="s">
        <v>151</v>
      </c>
      <c r="C19" s="71">
        <v>1750</v>
      </c>
      <c r="D19" s="72">
        <f>+F19/0.79</f>
        <v>3.6203436708860761</v>
      </c>
      <c r="E19" s="71">
        <f t="shared" si="0"/>
        <v>6335.6014240506329</v>
      </c>
      <c r="F19" s="73">
        <v>2.8600715000000001</v>
      </c>
      <c r="G19" s="71">
        <f t="shared" si="1"/>
        <v>1330.4762990506324</v>
      </c>
      <c r="H19" s="74">
        <f t="shared" si="2"/>
        <v>0.20999999999999991</v>
      </c>
      <c r="I19" s="75">
        <f t="shared" si="3"/>
        <v>1234.3333333333335</v>
      </c>
      <c r="J19" s="71">
        <f t="shared" si="4"/>
        <v>96.142965717298921</v>
      </c>
      <c r="K19" s="76">
        <f t="shared" si="5"/>
        <v>1.5175033794318209E-2</v>
      </c>
      <c r="M19">
        <f t="shared" si="6"/>
        <v>3.185902430379747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</row>
    <row r="20" spans="2:28" x14ac:dyDescent="0.25">
      <c r="B20" t="s">
        <v>152</v>
      </c>
      <c r="C20" s="71">
        <v>1750</v>
      </c>
      <c r="D20" s="72">
        <f>+F20/0.8</f>
        <v>3.7400934999999995</v>
      </c>
      <c r="E20" s="71">
        <f t="shared" si="0"/>
        <v>6545.1636249999992</v>
      </c>
      <c r="F20" s="73">
        <v>2.9920747999999997</v>
      </c>
      <c r="G20" s="71">
        <f t="shared" si="1"/>
        <v>1309.032725</v>
      </c>
      <c r="H20" s="74">
        <f t="shared" si="2"/>
        <v>0.20000000000000004</v>
      </c>
      <c r="I20" s="75">
        <f t="shared" si="3"/>
        <v>1234.3333333333335</v>
      </c>
      <c r="J20" s="71">
        <f t="shared" si="4"/>
        <v>74.699391666666543</v>
      </c>
      <c r="K20" s="76">
        <f t="shared" si="5"/>
        <v>1.1412914320635728E-2</v>
      </c>
      <c r="M20">
        <f t="shared" si="6"/>
        <v>3.2912822799999994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</row>
    <row r="21" spans="2:28" x14ac:dyDescent="0.25">
      <c r="B21" t="s">
        <v>153</v>
      </c>
      <c r="C21" s="71">
        <v>1250</v>
      </c>
      <c r="D21" s="72">
        <f>+F21/0.87</f>
        <v>7.2251395730706074</v>
      </c>
      <c r="E21" s="71">
        <f t="shared" si="0"/>
        <v>9031.4244663382597</v>
      </c>
      <c r="F21" s="73">
        <v>6.2858714285714283</v>
      </c>
      <c r="G21" s="71">
        <f t="shared" si="1"/>
        <v>1174.0851806239743</v>
      </c>
      <c r="H21" s="74">
        <f t="shared" si="2"/>
        <v>0.13000000000000006</v>
      </c>
      <c r="I21" s="75">
        <f t="shared" si="3"/>
        <v>881.66666666666686</v>
      </c>
      <c r="J21" s="71">
        <f t="shared" si="4"/>
        <v>292.41851395730748</v>
      </c>
      <c r="K21" s="76">
        <f t="shared" si="5"/>
        <v>3.237789509807714E-2</v>
      </c>
      <c r="M21">
        <f t="shared" si="6"/>
        <v>6.3581228243021348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</row>
    <row r="22" spans="2:28" x14ac:dyDescent="0.25">
      <c r="B22" t="s">
        <v>154</v>
      </c>
      <c r="C22" s="71">
        <v>1750</v>
      </c>
      <c r="D22" s="72">
        <f>+F22/0.83</f>
        <v>4.6121634939759044</v>
      </c>
      <c r="E22" s="71">
        <f t="shared" si="0"/>
        <v>8071.2861144578328</v>
      </c>
      <c r="F22" s="73">
        <v>3.8280957000000004</v>
      </c>
      <c r="G22" s="71">
        <f t="shared" si="1"/>
        <v>1372.1186394578317</v>
      </c>
      <c r="H22" s="74">
        <f t="shared" si="2"/>
        <v>0.17</v>
      </c>
      <c r="I22" s="75">
        <f t="shared" si="3"/>
        <v>1234.3333333333335</v>
      </c>
      <c r="J22" s="71">
        <f t="shared" si="4"/>
        <v>137.78530612449822</v>
      </c>
      <c r="K22" s="76">
        <f t="shared" si="5"/>
        <v>1.7071047187596024E-2</v>
      </c>
      <c r="M22">
        <f t="shared" si="6"/>
        <v>4.0587038746987956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</row>
    <row r="23" spans="2:28" x14ac:dyDescent="0.25">
      <c r="B23" t="s">
        <v>155</v>
      </c>
      <c r="C23" s="71">
        <v>1250</v>
      </c>
      <c r="D23" s="72">
        <f>+F23/0.87</f>
        <v>6.9541968390804607</v>
      </c>
      <c r="E23" s="71">
        <f t="shared" si="0"/>
        <v>8692.7460488505767</v>
      </c>
      <c r="F23" s="73">
        <v>6.0501512500000008</v>
      </c>
      <c r="G23" s="71">
        <f t="shared" si="1"/>
        <v>1130.0569863505762</v>
      </c>
      <c r="H23" s="74">
        <f t="shared" si="2"/>
        <v>0.13000000000000014</v>
      </c>
      <c r="I23" s="75">
        <f t="shared" si="3"/>
        <v>881.66666666666686</v>
      </c>
      <c r="J23" s="71">
        <f t="shared" si="4"/>
        <v>248.3903196839093</v>
      </c>
      <c r="K23" s="76">
        <f t="shared" si="5"/>
        <v>2.8574436465534779E-2</v>
      </c>
      <c r="M23">
        <f t="shared" si="6"/>
        <v>6.1196932183908057</v>
      </c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</row>
    <row r="24" spans="2:28" x14ac:dyDescent="0.25">
      <c r="B24" t="s">
        <v>156</v>
      </c>
      <c r="C24" s="71">
        <v>1250</v>
      </c>
      <c r="D24" s="72">
        <f>+F24/0.87</f>
        <v>7.3335166666666654</v>
      </c>
      <c r="E24" s="71">
        <f t="shared" si="0"/>
        <v>9166.8958333333321</v>
      </c>
      <c r="F24" s="73">
        <v>6.3801594999999987</v>
      </c>
      <c r="G24" s="71">
        <f t="shared" si="1"/>
        <v>1191.6964583333338</v>
      </c>
      <c r="H24" s="74">
        <f t="shared" si="2"/>
        <v>0.13000000000000006</v>
      </c>
      <c r="I24" s="75">
        <f t="shared" si="3"/>
        <v>881.66666666666686</v>
      </c>
      <c r="J24" s="71">
        <f t="shared" si="4"/>
        <v>310.02979166666694</v>
      </c>
      <c r="K24" s="76">
        <f t="shared" si="5"/>
        <v>3.3820586303524261E-2</v>
      </c>
      <c r="M24">
        <f t="shared" si="6"/>
        <v>6.4534946666666659</v>
      </c>
    </row>
    <row r="25" spans="2:28" x14ac:dyDescent="0.25">
      <c r="B25" t="s">
        <v>157</v>
      </c>
      <c r="C25" s="71">
        <v>1250</v>
      </c>
      <c r="D25" s="72">
        <f t="shared" si="8"/>
        <v>8.7502187500000002</v>
      </c>
      <c r="E25" s="71">
        <f t="shared" si="0"/>
        <v>10937.7734375</v>
      </c>
      <c r="F25" s="73">
        <v>7.7001925</v>
      </c>
      <c r="G25" s="71">
        <f t="shared" si="1"/>
        <v>1312.5328124999996</v>
      </c>
      <c r="H25" s="74">
        <f t="shared" si="2"/>
        <v>0.11999999999999997</v>
      </c>
      <c r="I25" s="75">
        <f t="shared" si="3"/>
        <v>881.66666666666686</v>
      </c>
      <c r="J25" s="71">
        <f t="shared" si="4"/>
        <v>430.86614583333278</v>
      </c>
      <c r="K25" s="76">
        <f t="shared" si="5"/>
        <v>3.9392491378191688E-2</v>
      </c>
      <c r="M25">
        <f t="shared" si="6"/>
        <v>7.7001925</v>
      </c>
    </row>
    <row r="26" spans="2:28" x14ac:dyDescent="0.25">
      <c r="B26" t="s">
        <v>158</v>
      </c>
      <c r="C26" s="71">
        <v>1750</v>
      </c>
      <c r="D26" s="72">
        <f>+F26/0.86</f>
        <v>6.0894545581395345</v>
      </c>
      <c r="E26" s="71">
        <f t="shared" si="0"/>
        <v>10656.545476744186</v>
      </c>
      <c r="F26" s="73">
        <v>5.2369309199999998</v>
      </c>
      <c r="G26" s="71">
        <f t="shared" si="1"/>
        <v>1491.9163667441862</v>
      </c>
      <c r="H26" s="74">
        <f t="shared" si="2"/>
        <v>0.14000000000000001</v>
      </c>
      <c r="I26" s="75">
        <f t="shared" si="3"/>
        <v>1234.3333333333335</v>
      </c>
      <c r="J26" s="71">
        <f t="shared" si="4"/>
        <v>257.58303341085275</v>
      </c>
      <c r="K26" s="76">
        <f t="shared" si="5"/>
        <v>2.4171344641936456E-2</v>
      </c>
      <c r="M26">
        <f t="shared" si="6"/>
        <v>5.3587200111627906</v>
      </c>
    </row>
    <row r="27" spans="2:28" x14ac:dyDescent="0.25">
      <c r="B27" t="s">
        <v>159</v>
      </c>
      <c r="C27" s="71">
        <v>1750</v>
      </c>
      <c r="D27" s="72">
        <f>+F27/0.83</f>
        <v>4.6348835111876081</v>
      </c>
      <c r="E27" s="71">
        <f t="shared" si="0"/>
        <v>8111.0461445783139</v>
      </c>
      <c r="F27" s="73">
        <v>3.8469533142857144</v>
      </c>
      <c r="G27" s="71">
        <f t="shared" si="1"/>
        <v>1378.8778445783137</v>
      </c>
      <c r="H27" s="74">
        <f t="shared" si="2"/>
        <v>0.17000000000000004</v>
      </c>
      <c r="I27" s="75">
        <f t="shared" si="3"/>
        <v>1234.3333333333335</v>
      </c>
      <c r="J27" s="71">
        <f t="shared" si="4"/>
        <v>144.54451124498019</v>
      </c>
      <c r="K27" s="76">
        <f t="shared" si="5"/>
        <v>1.7820698917068598E-2</v>
      </c>
      <c r="M27">
        <f t="shared" si="6"/>
        <v>4.0786974898450952</v>
      </c>
    </row>
    <row r="28" spans="2:28" x14ac:dyDescent="0.25">
      <c r="B28" t="s">
        <v>160</v>
      </c>
      <c r="C28" s="71">
        <v>1250</v>
      </c>
      <c r="D28" s="72">
        <f>+F28/0.87</f>
        <v>7.2677678965517263</v>
      </c>
      <c r="E28" s="71">
        <f t="shared" si="0"/>
        <v>9084.7098706896577</v>
      </c>
      <c r="F28" s="73">
        <v>6.3229580700000021</v>
      </c>
      <c r="G28" s="71">
        <f t="shared" si="1"/>
        <v>1181.0122831896551</v>
      </c>
      <c r="H28" s="74">
        <f t="shared" si="2"/>
        <v>0.12999999999999995</v>
      </c>
      <c r="I28" s="75">
        <f t="shared" si="3"/>
        <v>881.66666666666686</v>
      </c>
      <c r="J28" s="71">
        <f t="shared" si="4"/>
        <v>299.34561652298828</v>
      </c>
      <c r="K28" s="76">
        <f t="shared" si="5"/>
        <v>3.2950487223458655E-2</v>
      </c>
      <c r="M28">
        <f t="shared" si="6"/>
        <v>6.3956357489655193</v>
      </c>
    </row>
    <row r="29" spans="2:28" x14ac:dyDescent="0.25">
      <c r="B29" t="s">
        <v>161</v>
      </c>
      <c r="C29" s="71">
        <v>1750</v>
      </c>
      <c r="D29" s="72">
        <f>+F29/0.79</f>
        <v>3.5646460759493674</v>
      </c>
      <c r="E29" s="71">
        <f t="shared" si="0"/>
        <v>6238.1306329113931</v>
      </c>
      <c r="F29" s="73">
        <v>2.8160704000000005</v>
      </c>
      <c r="G29" s="71">
        <f t="shared" si="1"/>
        <v>1310.0074329113922</v>
      </c>
      <c r="H29" s="74">
        <f t="shared" si="2"/>
        <v>0.20999999999999994</v>
      </c>
      <c r="I29" s="75">
        <f t="shared" si="3"/>
        <v>1234.3333333333335</v>
      </c>
      <c r="J29" s="71">
        <f t="shared" si="4"/>
        <v>75.674099578058758</v>
      </c>
      <c r="K29" s="76">
        <f t="shared" si="5"/>
        <v>1.2130893697354483E-2</v>
      </c>
      <c r="M29">
        <f t="shared" si="6"/>
        <v>3.1368885468354435</v>
      </c>
    </row>
    <row r="30" spans="2:28" x14ac:dyDescent="0.25">
      <c r="B30" t="s">
        <v>162</v>
      </c>
      <c r="C30" s="71">
        <v>1750</v>
      </c>
      <c r="D30" s="72">
        <f>+F30/0.85</f>
        <v>6.0091388771633598</v>
      </c>
      <c r="E30" s="71">
        <f t="shared" si="0"/>
        <v>10515.993035035879</v>
      </c>
      <c r="F30" s="73">
        <v>5.1077680455888554</v>
      </c>
      <c r="G30" s="71">
        <f t="shared" si="1"/>
        <v>1577.3989552553812</v>
      </c>
      <c r="H30" s="74">
        <f t="shared" si="2"/>
        <v>0.14999999999999994</v>
      </c>
      <c r="I30" s="75">
        <f t="shared" si="3"/>
        <v>1234.3333333333335</v>
      </c>
      <c r="J30" s="71">
        <f t="shared" si="4"/>
        <v>343.06562192204774</v>
      </c>
      <c r="K30" s="76">
        <f t="shared" si="5"/>
        <v>3.2623226430358442E-2</v>
      </c>
      <c r="M30">
        <f t="shared" si="6"/>
        <v>5.2880422119037567</v>
      </c>
    </row>
    <row r="31" spans="2:28" ht="12.6" customHeight="1" x14ac:dyDescent="0.25">
      <c r="B31" t="s">
        <v>163</v>
      </c>
      <c r="C31" s="71">
        <v>1750</v>
      </c>
      <c r="D31" s="72">
        <f>+F31/0.85</f>
        <v>5.3745345825059108</v>
      </c>
      <c r="E31" s="71">
        <f t="shared" si="0"/>
        <v>9405.4355193853444</v>
      </c>
      <c r="F31" s="73">
        <v>4.5683543951300241</v>
      </c>
      <c r="G31" s="71">
        <f t="shared" si="1"/>
        <v>1410.8153279078024</v>
      </c>
      <c r="H31" s="74">
        <f t="shared" si="2"/>
        <v>0.15000000000000008</v>
      </c>
      <c r="I31" s="75">
        <f t="shared" si="3"/>
        <v>1234.3333333333335</v>
      </c>
      <c r="J31" s="71">
        <f t="shared" si="4"/>
        <v>176.4819945744689</v>
      </c>
      <c r="K31" s="76">
        <f t="shared" si="5"/>
        <v>1.8763830150206825E-2</v>
      </c>
      <c r="M31">
        <f t="shared" si="6"/>
        <v>4.7295904326052014</v>
      </c>
    </row>
    <row r="32" spans="2:28" x14ac:dyDescent="0.25">
      <c r="B32" t="s">
        <v>164</v>
      </c>
      <c r="C32" s="71">
        <v>1750</v>
      </c>
      <c r="D32" s="72">
        <f>+F32/0.84</f>
        <v>5.1074982846790888</v>
      </c>
      <c r="E32" s="71">
        <f t="shared" si="0"/>
        <v>8938.121998188406</v>
      </c>
      <c r="F32" s="73">
        <v>4.2902985591304343</v>
      </c>
      <c r="G32" s="71">
        <f t="shared" si="1"/>
        <v>1430.0995197101456</v>
      </c>
      <c r="H32" s="74">
        <f t="shared" si="2"/>
        <v>0.16000000000000009</v>
      </c>
      <c r="I32" s="75">
        <f t="shared" si="3"/>
        <v>1234.3333333333335</v>
      </c>
      <c r="J32" s="71">
        <f t="shared" si="4"/>
        <v>195.76618637681213</v>
      </c>
      <c r="K32" s="76">
        <f t="shared" si="5"/>
        <v>2.1902384686233903E-2</v>
      </c>
      <c r="M32">
        <f t="shared" si="6"/>
        <v>4.494598490517598</v>
      </c>
    </row>
    <row r="33" spans="2:13" ht="17.100000000000001" customHeight="1" x14ac:dyDescent="0.25">
      <c r="B33" t="s">
        <v>165</v>
      </c>
      <c r="C33" s="71">
        <v>1250</v>
      </c>
      <c r="D33" s="72">
        <f>+F33/0.86</f>
        <v>6.142246575581396</v>
      </c>
      <c r="E33" s="71">
        <f t="shared" si="0"/>
        <v>7677.8082194767449</v>
      </c>
      <c r="F33" s="73">
        <v>5.2823320550000004</v>
      </c>
      <c r="G33" s="71">
        <f t="shared" si="1"/>
        <v>1074.8931507267444</v>
      </c>
      <c r="H33" s="74">
        <f t="shared" si="2"/>
        <v>0.14000000000000001</v>
      </c>
      <c r="I33" s="75">
        <f t="shared" si="3"/>
        <v>881.66666666666686</v>
      </c>
      <c r="J33" s="71">
        <f t="shared" si="4"/>
        <v>193.2264840600775</v>
      </c>
      <c r="K33" s="76">
        <f t="shared" si="5"/>
        <v>2.5166880773331714E-2</v>
      </c>
      <c r="M33">
        <f t="shared" si="6"/>
        <v>5.4051769865116288</v>
      </c>
    </row>
    <row r="34" spans="2:13" x14ac:dyDescent="0.25">
      <c r="B34" t="s">
        <v>166</v>
      </c>
      <c r="C34" s="71">
        <v>1250</v>
      </c>
      <c r="D34" s="72">
        <f>+F34/0.86</f>
        <v>6.3443446511627908</v>
      </c>
      <c r="E34" s="71">
        <f t="shared" si="0"/>
        <v>7930.4308139534887</v>
      </c>
      <c r="F34" s="73">
        <v>5.4561364000000001</v>
      </c>
      <c r="G34" s="71">
        <f t="shared" si="1"/>
        <v>1110.2603139534885</v>
      </c>
      <c r="H34" s="74">
        <f t="shared" si="2"/>
        <v>0.14000000000000001</v>
      </c>
      <c r="I34" s="75">
        <f t="shared" si="3"/>
        <v>881.66666666666686</v>
      </c>
      <c r="J34" s="71">
        <f t="shared" si="4"/>
        <v>228.59364728682169</v>
      </c>
      <c r="K34" s="76">
        <f t="shared" si="5"/>
        <v>2.8824871264826392E-2</v>
      </c>
      <c r="M34">
        <f t="shared" si="6"/>
        <v>5.5830232930232562</v>
      </c>
    </row>
    <row r="35" spans="2:13" x14ac:dyDescent="0.25">
      <c r="B35" t="s">
        <v>167</v>
      </c>
      <c r="C35" s="71">
        <v>1750</v>
      </c>
      <c r="D35" s="72">
        <f>+F35/0.8</f>
        <v>3.8701114603503477</v>
      </c>
      <c r="E35" s="71">
        <f t="shared" si="0"/>
        <v>6772.6950556131087</v>
      </c>
      <c r="F35" s="73">
        <v>3.0960891682802782</v>
      </c>
      <c r="G35" s="71">
        <f t="shared" si="1"/>
        <v>1354.5390111226216</v>
      </c>
      <c r="H35" s="74">
        <f t="shared" si="2"/>
        <v>0.19999999999999998</v>
      </c>
      <c r="I35" s="75">
        <f t="shared" si="3"/>
        <v>1234.3333333333335</v>
      </c>
      <c r="J35" s="71">
        <f t="shared" si="4"/>
        <v>120.20567778928807</v>
      </c>
      <c r="K35" s="76">
        <f t="shared" si="5"/>
        <v>1.7748573766017031E-2</v>
      </c>
      <c r="M35">
        <f t="shared" si="6"/>
        <v>3.4056980851083059</v>
      </c>
    </row>
    <row r="36" spans="2:13" x14ac:dyDescent="0.25">
      <c r="B36" t="s">
        <v>168</v>
      </c>
      <c r="C36" s="71">
        <v>1750</v>
      </c>
      <c r="D36" s="72">
        <f>+F36/0.8</f>
        <v>4.2565732484056129</v>
      </c>
      <c r="E36" s="71">
        <f t="shared" si="0"/>
        <v>7449.0031847098226</v>
      </c>
      <c r="F36" s="73">
        <v>3.4052585987244903</v>
      </c>
      <c r="G36" s="71">
        <f t="shared" si="1"/>
        <v>1489.8006369419645</v>
      </c>
      <c r="H36" s="74">
        <f t="shared" si="2"/>
        <v>0.2</v>
      </c>
      <c r="I36" s="75">
        <f t="shared" si="3"/>
        <v>1234.3333333333335</v>
      </c>
      <c r="J36" s="71">
        <f t="shared" si="4"/>
        <v>255.46730360863103</v>
      </c>
      <c r="K36" s="76">
        <f t="shared" si="5"/>
        <v>3.4295501998578191E-2</v>
      </c>
      <c r="M36">
        <f t="shared" si="6"/>
        <v>3.7457844585969395</v>
      </c>
    </row>
    <row r="37" spans="2:13" ht="15.75" thickBot="1" x14ac:dyDescent="0.3">
      <c r="B37" t="s">
        <v>169</v>
      </c>
      <c r="C37" s="71">
        <v>1750</v>
      </c>
      <c r="D37" s="72">
        <f>+F37/0.8</f>
        <v>4.5200456128706197</v>
      </c>
      <c r="E37" s="71">
        <f t="shared" si="0"/>
        <v>7910.0798225235849</v>
      </c>
      <c r="F37" s="73">
        <v>3.6160364902964961</v>
      </c>
      <c r="G37" s="71">
        <f t="shared" si="1"/>
        <v>1582.015964504717</v>
      </c>
      <c r="H37" s="74">
        <f t="shared" si="2"/>
        <v>0.2</v>
      </c>
      <c r="I37" s="75">
        <f t="shared" si="3"/>
        <v>1234.3333333333335</v>
      </c>
      <c r="J37" s="71">
        <f t="shared" si="4"/>
        <v>347.68263117138349</v>
      </c>
      <c r="K37" s="76">
        <f t="shared" si="5"/>
        <v>4.3954377069795596E-2</v>
      </c>
      <c r="M37">
        <f t="shared" si="6"/>
        <v>3.9776401393261454</v>
      </c>
    </row>
    <row r="38" spans="2:13" x14ac:dyDescent="0.25">
      <c r="B38" s="125" t="s">
        <v>170</v>
      </c>
      <c r="C38" s="126">
        <v>1250</v>
      </c>
      <c r="D38" s="127">
        <f>+F38/0.87</f>
        <v>7.4140345192038097</v>
      </c>
      <c r="E38" s="71">
        <f t="shared" si="0"/>
        <v>9267.5431490047613</v>
      </c>
      <c r="F38" s="73">
        <v>6.4502100317073143</v>
      </c>
      <c r="G38" s="71">
        <f t="shared" si="1"/>
        <v>1204.7806093706185</v>
      </c>
      <c r="H38" s="74">
        <f t="shared" si="2"/>
        <v>0.12999999999999995</v>
      </c>
      <c r="I38" s="75">
        <f t="shared" si="3"/>
        <v>881.66666666666686</v>
      </c>
      <c r="J38" s="71">
        <f t="shared" si="4"/>
        <v>323.11394270395169</v>
      </c>
      <c r="K38" s="76">
        <f t="shared" si="5"/>
        <v>3.4865113386458937E-2</v>
      </c>
      <c r="M38">
        <f t="shared" si="6"/>
        <v>6.5243503768993527</v>
      </c>
    </row>
    <row r="39" spans="2:13" x14ac:dyDescent="0.25">
      <c r="B39" s="51" t="s">
        <v>171</v>
      </c>
      <c r="C39" s="128">
        <v>1250</v>
      </c>
      <c r="D39" s="129">
        <f>+F39/0.86</f>
        <v>6.5069224342565164</v>
      </c>
      <c r="E39" s="71">
        <f t="shared" si="0"/>
        <v>8133.6530428206452</v>
      </c>
      <c r="F39" s="73">
        <v>5.595953293460604</v>
      </c>
      <c r="G39" s="71">
        <f t="shared" si="1"/>
        <v>1138.7114259948903</v>
      </c>
      <c r="H39" s="74">
        <f t="shared" si="2"/>
        <v>0.13999999999999999</v>
      </c>
      <c r="I39" s="75">
        <f t="shared" si="3"/>
        <v>881.66666666666686</v>
      </c>
      <c r="J39" s="71">
        <f t="shared" si="4"/>
        <v>257.04475932822345</v>
      </c>
      <c r="K39" s="76">
        <f t="shared" si="5"/>
        <v>3.1602621598804226E-2</v>
      </c>
      <c r="M39">
        <f t="shared" si="6"/>
        <v>5.7260917421457345</v>
      </c>
    </row>
    <row r="40" spans="2:13" x14ac:dyDescent="0.25">
      <c r="B40" s="51" t="s">
        <v>172</v>
      </c>
      <c r="C40" s="128">
        <v>1750</v>
      </c>
      <c r="D40" s="129">
        <f>+F40/0.86</f>
        <v>5.9402539289922514</v>
      </c>
      <c r="E40" s="71">
        <f t="shared" si="0"/>
        <v>10395.444375736441</v>
      </c>
      <c r="F40" s="73">
        <v>5.1086183789333361</v>
      </c>
      <c r="G40" s="71">
        <f t="shared" si="1"/>
        <v>1455.3622126031023</v>
      </c>
      <c r="H40" s="74">
        <f t="shared" si="2"/>
        <v>0.14000000000000007</v>
      </c>
      <c r="I40" s="75">
        <f t="shared" si="3"/>
        <v>1234.3333333333335</v>
      </c>
      <c r="J40" s="71">
        <f t="shared" si="4"/>
        <v>221.02887926976882</v>
      </c>
      <c r="K40" s="76">
        <f t="shared" si="5"/>
        <v>2.1262090515886248E-2</v>
      </c>
      <c r="M40">
        <f t="shared" si="6"/>
        <v>5.227423457513181</v>
      </c>
    </row>
    <row r="41" spans="2:13" ht="15.75" thickBot="1" x14ac:dyDescent="0.3">
      <c r="B41" s="51" t="s">
        <v>173</v>
      </c>
      <c r="C41" s="128">
        <v>1750</v>
      </c>
      <c r="D41" s="129">
        <f>+F41/0.85</f>
        <v>5.7540127542857133</v>
      </c>
      <c r="E41" s="71">
        <f t="shared" si="0"/>
        <v>10069.522319999998</v>
      </c>
      <c r="F41" s="73">
        <v>4.8909108411428566</v>
      </c>
      <c r="G41" s="71">
        <f t="shared" si="1"/>
        <v>1510.4283479999995</v>
      </c>
      <c r="H41" s="74">
        <f t="shared" si="2"/>
        <v>0.14999999999999997</v>
      </c>
      <c r="I41" s="75">
        <f t="shared" si="3"/>
        <v>1234.3333333333335</v>
      </c>
      <c r="J41" s="71">
        <f t="shared" si="4"/>
        <v>276.09501466666597</v>
      </c>
      <c r="K41" s="76">
        <f t="shared" si="5"/>
        <v>2.7418879058273542E-2</v>
      </c>
      <c r="M41">
        <f t="shared" si="6"/>
        <v>5.0635312237714274</v>
      </c>
    </row>
    <row r="42" spans="2:13" ht="15.75" thickBot="1" x14ac:dyDescent="0.3">
      <c r="B42" s="130" t="s">
        <v>174</v>
      </c>
      <c r="C42" s="131">
        <v>1750</v>
      </c>
      <c r="D42" s="124">
        <f>+F42/0.85</f>
        <v>5.4768428000000018</v>
      </c>
      <c r="E42" s="71">
        <f t="shared" si="0"/>
        <v>9584.4749000000029</v>
      </c>
      <c r="F42" s="73">
        <v>4.6553163800000013</v>
      </c>
      <c r="G42" s="71">
        <f t="shared" si="1"/>
        <v>1437.6712350000007</v>
      </c>
      <c r="H42" s="74">
        <f t="shared" si="2"/>
        <v>0.15000000000000002</v>
      </c>
      <c r="I42" s="75">
        <f t="shared" si="3"/>
        <v>1234.3333333333335</v>
      </c>
      <c r="J42" s="71">
        <f t="shared" si="4"/>
        <v>203.33790166666722</v>
      </c>
      <c r="K42" s="76">
        <f t="shared" si="5"/>
        <v>2.1215340828600548E-2</v>
      </c>
      <c r="M42">
        <f t="shared" si="6"/>
        <v>4.8196216640000014</v>
      </c>
    </row>
    <row r="43" spans="2:13" x14ac:dyDescent="0.25">
      <c r="B43" t="s">
        <v>175</v>
      </c>
      <c r="C43" s="71">
        <v>1250</v>
      </c>
      <c r="D43" s="72">
        <f>+F43/0.87</f>
        <v>6.9794848275862069</v>
      </c>
      <c r="E43" s="71">
        <f t="shared" si="0"/>
        <v>8724.3560344827583</v>
      </c>
      <c r="F43" s="73">
        <v>6.0721518000000003</v>
      </c>
      <c r="G43" s="71">
        <f t="shared" si="1"/>
        <v>1134.1662844827579</v>
      </c>
      <c r="H43" s="74">
        <f t="shared" si="2"/>
        <v>0.12999999999999992</v>
      </c>
      <c r="I43" s="75">
        <f t="shared" si="3"/>
        <v>881.66666666666686</v>
      </c>
      <c r="J43" s="71">
        <f t="shared" si="4"/>
        <v>252.49961781609102</v>
      </c>
      <c r="K43" s="76">
        <f t="shared" si="5"/>
        <v>2.894192039138405E-2</v>
      </c>
      <c r="M43">
        <f t="shared" si="6"/>
        <v>6.1419466482758622</v>
      </c>
    </row>
    <row r="44" spans="2:13" x14ac:dyDescent="0.25">
      <c r="B44" t="s">
        <v>176</v>
      </c>
      <c r="C44" s="71">
        <v>1250</v>
      </c>
      <c r="D44" s="72">
        <f>+F44/0.87</f>
        <v>7.030060804597702</v>
      </c>
      <c r="E44" s="71">
        <f t="shared" si="0"/>
        <v>8787.5760057471271</v>
      </c>
      <c r="F44" s="73">
        <v>6.1161529000000003</v>
      </c>
      <c r="G44" s="71">
        <f t="shared" si="1"/>
        <v>1142.3848807471268</v>
      </c>
      <c r="H44" s="74">
        <f t="shared" si="2"/>
        <v>0.13000000000000003</v>
      </c>
      <c r="I44" s="75">
        <f t="shared" si="3"/>
        <v>881.66666666666686</v>
      </c>
      <c r="J44" s="71">
        <f t="shared" si="4"/>
        <v>260.71821408045992</v>
      </c>
      <c r="K44" s="76">
        <f t="shared" si="5"/>
        <v>2.9668956935331045E-2</v>
      </c>
      <c r="M44">
        <f t="shared" si="6"/>
        <v>6.1864535080459779</v>
      </c>
    </row>
    <row r="45" spans="2:13" ht="15.75" thickBot="1" x14ac:dyDescent="0.3">
      <c r="B45" t="s">
        <v>177</v>
      </c>
      <c r="C45" s="71">
        <v>1250</v>
      </c>
      <c r="D45" s="72">
        <f>+F45/0.86</f>
        <v>6.2931805813953492</v>
      </c>
      <c r="E45" s="71">
        <f t="shared" si="0"/>
        <v>7866.4757267441864</v>
      </c>
      <c r="F45" s="73">
        <v>5.4121353000000001</v>
      </c>
      <c r="G45" s="71">
        <f t="shared" si="1"/>
        <v>1101.3066017441861</v>
      </c>
      <c r="H45" s="74">
        <f t="shared" si="2"/>
        <v>0.13999999999999999</v>
      </c>
      <c r="I45" s="75">
        <f t="shared" si="3"/>
        <v>881.66666666666686</v>
      </c>
      <c r="J45" s="71">
        <f t="shared" si="4"/>
        <v>219.63993507751923</v>
      </c>
      <c r="K45" s="76">
        <f t="shared" si="5"/>
        <v>2.7921008429581059E-2</v>
      </c>
      <c r="M45">
        <f t="shared" si="6"/>
        <v>5.5379989116279074</v>
      </c>
    </row>
    <row r="46" spans="2:13" ht="15.75" thickBot="1" x14ac:dyDescent="0.3">
      <c r="B46" s="132" t="s">
        <v>178</v>
      </c>
      <c r="C46" s="133">
        <v>1250</v>
      </c>
      <c r="D46" s="134">
        <f>+F46/0.89</f>
        <v>11.371070786516853</v>
      </c>
      <c r="E46" s="71">
        <f t="shared" si="0"/>
        <v>14213.838483146066</v>
      </c>
      <c r="F46" s="73">
        <v>10.120253</v>
      </c>
      <c r="G46" s="71">
        <f t="shared" si="1"/>
        <v>1563.5222331460664</v>
      </c>
      <c r="H46" s="74">
        <f t="shared" si="2"/>
        <v>0.10999999999999993</v>
      </c>
      <c r="I46" s="75">
        <f t="shared" si="3"/>
        <v>881.66666666666686</v>
      </c>
      <c r="J46" s="71">
        <f t="shared" si="4"/>
        <v>681.8555664793995</v>
      </c>
      <c r="K46" s="76">
        <f t="shared" si="5"/>
        <v>4.7971247688504672E-2</v>
      </c>
      <c r="M46">
        <f t="shared" si="6"/>
        <v>10.006542292134831</v>
      </c>
    </row>
    <row r="47" spans="2:13" x14ac:dyDescent="0.25">
      <c r="B47" t="s">
        <v>179</v>
      </c>
      <c r="C47" s="71">
        <v>1250</v>
      </c>
      <c r="D47" s="72">
        <f>+F47/0.88</f>
        <v>7.5593781689189177</v>
      </c>
      <c r="E47" s="71">
        <f t="shared" si="0"/>
        <v>9449.2227111486463</v>
      </c>
      <c r="F47" s="73">
        <v>6.6522527886486476</v>
      </c>
      <c r="G47" s="71">
        <f t="shared" si="1"/>
        <v>1133.9067253378362</v>
      </c>
      <c r="H47" s="74">
        <f t="shared" si="2"/>
        <v>0.11999999999999986</v>
      </c>
      <c r="I47" s="75">
        <f t="shared" si="3"/>
        <v>881.66666666666686</v>
      </c>
      <c r="J47" s="71">
        <f t="shared" si="4"/>
        <v>252.24005867116932</v>
      </c>
      <c r="K47" s="76">
        <f t="shared" si="5"/>
        <v>2.6694265378417254E-2</v>
      </c>
      <c r="M47">
        <f t="shared" si="6"/>
        <v>6.6522527886486476</v>
      </c>
    </row>
    <row r="48" spans="2:13" x14ac:dyDescent="0.25">
      <c r="B48" t="s">
        <v>180</v>
      </c>
      <c r="C48" s="71">
        <v>1750</v>
      </c>
      <c r="D48" s="72">
        <f>+F48/0.85</f>
        <v>5.8614140838709679</v>
      </c>
      <c r="E48" s="71">
        <f t="shared" si="0"/>
        <v>10257.474646774193</v>
      </c>
      <c r="F48" s="73">
        <v>4.9822019712903227</v>
      </c>
      <c r="G48" s="71">
        <f t="shared" si="1"/>
        <v>1538.6211970161294</v>
      </c>
      <c r="H48" s="74">
        <f t="shared" si="2"/>
        <v>0.15000000000000002</v>
      </c>
      <c r="I48" s="75">
        <f t="shared" si="3"/>
        <v>1234.3333333333335</v>
      </c>
      <c r="J48" s="71">
        <f t="shared" si="4"/>
        <v>304.28786368279589</v>
      </c>
      <c r="K48" s="76">
        <f t="shared" si="5"/>
        <v>2.9664988134139762E-2</v>
      </c>
      <c r="M48">
        <f t="shared" si="6"/>
        <v>5.1580443938064517</v>
      </c>
    </row>
    <row r="49" spans="2:13" x14ac:dyDescent="0.25">
      <c r="B49" t="s">
        <v>181</v>
      </c>
      <c r="C49" s="71">
        <v>1750</v>
      </c>
      <c r="D49" s="72">
        <f>+F49/0.86</f>
        <v>5.9094500581395355</v>
      </c>
      <c r="E49" s="71">
        <f t="shared" si="0"/>
        <v>10341.537601744187</v>
      </c>
      <c r="F49" s="73">
        <v>5.0821270500000004</v>
      </c>
      <c r="G49" s="71">
        <f t="shared" si="1"/>
        <v>1447.8152642441855</v>
      </c>
      <c r="H49" s="74">
        <f t="shared" si="2"/>
        <v>0.13999999999999993</v>
      </c>
      <c r="I49" s="75">
        <f t="shared" si="3"/>
        <v>1234.3333333333335</v>
      </c>
      <c r="J49" s="71">
        <f t="shared" si="4"/>
        <v>213.48193091085204</v>
      </c>
      <c r="K49" s="76">
        <f t="shared" si="5"/>
        <v>2.0643151834099267E-2</v>
      </c>
      <c r="M49">
        <f t="shared" si="6"/>
        <v>5.2003160511627913</v>
      </c>
    </row>
    <row r="50" spans="2:13" x14ac:dyDescent="0.25">
      <c r="B50" t="s">
        <v>182</v>
      </c>
      <c r="C50" s="71">
        <v>1250</v>
      </c>
      <c r="D50" s="72">
        <f>+F50/0.89</f>
        <v>11.117731424975402</v>
      </c>
      <c r="E50" s="71">
        <f t="shared" si="0"/>
        <v>13897.164281219251</v>
      </c>
      <c r="F50" s="73">
        <v>9.8947809682281083</v>
      </c>
      <c r="G50" s="71">
        <f t="shared" si="1"/>
        <v>1528.6880709341167</v>
      </c>
      <c r="H50" s="74">
        <f t="shared" si="2"/>
        <v>0.10999999999999993</v>
      </c>
      <c r="I50" s="75">
        <f t="shared" si="3"/>
        <v>881.66666666666686</v>
      </c>
      <c r="J50" s="71">
        <f t="shared" si="4"/>
        <v>647.02140426744984</v>
      </c>
      <c r="K50" s="76">
        <f t="shared" si="5"/>
        <v>4.6557800654471661E-2</v>
      </c>
      <c r="M50">
        <f t="shared" si="6"/>
        <v>9.7836036539783535</v>
      </c>
    </row>
    <row r="51" spans="2:13" x14ac:dyDescent="0.25">
      <c r="B51" t="s">
        <v>183</v>
      </c>
      <c r="C51" s="71">
        <v>1000</v>
      </c>
      <c r="D51" s="72">
        <f>+F51/0.9</f>
        <v>14.081727140294698</v>
      </c>
      <c r="E51" s="71">
        <f t="shared" si="0"/>
        <v>14081.727140294697</v>
      </c>
      <c r="F51" s="73">
        <v>12.673554426265229</v>
      </c>
      <c r="G51" s="71">
        <f t="shared" si="1"/>
        <v>1408.1727140294679</v>
      </c>
      <c r="H51" s="74">
        <f t="shared" si="2"/>
        <v>9.9999999999999867E-2</v>
      </c>
      <c r="I51" s="75">
        <f t="shared" si="3"/>
        <v>705.33333333333348</v>
      </c>
      <c r="J51" s="71">
        <f t="shared" si="4"/>
        <v>702.83938069613441</v>
      </c>
      <c r="K51" s="76">
        <f t="shared" si="5"/>
        <v>4.9911447203444793E-2</v>
      </c>
      <c r="M51">
        <f t="shared" si="6"/>
        <v>12.391919883459334</v>
      </c>
    </row>
    <row r="52" spans="2:13" x14ac:dyDescent="0.25">
      <c r="B52" t="s">
        <v>184</v>
      </c>
      <c r="C52" s="71">
        <v>1250</v>
      </c>
      <c r="D52" s="72">
        <f>+F52/0.89</f>
        <v>10.777904888433431</v>
      </c>
      <c r="E52" s="71">
        <f t="shared" si="0"/>
        <v>13472.38111054179</v>
      </c>
      <c r="F52" s="73">
        <v>9.5923353507057545</v>
      </c>
      <c r="G52" s="71">
        <f t="shared" si="1"/>
        <v>1481.9619221595967</v>
      </c>
      <c r="H52" s="74">
        <f t="shared" si="2"/>
        <v>0.10999999999999999</v>
      </c>
      <c r="I52" s="75">
        <f t="shared" si="3"/>
        <v>881.66666666666686</v>
      </c>
      <c r="J52" s="71">
        <f t="shared" si="4"/>
        <v>600.29525549292987</v>
      </c>
      <c r="K52" s="76">
        <f t="shared" si="5"/>
        <v>4.455747284518357E-2</v>
      </c>
      <c r="M52">
        <f t="shared" si="6"/>
        <v>9.484556301821419</v>
      </c>
    </row>
    <row r="53" spans="2:13" x14ac:dyDescent="0.25">
      <c r="B53" t="s">
        <v>185</v>
      </c>
      <c r="C53" s="71">
        <v>1750</v>
      </c>
      <c r="D53" s="72">
        <f>+F53/0.82</f>
        <v>4.2413563538652346</v>
      </c>
      <c r="E53" s="71">
        <f t="shared" si="0"/>
        <v>7422.3736192641609</v>
      </c>
      <c r="F53" s="73">
        <v>3.4779122101694919</v>
      </c>
      <c r="G53" s="71">
        <f t="shared" si="1"/>
        <v>1336.0272514675498</v>
      </c>
      <c r="H53" s="74">
        <f t="shared" si="2"/>
        <v>0.1800000000000001</v>
      </c>
      <c r="I53" s="75">
        <f t="shared" si="3"/>
        <v>1234.3333333333335</v>
      </c>
      <c r="J53" s="71">
        <f t="shared" si="4"/>
        <v>101.69391813421635</v>
      </c>
      <c r="K53" s="76">
        <f t="shared" si="5"/>
        <v>1.370099692506426E-2</v>
      </c>
      <c r="M53">
        <f t="shared" si="6"/>
        <v>3.7323935914014066</v>
      </c>
    </row>
    <row r="54" spans="2:13" x14ac:dyDescent="0.25">
      <c r="B54" t="s">
        <v>186</v>
      </c>
      <c r="C54" s="71">
        <v>1750</v>
      </c>
      <c r="D54" s="72">
        <f>+F54/0.805</f>
        <v>3.893057389872375</v>
      </c>
      <c r="E54" s="71">
        <f t="shared" si="0"/>
        <v>6812.8504322766566</v>
      </c>
      <c r="F54" s="73">
        <v>3.1339111988472621</v>
      </c>
      <c r="G54" s="71">
        <f t="shared" si="1"/>
        <v>1328.5058342939483</v>
      </c>
      <c r="H54" s="74">
        <f t="shared" si="2"/>
        <v>0.19500000000000003</v>
      </c>
      <c r="I54" s="75">
        <f t="shared" si="3"/>
        <v>1234.3333333333335</v>
      </c>
      <c r="J54" s="71">
        <f t="shared" si="4"/>
        <v>94.172500960614798</v>
      </c>
      <c r="K54" s="76">
        <f t="shared" si="5"/>
        <v>1.3822775341501968E-2</v>
      </c>
      <c r="M54">
        <f t="shared" si="6"/>
        <v>3.4258905030876901</v>
      </c>
    </row>
    <row r="55" spans="2:13" x14ac:dyDescent="0.25">
      <c r="B55" t="s">
        <v>187</v>
      </c>
      <c r="C55" s="71">
        <v>1000</v>
      </c>
      <c r="D55" s="72">
        <f>+F55/0.91</f>
        <v>15.245693499140637</v>
      </c>
      <c r="E55" s="71">
        <f t="shared" si="0"/>
        <v>15245.693499140638</v>
      </c>
      <c r="F55" s="73">
        <v>13.87358108421798</v>
      </c>
      <c r="G55" s="71">
        <f t="shared" si="1"/>
        <v>1372.112414922658</v>
      </c>
      <c r="H55" s="74">
        <f t="shared" si="2"/>
        <v>9.0000000000000038E-2</v>
      </c>
      <c r="I55" s="75">
        <f t="shared" si="3"/>
        <v>705.33333333333348</v>
      </c>
      <c r="J55" s="71">
        <f t="shared" si="4"/>
        <v>666.77908158932451</v>
      </c>
      <c r="K55" s="76">
        <f t="shared" si="5"/>
        <v>4.3735569105263015E-2</v>
      </c>
      <c r="M55">
        <f t="shared" si="6"/>
        <v>13.416210279243762</v>
      </c>
    </row>
    <row r="56" spans="2:13" x14ac:dyDescent="0.25">
      <c r="B56" t="s">
        <v>188</v>
      </c>
      <c r="C56" s="71">
        <v>1250</v>
      </c>
      <c r="D56" s="72">
        <f>+F56/0.88</f>
        <v>8.5002124999999999</v>
      </c>
      <c r="E56" s="71">
        <f t="shared" si="0"/>
        <v>10625.265625</v>
      </c>
      <c r="F56" s="73">
        <v>7.4801869999999999</v>
      </c>
      <c r="G56" s="71">
        <f t="shared" si="1"/>
        <v>1275.0318750000006</v>
      </c>
      <c r="H56" s="74">
        <f t="shared" si="2"/>
        <v>0.12000000000000005</v>
      </c>
      <c r="I56" s="75">
        <f t="shared" si="3"/>
        <v>881.66666666666686</v>
      </c>
      <c r="J56" s="71">
        <f t="shared" si="4"/>
        <v>393.36520833333373</v>
      </c>
      <c r="K56" s="76">
        <f t="shared" si="5"/>
        <v>3.7021682301079765E-2</v>
      </c>
      <c r="M56">
        <f t="shared" si="6"/>
        <v>7.4801869999999999</v>
      </c>
    </row>
    <row r="57" spans="2:13" ht="15.95" customHeight="1" x14ac:dyDescent="0.25">
      <c r="B57" t="s">
        <v>189</v>
      </c>
      <c r="C57" s="71">
        <v>1250</v>
      </c>
      <c r="D57" s="72">
        <f>+F57/0.87</f>
        <v>6.8782670622723776</v>
      </c>
      <c r="E57" s="71">
        <f t="shared" si="0"/>
        <v>8597.8338278404717</v>
      </c>
      <c r="F57" s="73">
        <v>5.9840923441769682</v>
      </c>
      <c r="G57" s="71">
        <f t="shared" si="1"/>
        <v>1117.7183976192619</v>
      </c>
      <c r="H57" s="74">
        <f t="shared" si="2"/>
        <v>0.13000000000000006</v>
      </c>
      <c r="I57" s="75">
        <f t="shared" si="3"/>
        <v>881.66666666666686</v>
      </c>
      <c r="J57" s="71">
        <f t="shared" si="4"/>
        <v>236.05173095259499</v>
      </c>
      <c r="K57" s="76">
        <f t="shared" si="5"/>
        <v>2.7454791018202824E-2</v>
      </c>
      <c r="M57">
        <f t="shared" si="6"/>
        <v>6.0528750147996924</v>
      </c>
    </row>
    <row r="58" spans="2:13" x14ac:dyDescent="0.25">
      <c r="B58" t="s">
        <v>190</v>
      </c>
      <c r="C58" s="71">
        <v>1250</v>
      </c>
      <c r="D58" s="72">
        <f>+F58/0.87</f>
        <v>6.9288041384069876</v>
      </c>
      <c r="E58" s="71">
        <f t="shared" si="0"/>
        <v>8661.0051730087343</v>
      </c>
      <c r="F58" s="73">
        <v>6.0280596004140792</v>
      </c>
      <c r="G58" s="71">
        <f t="shared" si="1"/>
        <v>1125.9306724911357</v>
      </c>
      <c r="H58" s="74">
        <f t="shared" si="2"/>
        <v>0.13000000000000003</v>
      </c>
      <c r="I58" s="75">
        <f t="shared" si="3"/>
        <v>881.66666666666686</v>
      </c>
      <c r="J58" s="71">
        <f t="shared" si="4"/>
        <v>244.26400582446888</v>
      </c>
      <c r="K58" s="76">
        <f t="shared" si="5"/>
        <v>2.8202731778257828E-2</v>
      </c>
      <c r="M58">
        <f t="shared" si="6"/>
        <v>6.0973476417981489</v>
      </c>
    </row>
    <row r="59" spans="2:13" x14ac:dyDescent="0.25">
      <c r="B59" t="s">
        <v>191</v>
      </c>
      <c r="C59" s="71">
        <v>1250</v>
      </c>
      <c r="D59" s="72">
        <f t="shared" si="8"/>
        <v>8.4254849226549382</v>
      </c>
      <c r="E59" s="71">
        <f t="shared" si="0"/>
        <v>10531.856153318673</v>
      </c>
      <c r="F59" s="73">
        <v>7.4144267319363459</v>
      </c>
      <c r="G59" s="71">
        <f t="shared" si="1"/>
        <v>1263.8227383982412</v>
      </c>
      <c r="H59" s="74">
        <f t="shared" si="2"/>
        <v>0.12000000000000004</v>
      </c>
      <c r="I59" s="75">
        <f t="shared" si="3"/>
        <v>881.66666666666686</v>
      </c>
      <c r="J59" s="71">
        <f t="shared" si="4"/>
        <v>382.15607173157434</v>
      </c>
      <c r="K59" s="76">
        <f t="shared" si="5"/>
        <v>3.6285728381426276E-2</v>
      </c>
      <c r="M59">
        <f t="shared" si="6"/>
        <v>7.4144267319363459</v>
      </c>
    </row>
    <row r="60" spans="2:13" x14ac:dyDescent="0.25">
      <c r="B60" t="s">
        <v>192</v>
      </c>
      <c r="C60" s="71">
        <v>1750</v>
      </c>
      <c r="D60" s="72">
        <f>+F60/0.82</f>
        <v>4.2391303658536588</v>
      </c>
      <c r="E60" s="71">
        <f t="shared" si="0"/>
        <v>7418.478140243903</v>
      </c>
      <c r="F60" s="73">
        <v>3.4760869000000003</v>
      </c>
      <c r="G60" s="71">
        <f t="shared" si="1"/>
        <v>1335.3260652439021</v>
      </c>
      <c r="H60" s="74">
        <f t="shared" si="2"/>
        <v>0.17999999999999994</v>
      </c>
      <c r="I60" s="75">
        <f t="shared" si="3"/>
        <v>1234.3333333333335</v>
      </c>
      <c r="J60" s="71">
        <f t="shared" si="4"/>
        <v>100.99273191056864</v>
      </c>
      <c r="K60" s="76">
        <f t="shared" si="5"/>
        <v>1.361367250820641E-2</v>
      </c>
      <c r="M60">
        <f t="shared" si="6"/>
        <v>3.7304347219512199</v>
      </c>
    </row>
    <row r="61" spans="2:13" x14ac:dyDescent="0.25">
      <c r="B61" t="s">
        <v>193</v>
      </c>
      <c r="C61" s="71">
        <v>1750</v>
      </c>
      <c r="D61" s="72">
        <f>+F61/0.78</f>
        <v>3.2867778616352199</v>
      </c>
      <c r="E61" s="71">
        <f t="shared" si="0"/>
        <v>5751.8612578616348</v>
      </c>
      <c r="F61" s="73">
        <v>2.5636867320754715</v>
      </c>
      <c r="G61" s="71">
        <f t="shared" si="1"/>
        <v>1265.4094767295601</v>
      </c>
      <c r="H61" s="74">
        <f t="shared" si="2"/>
        <v>0.22000000000000008</v>
      </c>
      <c r="I61" s="75">
        <f t="shared" si="3"/>
        <v>1234.3333333333335</v>
      </c>
      <c r="J61" s="71">
        <f t="shared" si="4"/>
        <v>31.076143396226598</v>
      </c>
      <c r="K61" s="76">
        <f t="shared" si="5"/>
        <v>5.4027978080576572E-3</v>
      </c>
      <c r="M61">
        <f t="shared" si="6"/>
        <v>2.8923645182389937</v>
      </c>
    </row>
    <row r="62" spans="2:13" x14ac:dyDescent="0.25">
      <c r="B62" t="s">
        <v>194</v>
      </c>
      <c r="C62" s="71">
        <v>1250</v>
      </c>
      <c r="D62" s="72">
        <f>+F62/0.86</f>
        <v>6.3955087209302341</v>
      </c>
      <c r="E62" s="71">
        <f t="shared" si="0"/>
        <v>7994.3859011627928</v>
      </c>
      <c r="F62" s="73">
        <v>5.500137500000001</v>
      </c>
      <c r="G62" s="71">
        <f t="shared" si="1"/>
        <v>1119.2140261627919</v>
      </c>
      <c r="H62" s="74">
        <f t="shared" si="2"/>
        <v>0.14000000000000012</v>
      </c>
      <c r="I62" s="75">
        <f t="shared" si="3"/>
        <v>881.66666666666686</v>
      </c>
      <c r="J62" s="71">
        <f t="shared" si="4"/>
        <v>237.54735949612507</v>
      </c>
      <c r="K62" s="76">
        <f t="shared" si="5"/>
        <v>2.9714272294707907E-2</v>
      </c>
      <c r="M62">
        <f t="shared" si="6"/>
        <v>5.6280476744186059</v>
      </c>
    </row>
    <row r="63" spans="2:13" x14ac:dyDescent="0.25">
      <c r="B63" t="s">
        <v>195</v>
      </c>
      <c r="C63" s="71">
        <v>1250</v>
      </c>
      <c r="D63" s="72">
        <f>+F63/0.86</f>
        <v>6.1732611998954781</v>
      </c>
      <c r="E63" s="71">
        <f t="shared" si="0"/>
        <v>7716.5764998693476</v>
      </c>
      <c r="F63" s="73">
        <v>5.3090046319101107</v>
      </c>
      <c r="G63" s="71">
        <f t="shared" si="1"/>
        <v>1080.3207099817091</v>
      </c>
      <c r="H63" s="74">
        <f t="shared" si="2"/>
        <v>0.14000000000000007</v>
      </c>
      <c r="I63" s="75">
        <f t="shared" si="3"/>
        <v>881.66666666666686</v>
      </c>
      <c r="J63" s="71">
        <f t="shared" si="4"/>
        <v>198.65404331504226</v>
      </c>
      <c r="K63" s="76">
        <f t="shared" si="5"/>
        <v>2.5743805341449766E-2</v>
      </c>
      <c r="M63">
        <f t="shared" si="6"/>
        <v>5.4324698559080211</v>
      </c>
    </row>
    <row r="64" spans="2:13" x14ac:dyDescent="0.25">
      <c r="B64" t="s">
        <v>196</v>
      </c>
      <c r="C64" s="71">
        <v>1250</v>
      </c>
      <c r="D64" s="72">
        <f t="shared" ref="D64" si="9">+F64/0.87</f>
        <v>6.9792169260810377</v>
      </c>
      <c r="E64" s="71">
        <f t="shared" si="0"/>
        <v>8724.0211576012971</v>
      </c>
      <c r="F64" s="73">
        <v>6.0719187256905025</v>
      </c>
      <c r="G64" s="71">
        <f t="shared" si="1"/>
        <v>1134.122750488169</v>
      </c>
      <c r="H64" s="74">
        <f t="shared" si="2"/>
        <v>0.13000000000000003</v>
      </c>
      <c r="I64" s="75">
        <f t="shared" si="3"/>
        <v>881.66666666666686</v>
      </c>
      <c r="J64" s="71">
        <f t="shared" si="4"/>
        <v>252.45608382150215</v>
      </c>
      <c r="K64" s="76">
        <f t="shared" si="5"/>
        <v>2.8938041215264075E-2</v>
      </c>
      <c r="M64">
        <f t="shared" si="6"/>
        <v>6.1417108949513128</v>
      </c>
    </row>
    <row r="65" spans="2:13" x14ac:dyDescent="0.25">
      <c r="B65" t="s">
        <v>197</v>
      </c>
      <c r="C65" s="71">
        <v>1250</v>
      </c>
      <c r="D65" s="72">
        <f>+F65/0.86</f>
        <v>6.3788803982558155</v>
      </c>
      <c r="E65" s="71">
        <f t="shared" si="0"/>
        <v>7973.6004978197698</v>
      </c>
      <c r="F65" s="73">
        <v>5.4858371425000012</v>
      </c>
      <c r="G65" s="71">
        <f t="shared" si="1"/>
        <v>1116.3040696947683</v>
      </c>
      <c r="H65" s="74">
        <f t="shared" si="2"/>
        <v>0.14000000000000007</v>
      </c>
      <c r="I65" s="75">
        <f t="shared" si="3"/>
        <v>881.66666666666686</v>
      </c>
      <c r="J65" s="71">
        <f t="shared" si="4"/>
        <v>234.6374030281014</v>
      </c>
      <c r="K65" s="76">
        <f t="shared" si="5"/>
        <v>2.9426781927719924E-2</v>
      </c>
      <c r="M65">
        <f t="shared" si="6"/>
        <v>5.6134147504651173</v>
      </c>
    </row>
    <row r="66" spans="2:13" x14ac:dyDescent="0.25">
      <c r="B66" t="s">
        <v>198</v>
      </c>
      <c r="C66" s="71">
        <v>1250</v>
      </c>
      <c r="D66" s="72">
        <f>+F66/0.86</f>
        <v>6.0025686651162795</v>
      </c>
      <c r="E66" s="71">
        <f t="shared" si="0"/>
        <v>7503.2108313953495</v>
      </c>
      <c r="F66" s="73">
        <v>5.1622090520000006</v>
      </c>
      <c r="G66" s="71">
        <f t="shared" si="1"/>
        <v>1050.4495163953488</v>
      </c>
      <c r="H66" s="74">
        <f t="shared" si="2"/>
        <v>0.13999999999999999</v>
      </c>
      <c r="I66" s="75">
        <f t="shared" si="3"/>
        <v>881.66666666666686</v>
      </c>
      <c r="J66" s="71">
        <f t="shared" si="4"/>
        <v>168.78284972868198</v>
      </c>
      <c r="K66" s="76">
        <f t="shared" si="5"/>
        <v>2.2494749717341202E-2</v>
      </c>
      <c r="M66">
        <f t="shared" si="6"/>
        <v>5.2822604253023258</v>
      </c>
    </row>
    <row r="67" spans="2:13" x14ac:dyDescent="0.25">
      <c r="B67" t="s">
        <v>199</v>
      </c>
      <c r="C67" s="71">
        <v>1250</v>
      </c>
      <c r="D67" s="72">
        <f t="shared" ref="D67:D72" si="10">+F67/0.9</f>
        <v>10.736268400000002</v>
      </c>
      <c r="E67" s="71">
        <f t="shared" ref="E67:E73" si="11">+C67*D67</f>
        <v>13420.335500000003</v>
      </c>
      <c r="F67" s="73">
        <v>9.6626415600000026</v>
      </c>
      <c r="G67" s="71">
        <f t="shared" ref="G67:G73" si="12">+E67-C67*F67</f>
        <v>1342.0335500000001</v>
      </c>
      <c r="H67" s="74">
        <f t="shared" ref="H67:H74" si="13">+G67/E67</f>
        <v>9.9999999999999992E-2</v>
      </c>
      <c r="I67" s="75">
        <f t="shared" ref="I67:I73" si="14">+C67*$D$117</f>
        <v>881.66666666666686</v>
      </c>
      <c r="J67" s="71">
        <f t="shared" ref="J67:J73" si="15">+G67-I67</f>
        <v>460.36688333333325</v>
      </c>
      <c r="K67" s="76">
        <f t="shared" ref="K67:K73" si="16">+J67/E67</f>
        <v>3.4303679169073911E-2</v>
      </c>
      <c r="M67">
        <f t="shared" ref="M67:M73" si="17">+D67*0.88</f>
        <v>9.447916192000001</v>
      </c>
    </row>
    <row r="68" spans="2:13" x14ac:dyDescent="0.25">
      <c r="B68" t="s">
        <v>200</v>
      </c>
      <c r="C68" s="71">
        <v>1250</v>
      </c>
      <c r="D68" s="72">
        <f t="shared" si="10"/>
        <v>10.462483777777779</v>
      </c>
      <c r="E68" s="71">
        <f t="shared" si="11"/>
        <v>13078.104722222224</v>
      </c>
      <c r="F68" s="73">
        <v>9.4162354000000015</v>
      </c>
      <c r="G68" s="71">
        <f t="shared" si="12"/>
        <v>1307.8104722222215</v>
      </c>
      <c r="H68" s="74">
        <f t="shared" si="13"/>
        <v>9.9999999999999936E-2</v>
      </c>
      <c r="I68" s="75">
        <f t="shared" si="14"/>
        <v>881.66666666666686</v>
      </c>
      <c r="J68" s="71">
        <f t="shared" si="15"/>
        <v>426.14380555555465</v>
      </c>
      <c r="K68" s="76">
        <f t="shared" si="16"/>
        <v>3.2584523109946813E-2</v>
      </c>
      <c r="M68">
        <f t="shared" si="17"/>
        <v>9.2069857244444453</v>
      </c>
    </row>
    <row r="69" spans="2:13" x14ac:dyDescent="0.25">
      <c r="B69" t="s">
        <v>201</v>
      </c>
      <c r="C69" s="71">
        <v>1000</v>
      </c>
      <c r="D69" s="72">
        <f t="shared" si="10"/>
        <v>12.993905086419753</v>
      </c>
      <c r="E69" s="71">
        <f t="shared" si="11"/>
        <v>12993.905086419752</v>
      </c>
      <c r="F69" s="73">
        <v>11.694514577777777</v>
      </c>
      <c r="G69" s="71">
        <f t="shared" si="12"/>
        <v>1299.3905086419745</v>
      </c>
      <c r="H69" s="74">
        <f t="shared" si="13"/>
        <v>9.999999999999995E-2</v>
      </c>
      <c r="I69" s="75">
        <f t="shared" si="14"/>
        <v>705.33333333333348</v>
      </c>
      <c r="J69" s="71">
        <f t="shared" si="15"/>
        <v>594.05717530864104</v>
      </c>
      <c r="K69" s="76">
        <f t="shared" si="16"/>
        <v>4.5718140263276565E-2</v>
      </c>
      <c r="M69">
        <f t="shared" si="17"/>
        <v>11.434636476049382</v>
      </c>
    </row>
    <row r="70" spans="2:13" x14ac:dyDescent="0.25">
      <c r="B70" t="s">
        <v>202</v>
      </c>
      <c r="C70" s="71">
        <v>1000</v>
      </c>
      <c r="D70" s="72">
        <f t="shared" si="10"/>
        <v>13.689231111111111</v>
      </c>
      <c r="E70" s="71">
        <f t="shared" si="11"/>
        <v>13689.23111111111</v>
      </c>
      <c r="F70" s="73">
        <v>12.320308000000001</v>
      </c>
      <c r="G70" s="71">
        <f t="shared" si="12"/>
        <v>1368.9231111111094</v>
      </c>
      <c r="H70" s="74">
        <f t="shared" si="13"/>
        <v>9.9999999999999881E-2</v>
      </c>
      <c r="I70" s="75">
        <f t="shared" si="14"/>
        <v>705.33333333333348</v>
      </c>
      <c r="J70" s="71">
        <f t="shared" si="15"/>
        <v>663.58977777777591</v>
      </c>
      <c r="K70" s="76">
        <f t="shared" si="16"/>
        <v>4.847531409117356E-2</v>
      </c>
      <c r="M70">
        <f t="shared" si="17"/>
        <v>12.046523377777778</v>
      </c>
    </row>
    <row r="71" spans="2:13" x14ac:dyDescent="0.25">
      <c r="B71" t="s">
        <v>203</v>
      </c>
      <c r="C71" s="71">
        <v>1000</v>
      </c>
      <c r="D71" s="72">
        <f t="shared" si="10"/>
        <v>13.920394908238054</v>
      </c>
      <c r="E71" s="71">
        <f t="shared" si="11"/>
        <v>13920.394908238053</v>
      </c>
      <c r="F71" s="73">
        <v>12.528355417414248</v>
      </c>
      <c r="G71" s="71">
        <f t="shared" si="12"/>
        <v>1392.039490823805</v>
      </c>
      <c r="H71" s="74">
        <f t="shared" si="13"/>
        <v>9.9999999999999978E-2</v>
      </c>
      <c r="I71" s="75">
        <f t="shared" si="14"/>
        <v>705.33333333333348</v>
      </c>
      <c r="J71" s="71">
        <f t="shared" si="15"/>
        <v>686.70615749047147</v>
      </c>
      <c r="K71" s="76">
        <f t="shared" si="16"/>
        <v>4.9330939389088779E-2</v>
      </c>
      <c r="M71">
        <f t="shared" si="17"/>
        <v>12.249947519249487</v>
      </c>
    </row>
    <row r="72" spans="2:13" x14ac:dyDescent="0.25">
      <c r="B72" t="s">
        <v>204</v>
      </c>
      <c r="C72" s="71">
        <v>1250</v>
      </c>
      <c r="D72" s="72">
        <f t="shared" si="10"/>
        <v>12.623426688888888</v>
      </c>
      <c r="E72" s="71">
        <f t="shared" si="11"/>
        <v>15779.283361111109</v>
      </c>
      <c r="F72" s="73">
        <v>11.36108402</v>
      </c>
      <c r="G72" s="71">
        <f t="shared" si="12"/>
        <v>1577.9283361111102</v>
      </c>
      <c r="H72" s="74">
        <f t="shared" si="13"/>
        <v>9.999999999999995E-2</v>
      </c>
      <c r="I72" s="75">
        <f t="shared" si="14"/>
        <v>881.66666666666686</v>
      </c>
      <c r="J72" s="71">
        <f t="shared" si="15"/>
        <v>696.26166944444333</v>
      </c>
      <c r="K72" s="76">
        <f t="shared" si="16"/>
        <v>4.4125050137601152E-2</v>
      </c>
      <c r="M72">
        <f t="shared" si="17"/>
        <v>11.108615486222222</v>
      </c>
    </row>
    <row r="73" spans="2:13" x14ac:dyDescent="0.25">
      <c r="B73" t="s">
        <v>205</v>
      </c>
      <c r="C73" s="71">
        <v>1000</v>
      </c>
      <c r="D73" s="72">
        <f>+F73/0.9</f>
        <v>13.373256133744857</v>
      </c>
      <c r="E73" s="71">
        <f t="shared" si="11"/>
        <v>13373.256133744857</v>
      </c>
      <c r="F73" s="73">
        <v>12.035930520370371</v>
      </c>
      <c r="G73" s="71">
        <f t="shared" si="12"/>
        <v>1337.3256133744853</v>
      </c>
      <c r="H73" s="74">
        <f t="shared" si="13"/>
        <v>9.9999999999999978E-2</v>
      </c>
      <c r="I73" s="75">
        <f t="shared" si="14"/>
        <v>705.33333333333348</v>
      </c>
      <c r="J73" s="71">
        <f t="shared" si="15"/>
        <v>631.99228004115184</v>
      </c>
      <c r="K73" s="76">
        <f t="shared" si="16"/>
        <v>4.7257920862402394E-2</v>
      </c>
      <c r="M73">
        <f t="shared" si="17"/>
        <v>11.768465397695474</v>
      </c>
    </row>
    <row r="74" spans="2:13" x14ac:dyDescent="0.25">
      <c r="C74" s="71">
        <f>SUM(C2:C73)</f>
        <v>100000</v>
      </c>
      <c r="D74" s="71">
        <f>AVERAGE(D2:D73)</f>
        <v>7.5350081595493146</v>
      </c>
      <c r="E74" s="71">
        <f>SUM(E2:E73)</f>
        <v>705152.96840268886</v>
      </c>
      <c r="F74" s="73">
        <f>AVERAGE(F2:F73)</f>
        <v>6.5676050614832242</v>
      </c>
      <c r="G74" s="71">
        <f>SUM(G2:G73)</f>
        <v>93806.38342238334</v>
      </c>
      <c r="H74" s="78">
        <f t="shared" si="13"/>
        <v>0.13302983554741801</v>
      </c>
      <c r="I74" s="79">
        <f>SUM(I2:I73)</f>
        <v>70533.333333333314</v>
      </c>
      <c r="J74" s="80">
        <f>SUM(J2:J73)</f>
        <v>23273.050089049993</v>
      </c>
      <c r="K74" s="76">
        <f>AVERAGE(K2:K73)</f>
        <v>3.0815895468902829E-2</v>
      </c>
      <c r="M74">
        <f>AVERAGE(M2:M73)</f>
        <v>6.6308071804033979</v>
      </c>
    </row>
    <row r="75" spans="2:13" ht="15.75" thickBot="1" x14ac:dyDescent="0.3">
      <c r="J75" s="71" t="s">
        <v>271</v>
      </c>
    </row>
    <row r="76" spans="2:13" ht="15.75" thickBot="1" x14ac:dyDescent="0.3">
      <c r="F76" s="72">
        <f>E74-G74</f>
        <v>611346.58498030552</v>
      </c>
      <c r="K76" s="93"/>
    </row>
    <row r="77" spans="2:13" x14ac:dyDescent="0.25">
      <c r="C77" s="71" t="s">
        <v>206</v>
      </c>
      <c r="D77" s="81" t="s">
        <v>207</v>
      </c>
      <c r="E77" s="72" t="s">
        <v>208</v>
      </c>
      <c r="F77" s="72" t="s">
        <v>209</v>
      </c>
      <c r="H77" s="149"/>
      <c r="I77" s="148">
        <f>J74/C74</f>
        <v>0.23273050089049993</v>
      </c>
    </row>
    <row r="78" spans="2:13" x14ac:dyDescent="0.25">
      <c r="C78" s="71" t="s">
        <v>210</v>
      </c>
      <c r="D78" s="81"/>
      <c r="H78" s="149">
        <f>E74/C74</f>
        <v>7.0515296840268888</v>
      </c>
    </row>
    <row r="79" spans="2:13" x14ac:dyDescent="0.25">
      <c r="C79" s="71" t="s">
        <v>211</v>
      </c>
      <c r="D79" s="81">
        <v>10</v>
      </c>
      <c r="E79" s="72">
        <f>800*10</f>
        <v>8000</v>
      </c>
      <c r="F79" s="72">
        <f>+E79*0.3</f>
        <v>2400</v>
      </c>
    </row>
    <row r="80" spans="2:13" ht="15.75" thickBot="1" x14ac:dyDescent="0.3">
      <c r="C80" s="71" t="s">
        <v>212</v>
      </c>
      <c r="D80" s="81">
        <v>2</v>
      </c>
      <c r="E80" s="72">
        <v>2000</v>
      </c>
      <c r="F80" s="72">
        <f>+E80*0.3</f>
        <v>600</v>
      </c>
    </row>
    <row r="81" spans="3:12" x14ac:dyDescent="0.25">
      <c r="C81" s="71" t="s">
        <v>213</v>
      </c>
      <c r="D81" s="81">
        <v>1</v>
      </c>
      <c r="E81" s="72">
        <v>3000</v>
      </c>
      <c r="F81" s="72">
        <f>+E81*0.3</f>
        <v>900</v>
      </c>
      <c r="I81" s="95" t="s">
        <v>272</v>
      </c>
      <c r="J81" s="96">
        <f>J82/J74</f>
        <v>42.968153988140195</v>
      </c>
      <c r="K81" s="97" t="s">
        <v>269</v>
      </c>
      <c r="L81" s="98">
        <f>J81/12</f>
        <v>3.580679499011683</v>
      </c>
    </row>
    <row r="82" spans="3:12" ht="15.75" thickBot="1" x14ac:dyDescent="0.3">
      <c r="C82" s="71" t="s">
        <v>214</v>
      </c>
      <c r="D82" s="81">
        <v>1</v>
      </c>
      <c r="E82" s="72">
        <v>1000</v>
      </c>
      <c r="F82" s="72">
        <f>+E82*0.3</f>
        <v>300</v>
      </c>
      <c r="I82" s="99" t="s">
        <v>268</v>
      </c>
      <c r="J82" s="100">
        <v>1000000</v>
      </c>
      <c r="K82" s="101" t="s">
        <v>270</v>
      </c>
      <c r="L82" s="102"/>
    </row>
    <row r="83" spans="3:12" x14ac:dyDescent="0.25">
      <c r="C83" s="71" t="s">
        <v>215</v>
      </c>
      <c r="D83" s="81">
        <v>2</v>
      </c>
      <c r="E83" s="72">
        <v>2000</v>
      </c>
      <c r="F83" s="72">
        <f>+E83*0.3</f>
        <v>600</v>
      </c>
    </row>
    <row r="84" spans="3:12" x14ac:dyDescent="0.25">
      <c r="E84" s="83">
        <f>SUM(E79:E83)</f>
        <v>16000</v>
      </c>
      <c r="F84" s="83">
        <f>SUM(F79:F83)</f>
        <v>4800</v>
      </c>
    </row>
    <row r="86" spans="3:12" x14ac:dyDescent="0.25">
      <c r="C86" s="84" t="s">
        <v>216</v>
      </c>
      <c r="D86" s="83">
        <f>+E84+F84</f>
        <v>20800</v>
      </c>
    </row>
    <row r="87" spans="3:12" x14ac:dyDescent="0.25">
      <c r="C87" s="84"/>
      <c r="D87" s="94"/>
    </row>
    <row r="88" spans="3:12" x14ac:dyDescent="0.25">
      <c r="C88" s="84" t="s">
        <v>267</v>
      </c>
      <c r="D88" s="83">
        <f>3000*4</f>
        <v>12000</v>
      </c>
    </row>
    <row r="89" spans="3:12" x14ac:dyDescent="0.25">
      <c r="C89" s="84"/>
      <c r="D89" s="94"/>
    </row>
    <row r="91" spans="3:12" x14ac:dyDescent="0.25">
      <c r="C91" s="71" t="s">
        <v>217</v>
      </c>
      <c r="D91" s="83">
        <f>SUM(D92:D95)</f>
        <v>5950</v>
      </c>
    </row>
    <row r="92" spans="3:12" x14ac:dyDescent="0.25">
      <c r="C92" s="71" t="s">
        <v>218</v>
      </c>
      <c r="D92" s="85">
        <f>500*5</f>
        <v>2500</v>
      </c>
    </row>
    <row r="93" spans="3:12" x14ac:dyDescent="0.25">
      <c r="C93" s="71" t="s">
        <v>212</v>
      </c>
      <c r="D93" s="86">
        <v>2000</v>
      </c>
    </row>
    <row r="94" spans="3:12" x14ac:dyDescent="0.25">
      <c r="C94" s="71" t="s">
        <v>219</v>
      </c>
      <c r="D94" s="86">
        <v>1000</v>
      </c>
    </row>
    <row r="95" spans="3:12" x14ac:dyDescent="0.25">
      <c r="C95" s="71" t="s">
        <v>220</v>
      </c>
      <c r="D95" s="87">
        <v>450</v>
      </c>
    </row>
    <row r="97" spans="3:4" x14ac:dyDescent="0.25">
      <c r="C97" s="71" t="s">
        <v>221</v>
      </c>
      <c r="D97" s="83">
        <f>SUM(D98:D101)</f>
        <v>14500</v>
      </c>
    </row>
    <row r="98" spans="3:4" x14ac:dyDescent="0.25">
      <c r="C98" s="71" t="s">
        <v>222</v>
      </c>
      <c r="D98" s="72">
        <f>500*5+1200</f>
        <v>3700</v>
      </c>
    </row>
    <row r="99" spans="3:4" x14ac:dyDescent="0.25">
      <c r="C99" s="71" t="s">
        <v>223</v>
      </c>
      <c r="D99" s="72">
        <f>100*22+50*22</f>
        <v>3300</v>
      </c>
    </row>
    <row r="100" spans="3:4" x14ac:dyDescent="0.25">
      <c r="C100" s="71" t="s">
        <v>224</v>
      </c>
      <c r="D100" s="72">
        <f>50*22+100*10+120*20</f>
        <v>4500</v>
      </c>
    </row>
    <row r="101" spans="3:4" x14ac:dyDescent="0.25">
      <c r="C101" s="71" t="s">
        <v>225</v>
      </c>
      <c r="D101" s="72">
        <v>3000</v>
      </c>
    </row>
    <row r="102" spans="3:4" x14ac:dyDescent="0.25">
      <c r="D102" s="72"/>
    </row>
    <row r="103" spans="3:4" x14ac:dyDescent="0.25">
      <c r="C103" s="71" t="s">
        <v>226</v>
      </c>
      <c r="D103" s="83">
        <f>SUM(D104:D106)</f>
        <v>1300</v>
      </c>
    </row>
    <row r="104" spans="3:4" x14ac:dyDescent="0.25">
      <c r="C104" s="71" t="s">
        <v>227</v>
      </c>
      <c r="D104" s="72">
        <v>1000</v>
      </c>
    </row>
    <row r="105" spans="3:4" x14ac:dyDescent="0.25">
      <c r="C105" s="71" t="s">
        <v>219</v>
      </c>
      <c r="D105" s="72">
        <v>200</v>
      </c>
    </row>
    <row r="106" spans="3:4" x14ac:dyDescent="0.25">
      <c r="C106" s="71" t="s">
        <v>220</v>
      </c>
      <c r="D106" s="72">
        <v>100</v>
      </c>
    </row>
    <row r="107" spans="3:4" x14ac:dyDescent="0.25">
      <c r="D107" s="72"/>
    </row>
    <row r="108" spans="3:4" x14ac:dyDescent="0.25">
      <c r="C108" s="71" t="s">
        <v>228</v>
      </c>
      <c r="D108" s="83">
        <f>SUM(D109:D113)</f>
        <v>15983.333333333334</v>
      </c>
    </row>
    <row r="109" spans="3:4" x14ac:dyDescent="0.25">
      <c r="C109" s="71" t="s">
        <v>229</v>
      </c>
      <c r="D109" s="72">
        <f>400*6/12</f>
        <v>200</v>
      </c>
    </row>
    <row r="110" spans="3:4" x14ac:dyDescent="0.25">
      <c r="C110" s="71" t="s">
        <v>230</v>
      </c>
      <c r="D110" s="72">
        <f>200+200+50+200</f>
        <v>650</v>
      </c>
    </row>
    <row r="111" spans="3:4" x14ac:dyDescent="0.25">
      <c r="C111" s="71" t="s">
        <v>231</v>
      </c>
      <c r="D111" s="72">
        <f>1000000*0.04/12</f>
        <v>3333.3333333333335</v>
      </c>
    </row>
    <row r="112" spans="3:4" x14ac:dyDescent="0.25">
      <c r="C112" s="71" t="s">
        <v>232</v>
      </c>
      <c r="D112" s="72">
        <v>900</v>
      </c>
    </row>
    <row r="113" spans="3:4" x14ac:dyDescent="0.25">
      <c r="C113" s="71" t="s">
        <v>233</v>
      </c>
      <c r="D113" s="72">
        <f>1500+900+500+8000</f>
        <v>10900</v>
      </c>
    </row>
    <row r="115" spans="3:4" x14ac:dyDescent="0.25">
      <c r="C115" s="77" t="s">
        <v>234</v>
      </c>
      <c r="D115" s="88">
        <f>+D86+D91+D97+D103+D108+D88</f>
        <v>70533.333333333343</v>
      </c>
    </row>
    <row r="117" spans="3:4" x14ac:dyDescent="0.25">
      <c r="C117" s="84" t="s">
        <v>235</v>
      </c>
      <c r="D117" s="89">
        <f>+D115/C74</f>
        <v>0.70533333333333348</v>
      </c>
    </row>
  </sheetData>
  <conditionalFormatting sqref="H1:I1">
    <cfRule type="cellIs" dxfId="5" priority="6" operator="lessThan">
      <formula>0</formula>
    </cfRule>
  </conditionalFormatting>
  <conditionalFormatting sqref="K1">
    <cfRule type="cellIs" dxfId="4" priority="5" operator="lessThan">
      <formula>0</formula>
    </cfRule>
  </conditionalFormatting>
  <conditionalFormatting sqref="W16:X16">
    <cfRule type="cellIs" dxfId="3" priority="4" operator="lessThan">
      <formula>0</formula>
    </cfRule>
  </conditionalFormatting>
  <conditionalFormatting sqref="Z16">
    <cfRule type="cellIs" dxfId="2" priority="3" operator="lessThan">
      <formula>0</formula>
    </cfRule>
  </conditionalFormatting>
  <conditionalFormatting sqref="W1:X1">
    <cfRule type="cellIs" dxfId="1" priority="2" operator="lessThan">
      <formula>0</formula>
    </cfRule>
  </conditionalFormatting>
  <conditionalFormatting sqref="Z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980C-5DD8-4EA5-BA65-616E22B36F49}">
  <dimension ref="B2:N15"/>
  <sheetViews>
    <sheetView topLeftCell="A4" workbookViewId="0">
      <selection activeCell="C10" sqref="C10"/>
    </sheetView>
  </sheetViews>
  <sheetFormatPr baseColWidth="10" defaultRowHeight="15" x14ac:dyDescent="0.25"/>
  <cols>
    <col min="1" max="7" width="11.42578125" style="1"/>
    <col min="8" max="10" width="11.42578125" style="2"/>
    <col min="11" max="11" width="14" style="1" customWidth="1"/>
    <col min="12" max="16384" width="11.42578125" style="1"/>
  </cols>
  <sheetData>
    <row r="2" spans="2:14" ht="15.75" thickBot="1" x14ac:dyDescent="0.3">
      <c r="B2" s="1" t="s">
        <v>246</v>
      </c>
      <c r="C2" s="1" t="s">
        <v>244</v>
      </c>
      <c r="D2" s="1" t="s">
        <v>245</v>
      </c>
      <c r="H2" s="1" t="s">
        <v>246</v>
      </c>
      <c r="I2" s="1" t="s">
        <v>244</v>
      </c>
      <c r="J2" s="1" t="s">
        <v>245</v>
      </c>
    </row>
    <row r="3" spans="2:14" ht="45.75" thickBot="1" x14ac:dyDescent="0.3">
      <c r="B3" s="21" t="s">
        <v>262</v>
      </c>
      <c r="C3" s="59">
        <f>D5/D4</f>
        <v>37.037037037037038</v>
      </c>
      <c r="D3" s="59" t="s">
        <v>243</v>
      </c>
      <c r="E3" s="91"/>
      <c r="H3" s="21" t="s">
        <v>247</v>
      </c>
      <c r="I3" s="21">
        <f>J4*J5*J6</f>
        <v>95.190128431125657</v>
      </c>
      <c r="J3" s="2" t="s">
        <v>3</v>
      </c>
      <c r="K3" s="161" t="s">
        <v>264</v>
      </c>
      <c r="L3" s="162"/>
      <c r="M3" s="162"/>
      <c r="N3" s="163"/>
    </row>
    <row r="4" spans="2:14" ht="15.75" thickBot="1" x14ac:dyDescent="0.3">
      <c r="C4" s="56" t="s">
        <v>241</v>
      </c>
      <c r="D4" s="56">
        <v>3</v>
      </c>
      <c r="E4" s="56" t="s">
        <v>242</v>
      </c>
      <c r="I4" s="3" t="s">
        <v>248</v>
      </c>
      <c r="J4" s="3">
        <v>50</v>
      </c>
      <c r="K4" s="1" t="s">
        <v>257</v>
      </c>
    </row>
    <row r="5" spans="2:14" ht="30.75" thickBot="1" x14ac:dyDescent="0.3">
      <c r="C5" s="21" t="s">
        <v>239</v>
      </c>
      <c r="D5" s="21">
        <f>E6/E7</f>
        <v>111.11111111111111</v>
      </c>
      <c r="E5" s="21" t="s">
        <v>240</v>
      </c>
      <c r="F5" s="22"/>
      <c r="I5" s="3" t="s">
        <v>263</v>
      </c>
      <c r="J5" s="3">
        <v>15</v>
      </c>
      <c r="K5" s="1" t="s">
        <v>243</v>
      </c>
      <c r="M5" s="164" t="s">
        <v>265</v>
      </c>
      <c r="N5" s="165"/>
    </row>
    <row r="6" spans="2:14" ht="60.75" thickBot="1" x14ac:dyDescent="0.3">
      <c r="D6" s="3" t="s">
        <v>236</v>
      </c>
      <c r="E6" s="3">
        <v>50000</v>
      </c>
      <c r="F6" s="3" t="s">
        <v>238</v>
      </c>
      <c r="I6" s="3" t="s">
        <v>249</v>
      </c>
      <c r="J6" s="58">
        <f>1/(K7+K9+K11)</f>
        <v>0.12692017124150087</v>
      </c>
      <c r="K6" s="1" t="s">
        <v>258</v>
      </c>
      <c r="M6" s="57" t="s">
        <v>266</v>
      </c>
      <c r="N6" s="92">
        <f>J4*J6</f>
        <v>6.3460085620750437</v>
      </c>
    </row>
    <row r="7" spans="2:14" ht="60" x14ac:dyDescent="0.25">
      <c r="D7" s="3" t="s">
        <v>261</v>
      </c>
      <c r="E7" s="3">
        <v>450</v>
      </c>
      <c r="F7" s="3" t="s">
        <v>237</v>
      </c>
      <c r="J7" s="3" t="s">
        <v>250</v>
      </c>
      <c r="K7" s="90">
        <f>1/L8</f>
        <v>0.1111111111111111</v>
      </c>
    </row>
    <row r="8" spans="2:14" ht="35.25" customHeight="1" x14ac:dyDescent="0.25">
      <c r="K8" s="3" t="s">
        <v>259</v>
      </c>
      <c r="L8" s="56">
        <v>9</v>
      </c>
    </row>
    <row r="9" spans="2:14" ht="24.75" customHeight="1" x14ac:dyDescent="0.25">
      <c r="J9" s="3" t="s">
        <v>251</v>
      </c>
      <c r="K9" s="18">
        <f>1/L10</f>
        <v>0.14285714285714285</v>
      </c>
    </row>
    <row r="10" spans="2:14" ht="30" x14ac:dyDescent="0.25">
      <c r="C10" s="1">
        <f>D10/3.5</f>
        <v>99.79639714285716</v>
      </c>
      <c r="D10" s="1">
        <v>349.28739000000007</v>
      </c>
      <c r="K10" s="3" t="s">
        <v>260</v>
      </c>
      <c r="L10" s="56">
        <v>7</v>
      </c>
    </row>
    <row r="11" spans="2:14" ht="22.5" customHeight="1" x14ac:dyDescent="0.25">
      <c r="J11" s="48" t="s">
        <v>252</v>
      </c>
      <c r="K11" s="56">
        <f>N12+N14</f>
        <v>7.625</v>
      </c>
    </row>
    <row r="12" spans="2:14" x14ac:dyDescent="0.25">
      <c r="K12" s="160" t="s">
        <v>255</v>
      </c>
      <c r="L12" s="3" t="s">
        <v>253</v>
      </c>
      <c r="M12" s="56">
        <v>0.15</v>
      </c>
      <c r="N12" s="160">
        <f>M12/M13</f>
        <v>7.5</v>
      </c>
    </row>
    <row r="13" spans="2:14" ht="30" x14ac:dyDescent="0.25">
      <c r="K13" s="160"/>
      <c r="L13" s="3" t="s">
        <v>254</v>
      </c>
      <c r="M13" s="56">
        <v>0.02</v>
      </c>
      <c r="N13" s="160"/>
    </row>
    <row r="14" spans="2:14" x14ac:dyDescent="0.25">
      <c r="K14" s="160" t="s">
        <v>256</v>
      </c>
      <c r="L14" s="3" t="s">
        <v>253</v>
      </c>
      <c r="M14" s="56">
        <v>0.01</v>
      </c>
      <c r="N14" s="160">
        <f>M14/M15</f>
        <v>0.125</v>
      </c>
    </row>
    <row r="15" spans="2:14" ht="30" x14ac:dyDescent="0.25">
      <c r="K15" s="160"/>
      <c r="L15" s="3" t="s">
        <v>254</v>
      </c>
      <c r="M15" s="56">
        <v>0.08</v>
      </c>
      <c r="N15" s="160"/>
    </row>
  </sheetData>
  <mergeCells count="6">
    <mergeCell ref="K12:K13"/>
    <mergeCell ref="K14:K15"/>
    <mergeCell ref="N12:N13"/>
    <mergeCell ref="N14:N15"/>
    <mergeCell ref="K3:N3"/>
    <mergeCell ref="M5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7D2-CCB8-4D2E-A87C-D584AC189632}">
  <sheetPr codeName="Hoja1"/>
  <dimension ref="B1:AO85"/>
  <sheetViews>
    <sheetView topLeftCell="D61" zoomScale="80" zoomScaleNormal="80" workbookViewId="0">
      <selection activeCell="U80" sqref="U80"/>
    </sheetView>
  </sheetViews>
  <sheetFormatPr baseColWidth="10" defaultRowHeight="15" x14ac:dyDescent="0.25"/>
  <cols>
    <col min="2" max="2" width="12.7109375" customWidth="1"/>
    <col min="9" max="9" width="20.140625" customWidth="1"/>
    <col min="16" max="16" width="12.7109375" customWidth="1"/>
    <col min="41" max="41" width="11.42578125" style="9"/>
  </cols>
  <sheetData>
    <row r="1" spans="2:41" x14ac:dyDescent="0.25">
      <c r="G1" s="172" t="s">
        <v>34</v>
      </c>
      <c r="H1" t="s">
        <v>8</v>
      </c>
      <c r="AC1" s="173" t="s">
        <v>33</v>
      </c>
      <c r="AD1" t="s">
        <v>37</v>
      </c>
      <c r="AH1" s="9" t="s">
        <v>46</v>
      </c>
      <c r="AO1" s="171" t="s">
        <v>123</v>
      </c>
    </row>
    <row r="2" spans="2:41" ht="45" x14ac:dyDescent="0.25">
      <c r="B2" s="13"/>
      <c r="C2" s="3" t="s">
        <v>27</v>
      </c>
      <c r="D2" s="3" t="s">
        <v>58</v>
      </c>
      <c r="E2" s="11"/>
      <c r="G2" s="172"/>
      <c r="H2" s="11"/>
      <c r="AC2" s="173"/>
      <c r="AF2" s="3" t="s">
        <v>44</v>
      </c>
      <c r="AG2" s="3" t="s">
        <v>45</v>
      </c>
      <c r="AO2" s="171"/>
    </row>
    <row r="3" spans="2:41" ht="30.75" thickBot="1" x14ac:dyDescent="0.3">
      <c r="B3" s="21" t="s">
        <v>53</v>
      </c>
      <c r="C3" s="3">
        <f>MAX(J7,K7)</f>
        <v>200.00000000000006</v>
      </c>
      <c r="D3" s="177">
        <f>C3+C4+C5</f>
        <v>210.93248000000006</v>
      </c>
      <c r="E3" s="15"/>
      <c r="G3" s="172"/>
      <c r="H3" s="11"/>
      <c r="I3" s="4" t="s">
        <v>5</v>
      </c>
      <c r="J3" s="160">
        <v>50000</v>
      </c>
      <c r="K3" s="160"/>
      <c r="AC3" s="173"/>
      <c r="AE3" s="3" t="s">
        <v>36</v>
      </c>
      <c r="AF3" s="3" t="s">
        <v>39</v>
      </c>
      <c r="AG3" s="28" t="s">
        <v>40</v>
      </c>
      <c r="AH3" s="22" t="s">
        <v>41</v>
      </c>
      <c r="AI3" s="169" t="s">
        <v>60</v>
      </c>
      <c r="AJ3" s="170"/>
      <c r="AK3" s="170"/>
      <c r="AL3" s="170"/>
      <c r="AM3" s="170"/>
      <c r="AO3" s="171"/>
    </row>
    <row r="4" spans="2:41" ht="30" x14ac:dyDescent="0.25">
      <c r="B4" s="28" t="s">
        <v>52</v>
      </c>
      <c r="C4" s="3">
        <f>AG14</f>
        <v>10.932479999999998</v>
      </c>
      <c r="D4" s="178"/>
      <c r="E4" s="15"/>
      <c r="G4" s="172"/>
      <c r="H4" s="11"/>
      <c r="I4" s="41" t="s">
        <v>38</v>
      </c>
      <c r="J4" s="41">
        <v>12</v>
      </c>
      <c r="K4" s="41">
        <v>15</v>
      </c>
      <c r="P4" s="60" t="s">
        <v>7</v>
      </c>
      <c r="AC4" s="173"/>
      <c r="AE4" s="3" t="s">
        <v>1</v>
      </c>
      <c r="AF4" s="3">
        <v>1</v>
      </c>
      <c r="AG4" s="28">
        <v>0.8</v>
      </c>
      <c r="AI4" s="170"/>
      <c r="AJ4" s="170"/>
      <c r="AK4" s="170"/>
      <c r="AL4" s="170"/>
      <c r="AM4" s="170"/>
      <c r="AO4" s="171"/>
    </row>
    <row r="5" spans="2:41" ht="30" x14ac:dyDescent="0.25">
      <c r="B5" s="29" t="s">
        <v>59</v>
      </c>
      <c r="C5" s="3"/>
      <c r="D5" s="178"/>
      <c r="E5" s="14"/>
      <c r="G5" s="172"/>
      <c r="H5" s="11"/>
      <c r="I5" s="41" t="s">
        <v>6</v>
      </c>
      <c r="J5" s="41">
        <f>J3/J4</f>
        <v>4166.666666666667</v>
      </c>
      <c r="K5" s="41">
        <f>J3/K4</f>
        <v>3333.3333333333335</v>
      </c>
      <c r="P5" s="160" t="s">
        <v>74</v>
      </c>
      <c r="Q5" s="160"/>
      <c r="R5" s="160"/>
      <c r="S5" s="160"/>
      <c r="T5" s="160"/>
      <c r="U5" s="160"/>
      <c r="V5" s="160"/>
      <c r="W5" s="160"/>
      <c r="X5" s="160"/>
      <c r="AC5" s="173"/>
      <c r="AE5" s="3" t="s">
        <v>0</v>
      </c>
      <c r="AF5" s="3">
        <v>1.2</v>
      </c>
      <c r="AG5" s="28">
        <v>1.2</v>
      </c>
      <c r="AI5" s="170"/>
      <c r="AJ5" s="170"/>
      <c r="AK5" s="170"/>
      <c r="AL5" s="170"/>
      <c r="AM5" s="170"/>
      <c r="AO5" s="171"/>
    </row>
    <row r="6" spans="2:41" ht="30" x14ac:dyDescent="0.25">
      <c r="B6" s="12"/>
      <c r="C6" s="12"/>
      <c r="D6" s="179"/>
      <c r="G6" s="172"/>
      <c r="H6" s="11"/>
      <c r="I6" s="41" t="s">
        <v>4</v>
      </c>
      <c r="J6" s="174">
        <f>T12</f>
        <v>4.8000000000000008E-2</v>
      </c>
      <c r="K6" s="174"/>
      <c r="P6" s="3" t="s">
        <v>12</v>
      </c>
      <c r="Q6" s="3" t="s">
        <v>29</v>
      </c>
      <c r="R6" s="3" t="s">
        <v>30</v>
      </c>
      <c r="S6" s="3" t="s">
        <v>31</v>
      </c>
      <c r="T6" s="3" t="s">
        <v>28</v>
      </c>
      <c r="U6" s="3" t="s">
        <v>13</v>
      </c>
      <c r="V6" s="3" t="s">
        <v>14</v>
      </c>
      <c r="W6" s="3" t="s">
        <v>15</v>
      </c>
      <c r="X6" s="3" t="s">
        <v>16</v>
      </c>
      <c r="AC6" s="173"/>
      <c r="AE6" s="3" t="s">
        <v>2</v>
      </c>
      <c r="AF6" s="3">
        <v>0.14599999999999999</v>
      </c>
      <c r="AG6" s="28">
        <v>0.14599999999999999</v>
      </c>
      <c r="AO6" s="171"/>
    </row>
    <row r="7" spans="2:41" ht="45" x14ac:dyDescent="0.25">
      <c r="G7" s="172"/>
      <c r="H7" s="11"/>
      <c r="I7" s="41" t="s">
        <v>35</v>
      </c>
      <c r="J7" s="41">
        <f>J6*J5</f>
        <v>200.00000000000006</v>
      </c>
      <c r="K7" s="41">
        <f>J6*K5</f>
        <v>160.00000000000003</v>
      </c>
      <c r="P7" s="16" t="s">
        <v>9</v>
      </c>
      <c r="Q7" s="261">
        <v>0.45</v>
      </c>
      <c r="R7" s="261">
        <v>0.45</v>
      </c>
      <c r="S7" s="261">
        <v>0.45</v>
      </c>
      <c r="T7" s="262">
        <f>Q7*R7*S7</f>
        <v>9.1125000000000012E-2</v>
      </c>
      <c r="U7" s="16" t="s">
        <v>10</v>
      </c>
      <c r="V7" s="16" t="s">
        <v>11</v>
      </c>
      <c r="W7" s="16">
        <v>10</v>
      </c>
      <c r="X7" s="16">
        <v>70</v>
      </c>
      <c r="Y7" t="s">
        <v>32</v>
      </c>
      <c r="AC7" s="173"/>
      <c r="AE7" s="19" t="s">
        <v>47</v>
      </c>
      <c r="AF7" s="19">
        <f>AF4*AF5*AF6</f>
        <v>0.17519999999999999</v>
      </c>
      <c r="AG7" s="28">
        <f>AG4*AG5*AG6</f>
        <v>0.14015999999999998</v>
      </c>
      <c r="AI7" s="175" t="s">
        <v>49</v>
      </c>
      <c r="AJ7" s="175"/>
      <c r="AK7" s="175"/>
      <c r="AO7" s="171"/>
    </row>
    <row r="8" spans="2:41" ht="78" customHeight="1" thickBot="1" x14ac:dyDescent="0.3">
      <c r="G8" s="172"/>
      <c r="H8" s="10"/>
      <c r="P8" s="3" t="s">
        <v>17</v>
      </c>
      <c r="Q8" s="5">
        <v>0.45</v>
      </c>
      <c r="R8" s="5">
        <v>0.35</v>
      </c>
      <c r="S8" s="5">
        <v>0.35</v>
      </c>
      <c r="T8" s="6">
        <f t="shared" ref="T8:T14" si="0">Q8*R8*S8</f>
        <v>5.5124999999999993E-2</v>
      </c>
      <c r="U8" s="3" t="s">
        <v>10</v>
      </c>
      <c r="V8" s="3" t="s">
        <v>18</v>
      </c>
      <c r="W8" s="3">
        <v>10</v>
      </c>
      <c r="X8" s="3">
        <v>70</v>
      </c>
      <c r="AC8" s="173"/>
      <c r="AE8" s="17" t="s">
        <v>62</v>
      </c>
      <c r="AF8" s="18">
        <f>AF11/12</f>
        <v>100</v>
      </c>
      <c r="AG8" s="30">
        <f>AG11/12</f>
        <v>83.333333333333329</v>
      </c>
      <c r="AH8" s="11"/>
      <c r="AI8" s="175"/>
      <c r="AJ8" s="175"/>
      <c r="AK8" s="175"/>
      <c r="AO8" s="171"/>
    </row>
    <row r="9" spans="2:41" ht="90" customHeight="1" x14ac:dyDescent="0.25">
      <c r="B9" s="166" t="s">
        <v>57</v>
      </c>
      <c r="C9" s="24" t="s">
        <v>54</v>
      </c>
      <c r="G9" s="172"/>
      <c r="H9" s="11"/>
      <c r="P9" s="3" t="s">
        <v>19</v>
      </c>
      <c r="Q9" s="3">
        <v>0.38500000000000001</v>
      </c>
      <c r="R9" s="3">
        <v>0.28499999999999998</v>
      </c>
      <c r="S9" s="3">
        <v>0.39</v>
      </c>
      <c r="T9" s="6">
        <f t="shared" si="0"/>
        <v>4.2792749999999997E-2</v>
      </c>
      <c r="U9" s="3" t="s">
        <v>10</v>
      </c>
      <c r="V9" s="3" t="s">
        <v>20</v>
      </c>
      <c r="W9" s="3">
        <v>15</v>
      </c>
      <c r="X9" s="3">
        <v>75</v>
      </c>
      <c r="AC9" s="173"/>
      <c r="AE9" s="3" t="s">
        <v>61</v>
      </c>
      <c r="AF9" s="3">
        <f>AF12/12</f>
        <v>416.66666666666669</v>
      </c>
      <c r="AG9" s="28">
        <f>AG12/12</f>
        <v>333.33333333333331</v>
      </c>
      <c r="AI9" s="176" t="s">
        <v>50</v>
      </c>
      <c r="AJ9" s="176"/>
      <c r="AK9" s="176"/>
      <c r="AO9" s="171"/>
    </row>
    <row r="10" spans="2:41" ht="45" x14ac:dyDescent="0.25">
      <c r="B10" s="167"/>
      <c r="C10" s="25" t="s">
        <v>55</v>
      </c>
      <c r="G10" s="172"/>
      <c r="H10" s="11"/>
      <c r="P10" s="3" t="s">
        <v>19</v>
      </c>
      <c r="Q10" s="3">
        <v>0.38500000000000001</v>
      </c>
      <c r="R10" s="3">
        <v>0.28499999999999998</v>
      </c>
      <c r="S10" s="3">
        <v>0.39</v>
      </c>
      <c r="T10" s="6">
        <f t="shared" si="0"/>
        <v>4.2792749999999997E-2</v>
      </c>
      <c r="U10" s="3" t="s">
        <v>10</v>
      </c>
      <c r="V10" s="3" t="s">
        <v>20</v>
      </c>
      <c r="W10" s="3">
        <v>15</v>
      </c>
      <c r="X10" s="3">
        <v>75</v>
      </c>
      <c r="AC10" s="173"/>
      <c r="AE10" s="19" t="s">
        <v>48</v>
      </c>
      <c r="AF10" s="20">
        <f>INT(J5/S22)+1</f>
        <v>78</v>
      </c>
      <c r="AG10" s="31">
        <f>INT(J5/S22)+1</f>
        <v>78</v>
      </c>
      <c r="AO10" s="171"/>
    </row>
    <row r="11" spans="2:41" ht="75.75" thickBot="1" x14ac:dyDescent="0.3">
      <c r="B11" s="168"/>
      <c r="C11" s="23" t="s">
        <v>56</v>
      </c>
      <c r="G11" s="172"/>
      <c r="H11" s="11"/>
      <c r="P11" s="3" t="s">
        <v>21</v>
      </c>
      <c r="Q11" s="3">
        <v>0.37</v>
      </c>
      <c r="R11" s="3">
        <v>0.35</v>
      </c>
      <c r="S11" s="3">
        <v>0.4</v>
      </c>
      <c r="T11" s="6">
        <f t="shared" si="0"/>
        <v>5.1800000000000006E-2</v>
      </c>
      <c r="U11" s="3" t="s">
        <v>10</v>
      </c>
      <c r="V11" s="3" t="s">
        <v>22</v>
      </c>
      <c r="W11" s="3">
        <v>15</v>
      </c>
      <c r="X11" s="3">
        <v>75</v>
      </c>
      <c r="AC11" s="173"/>
      <c r="AE11" s="3" t="s">
        <v>43</v>
      </c>
      <c r="AF11" s="4">
        <v>1200</v>
      </c>
      <c r="AG11" s="28">
        <v>1000</v>
      </c>
      <c r="AO11" s="171"/>
    </row>
    <row r="12" spans="2:41" ht="60" x14ac:dyDescent="0.25">
      <c r="G12" s="172"/>
      <c r="H12" s="11"/>
      <c r="P12" s="7" t="s">
        <v>23</v>
      </c>
      <c r="Q12" s="7">
        <v>0.4</v>
      </c>
      <c r="R12" s="7">
        <v>0.4</v>
      </c>
      <c r="S12" s="7">
        <v>0.3</v>
      </c>
      <c r="T12" s="8">
        <f t="shared" si="0"/>
        <v>4.8000000000000008E-2</v>
      </c>
      <c r="U12" s="7" t="s">
        <v>10</v>
      </c>
      <c r="V12" s="7" t="s">
        <v>24</v>
      </c>
      <c r="W12" s="7">
        <v>10</v>
      </c>
      <c r="X12" s="7">
        <v>70</v>
      </c>
      <c r="AC12" s="173"/>
      <c r="AE12" s="16" t="s">
        <v>42</v>
      </c>
      <c r="AF12" s="4">
        <v>5000</v>
      </c>
      <c r="AG12" s="31">
        <v>4000</v>
      </c>
      <c r="AO12" s="171"/>
    </row>
    <row r="13" spans="2:41" ht="28.5" customHeight="1" x14ac:dyDescent="0.25">
      <c r="G13" s="172"/>
      <c r="H13" s="11"/>
      <c r="P13" s="16" t="s">
        <v>25</v>
      </c>
      <c r="Q13" s="16">
        <v>0.4</v>
      </c>
      <c r="R13" s="16">
        <v>0.4</v>
      </c>
      <c r="S13" s="16">
        <v>0.4</v>
      </c>
      <c r="T13" s="262">
        <f t="shared" si="0"/>
        <v>6.4000000000000015E-2</v>
      </c>
      <c r="U13" s="16" t="s">
        <v>10</v>
      </c>
      <c r="V13" s="16" t="s">
        <v>11</v>
      </c>
      <c r="W13" s="16">
        <v>10</v>
      </c>
      <c r="X13" s="16">
        <v>70</v>
      </c>
      <c r="AC13" s="173"/>
      <c r="AG13" s="32"/>
      <c r="AO13" s="171"/>
    </row>
    <row r="14" spans="2:41" ht="60" x14ac:dyDescent="0.25">
      <c r="G14" s="172"/>
      <c r="H14" s="11"/>
      <c r="P14" s="3" t="s">
        <v>26</v>
      </c>
      <c r="Q14" s="3">
        <v>0.35</v>
      </c>
      <c r="R14" s="3">
        <v>0.35</v>
      </c>
      <c r="S14" s="3">
        <v>0.35</v>
      </c>
      <c r="T14" s="6">
        <f t="shared" si="0"/>
        <v>4.287499999999999E-2</v>
      </c>
      <c r="U14" s="3" t="s">
        <v>10</v>
      </c>
      <c r="V14" s="3" t="s">
        <v>11</v>
      </c>
      <c r="W14" s="3">
        <v>15</v>
      </c>
      <c r="X14" s="3">
        <v>75</v>
      </c>
      <c r="AC14" s="173"/>
      <c r="AE14" s="21" t="s">
        <v>51</v>
      </c>
      <c r="AF14" s="21">
        <f>AF10*AF7</f>
        <v>13.6656</v>
      </c>
      <c r="AG14" s="28">
        <f>AG10*AG7</f>
        <v>10.932479999999998</v>
      </c>
      <c r="AO14" s="171"/>
    </row>
    <row r="15" spans="2:41" x14ac:dyDescent="0.25">
      <c r="G15" s="172"/>
      <c r="H15" s="11"/>
      <c r="P15" s="1"/>
      <c r="Q15" s="1"/>
      <c r="R15" s="1"/>
      <c r="S15" s="1"/>
      <c r="T15" s="1"/>
      <c r="U15" s="1"/>
      <c r="V15" s="1"/>
      <c r="W15" s="1"/>
      <c r="X15" s="1"/>
      <c r="AC15" s="173"/>
      <c r="AO15" s="171"/>
    </row>
    <row r="16" spans="2:41" x14ac:dyDescent="0.25">
      <c r="G16" s="172"/>
      <c r="H16" s="11"/>
      <c r="P16" s="1"/>
      <c r="Q16" s="1"/>
      <c r="R16" s="1"/>
      <c r="S16" s="1"/>
      <c r="T16" s="1"/>
      <c r="U16" s="1"/>
      <c r="V16" s="1"/>
      <c r="W16" s="1"/>
      <c r="X16" s="1"/>
      <c r="AC16" s="173"/>
      <c r="AO16" s="171"/>
    </row>
    <row r="17" spans="7:41" x14ac:dyDescent="0.25">
      <c r="G17" s="172"/>
      <c r="H17" s="11"/>
      <c r="N17" s="263" t="s">
        <v>418</v>
      </c>
      <c r="O17" s="263"/>
      <c r="P17" s="263"/>
      <c r="Q17" s="263"/>
      <c r="R17" s="263"/>
      <c r="S17" s="263"/>
      <c r="AC17" s="173"/>
      <c r="AO17" s="171"/>
    </row>
    <row r="18" spans="7:41" x14ac:dyDescent="0.25">
      <c r="G18" s="172"/>
      <c r="H18" s="11"/>
      <c r="AC18" s="173"/>
      <c r="AO18" s="171"/>
    </row>
    <row r="19" spans="7:41" x14ac:dyDescent="0.25">
      <c r="G19" s="172"/>
      <c r="H19" s="11"/>
      <c r="N19" t="s">
        <v>419</v>
      </c>
      <c r="P19" s="9"/>
      <c r="Q19" s="263" t="s">
        <v>423</v>
      </c>
      <c r="R19" s="263"/>
      <c r="S19" s="263"/>
      <c r="AC19" s="173"/>
      <c r="AO19" s="171"/>
    </row>
    <row r="20" spans="7:41" x14ac:dyDescent="0.25">
      <c r="G20" s="172"/>
      <c r="H20" s="11"/>
      <c r="N20" t="s">
        <v>427</v>
      </c>
      <c r="O20">
        <v>0.8</v>
      </c>
      <c r="P20" s="9"/>
      <c r="AC20" s="173"/>
      <c r="AO20" s="171"/>
    </row>
    <row r="21" spans="7:41" x14ac:dyDescent="0.25">
      <c r="G21" s="172"/>
      <c r="H21" s="11"/>
      <c r="N21" t="s">
        <v>428</v>
      </c>
      <c r="O21">
        <v>1.2</v>
      </c>
      <c r="P21" s="9"/>
      <c r="R21" t="s">
        <v>424</v>
      </c>
      <c r="S21" t="s">
        <v>244</v>
      </c>
      <c r="T21" t="s">
        <v>27</v>
      </c>
      <c r="AC21" s="173"/>
      <c r="AO21" s="171"/>
    </row>
    <row r="22" spans="7:41" x14ac:dyDescent="0.25">
      <c r="G22" s="172"/>
      <c r="H22" s="11"/>
      <c r="P22" s="267" t="s">
        <v>422</v>
      </c>
      <c r="Q22" t="s">
        <v>416</v>
      </c>
      <c r="R22">
        <v>2</v>
      </c>
      <c r="S22" s="265">
        <f>+R22*R23*R24</f>
        <v>54</v>
      </c>
      <c r="T22" s="265">
        <f>+S22*O24*O25*O26</f>
        <v>2.5920000000000001</v>
      </c>
      <c r="AO22" s="171"/>
    </row>
    <row r="23" spans="7:41" x14ac:dyDescent="0.25">
      <c r="G23" s="172"/>
      <c r="H23" s="11"/>
      <c r="N23" t="s">
        <v>420</v>
      </c>
      <c r="P23" s="9"/>
      <c r="Q23" t="s">
        <v>417</v>
      </c>
      <c r="R23">
        <v>3</v>
      </c>
      <c r="S23" s="265"/>
      <c r="T23" s="265"/>
      <c r="AO23" s="171"/>
    </row>
    <row r="24" spans="7:41" x14ac:dyDescent="0.25">
      <c r="N24" t="s">
        <v>427</v>
      </c>
      <c r="O24">
        <v>0.4</v>
      </c>
      <c r="P24" s="9"/>
      <c r="Q24" t="s">
        <v>421</v>
      </c>
      <c r="R24">
        <v>9</v>
      </c>
      <c r="S24" s="265"/>
      <c r="T24" s="265"/>
      <c r="AO24" s="171"/>
    </row>
    <row r="25" spans="7:41" x14ac:dyDescent="0.25">
      <c r="N25" t="s">
        <v>428</v>
      </c>
      <c r="O25">
        <v>0.4</v>
      </c>
      <c r="P25" s="9"/>
      <c r="T25" s="1" t="s">
        <v>435</v>
      </c>
    </row>
    <row r="26" spans="7:41" x14ac:dyDescent="0.25">
      <c r="N26" t="s">
        <v>429</v>
      </c>
      <c r="O26">
        <v>0.3</v>
      </c>
      <c r="P26" s="9"/>
    </row>
    <row r="27" spans="7:41" x14ac:dyDescent="0.25">
      <c r="R27">
        <f>54*12</f>
        <v>648</v>
      </c>
    </row>
    <row r="28" spans="7:41" x14ac:dyDescent="0.25">
      <c r="R28">
        <f>15*S22</f>
        <v>810</v>
      </c>
    </row>
    <row r="29" spans="7:41" x14ac:dyDescent="0.25">
      <c r="N29" s="263" t="s">
        <v>425</v>
      </c>
      <c r="O29" s="263"/>
      <c r="P29" s="263"/>
      <c r="Q29" s="263"/>
      <c r="R29" s="263"/>
      <c r="S29" s="263"/>
      <c r="X29" s="263" t="s">
        <v>442</v>
      </c>
      <c r="Y29" s="263"/>
      <c r="Z29" s="263"/>
      <c r="AA29" s="263"/>
      <c r="AB29" s="263"/>
      <c r="AC29" s="263"/>
      <c r="AD29" s="263"/>
    </row>
    <row r="31" spans="7:41" x14ac:dyDescent="0.25">
      <c r="M31" s="1"/>
      <c r="N31" s="1" t="s">
        <v>426</v>
      </c>
      <c r="O31" s="1">
        <v>6000</v>
      </c>
      <c r="P31" s="1"/>
      <c r="X31" t="s">
        <v>443</v>
      </c>
      <c r="Y31">
        <v>50000</v>
      </c>
    </row>
    <row r="32" spans="7:41" ht="30" x14ac:dyDescent="0.25">
      <c r="M32" s="1"/>
      <c r="N32" s="2" t="s">
        <v>430</v>
      </c>
      <c r="O32" s="1">
        <v>12</v>
      </c>
      <c r="P32" s="1"/>
      <c r="Q32" t="s">
        <v>431</v>
      </c>
      <c r="X32" t="s">
        <v>430</v>
      </c>
      <c r="Y32">
        <v>12</v>
      </c>
    </row>
    <row r="33" spans="13:34" ht="30" customHeight="1" x14ac:dyDescent="0.25">
      <c r="M33" s="264" t="s">
        <v>432</v>
      </c>
      <c r="N33" s="1" t="s">
        <v>433</v>
      </c>
      <c r="O33" s="1">
        <f>$O$31/O32</f>
        <v>500</v>
      </c>
      <c r="P33" s="2" t="s">
        <v>436</v>
      </c>
      <c r="Q33" s="1">
        <f>O33/S22</f>
        <v>9.2592592592592595</v>
      </c>
      <c r="R33" s="1">
        <v>10</v>
      </c>
      <c r="S33" t="s">
        <v>441</v>
      </c>
      <c r="T33">
        <f>+O31/R33</f>
        <v>600</v>
      </c>
      <c r="U33" t="s">
        <v>431</v>
      </c>
      <c r="X33" t="s">
        <v>432</v>
      </c>
      <c r="Y33">
        <f>Y31/Y32</f>
        <v>4166.666666666667</v>
      </c>
      <c r="Z33" t="s">
        <v>445</v>
      </c>
      <c r="AA33">
        <f>Y33*O24*O25*O26</f>
        <v>200.00000000000006</v>
      </c>
    </row>
    <row r="34" spans="13:34" x14ac:dyDescent="0.25">
      <c r="M34" s="264"/>
      <c r="N34" s="1"/>
      <c r="O34" s="1"/>
      <c r="P34" s="1"/>
      <c r="X34" t="s">
        <v>444</v>
      </c>
      <c r="Y34">
        <f>Y33/S22</f>
        <v>77.160493827160494</v>
      </c>
      <c r="Z34" t="s">
        <v>446</v>
      </c>
      <c r="AA34">
        <f>Y34*AG7</f>
        <v>10.814814814814813</v>
      </c>
    </row>
    <row r="35" spans="13:34" ht="30" x14ac:dyDescent="0.25">
      <c r="M35" s="264" t="s">
        <v>4</v>
      </c>
      <c r="N35" s="1" t="s">
        <v>433</v>
      </c>
      <c r="O35" s="266">
        <f>$O$33*T12</f>
        <v>24.000000000000004</v>
      </c>
      <c r="P35" s="266" t="s">
        <v>437</v>
      </c>
      <c r="Q35">
        <f>R33*AG7</f>
        <v>1.4015999999999997</v>
      </c>
      <c r="AA35" t="s">
        <v>435</v>
      </c>
    </row>
    <row r="36" spans="13:34" x14ac:dyDescent="0.25">
      <c r="M36" s="264"/>
      <c r="N36" s="1"/>
      <c r="O36" t="s">
        <v>435</v>
      </c>
      <c r="P36" s="266"/>
      <c r="S36" t="s">
        <v>435</v>
      </c>
      <c r="AF36" t="s">
        <v>452</v>
      </c>
    </row>
    <row r="37" spans="13:34" ht="30" x14ac:dyDescent="0.25">
      <c r="M37" s="2" t="s">
        <v>438</v>
      </c>
      <c r="N37" s="1"/>
      <c r="O37" s="89">
        <f>O35+Q35</f>
        <v>25.401600000000002</v>
      </c>
      <c r="P37" s="266" t="s">
        <v>435</v>
      </c>
      <c r="X37" t="s">
        <v>447</v>
      </c>
      <c r="Y37">
        <f>O21*O20</f>
        <v>0.96</v>
      </c>
      <c r="AA37" t="s">
        <v>448</v>
      </c>
      <c r="AC37" t="s">
        <v>450</v>
      </c>
      <c r="AE37" t="s">
        <v>451</v>
      </c>
      <c r="AF37">
        <f>Y34/2</f>
        <v>38.580246913580247</v>
      </c>
      <c r="AG37">
        <v>39</v>
      </c>
    </row>
    <row r="38" spans="13:34" ht="30" customHeight="1" x14ac:dyDescent="0.25">
      <c r="M38" s="264" t="s">
        <v>434</v>
      </c>
      <c r="N38" s="1" t="s">
        <v>416</v>
      </c>
      <c r="O38" s="1">
        <v>2.4</v>
      </c>
      <c r="P38" s="265">
        <f>+O38*O39*O40</f>
        <v>33.6</v>
      </c>
      <c r="Q38" t="s">
        <v>435</v>
      </c>
      <c r="R38" t="s">
        <v>439</v>
      </c>
      <c r="T38">
        <f>O38*O39</f>
        <v>9.6</v>
      </c>
      <c r="U38">
        <v>2</v>
      </c>
      <c r="V38" t="s">
        <v>440</v>
      </c>
      <c r="X38" t="s">
        <v>449</v>
      </c>
      <c r="Y38">
        <f>Y37*Y34</f>
        <v>74.074074074074076</v>
      </c>
      <c r="AA38" t="s">
        <v>448</v>
      </c>
    </row>
    <row r="39" spans="13:34" x14ac:dyDescent="0.25">
      <c r="M39" s="264"/>
      <c r="N39" s="1" t="s">
        <v>417</v>
      </c>
      <c r="O39" s="1">
        <v>4</v>
      </c>
      <c r="P39" s="265"/>
      <c r="T39" t="s">
        <v>435</v>
      </c>
      <c r="U39">
        <v>5</v>
      </c>
      <c r="AC39" t="s">
        <v>453</v>
      </c>
    </row>
    <row r="40" spans="13:34" x14ac:dyDescent="0.25">
      <c r="M40" s="264"/>
      <c r="N40" s="1" t="s">
        <v>421</v>
      </c>
      <c r="O40" s="1">
        <v>3.5</v>
      </c>
      <c r="P40" s="265"/>
      <c r="AC40" t="s">
        <v>456</v>
      </c>
      <c r="AD40" t="s">
        <v>455</v>
      </c>
      <c r="AE40" t="s">
        <v>459</v>
      </c>
      <c r="AF40" t="s">
        <v>457</v>
      </c>
      <c r="AG40" t="s">
        <v>458</v>
      </c>
    </row>
    <row r="41" spans="13:34" x14ac:dyDescent="0.25">
      <c r="AB41" t="s">
        <v>454</v>
      </c>
      <c r="AC41">
        <v>0.25</v>
      </c>
      <c r="AD41">
        <v>7</v>
      </c>
      <c r="AE41">
        <f>AD41/O20</f>
        <v>8.75</v>
      </c>
      <c r="AF41">
        <f>AE41*AC41</f>
        <v>2.1875</v>
      </c>
      <c r="AG41">
        <f>AE41-AF41</f>
        <v>6.5625</v>
      </c>
      <c r="AH41">
        <f>AG41*AG42</f>
        <v>42.109375000000007</v>
      </c>
    </row>
    <row r="42" spans="13:34" x14ac:dyDescent="0.25">
      <c r="P42" t="s">
        <v>465</v>
      </c>
      <c r="AB42" t="s">
        <v>417</v>
      </c>
      <c r="AC42">
        <v>0.3</v>
      </c>
      <c r="AD42">
        <v>11</v>
      </c>
      <c r="AE42">
        <f>AD42/O21</f>
        <v>9.1666666666666679</v>
      </c>
      <c r="AF42">
        <f>AE42*AC42</f>
        <v>2.7500000000000004</v>
      </c>
      <c r="AG42">
        <f>AE42-AF42</f>
        <v>6.4166666666666679</v>
      </c>
    </row>
    <row r="45" spans="13:34" x14ac:dyDescent="0.25">
      <c r="N45" s="263" t="s">
        <v>464</v>
      </c>
      <c r="O45" s="263"/>
      <c r="P45" s="263"/>
      <c r="Q45" s="263"/>
      <c r="R45" s="263"/>
      <c r="S45" s="263"/>
    </row>
    <row r="47" spans="13:34" x14ac:dyDescent="0.25">
      <c r="N47" s="1"/>
      <c r="O47" s="1" t="s">
        <v>426</v>
      </c>
      <c r="P47" s="1">
        <v>6250</v>
      </c>
    </row>
    <row r="48" spans="13:34" ht="30" x14ac:dyDescent="0.25">
      <c r="N48" s="1"/>
      <c r="O48" s="2" t="s">
        <v>430</v>
      </c>
      <c r="P48" s="1">
        <v>12</v>
      </c>
    </row>
    <row r="49" spans="13:19" x14ac:dyDescent="0.25">
      <c r="N49" s="264" t="s">
        <v>432</v>
      </c>
      <c r="O49" s="1" t="s">
        <v>433</v>
      </c>
      <c r="P49" s="1">
        <f>$P$47/P48</f>
        <v>520.83333333333337</v>
      </c>
    </row>
    <row r="50" spans="13:19" x14ac:dyDescent="0.25">
      <c r="N50" s="264"/>
      <c r="O50" s="1"/>
      <c r="P50" s="1"/>
    </row>
    <row r="52" spans="13:19" x14ac:dyDescent="0.25">
      <c r="N52" t="s">
        <v>27</v>
      </c>
      <c r="P52" s="269">
        <f>+P49*O26*O25*O24</f>
        <v>25</v>
      </c>
      <c r="Q52" t="s">
        <v>435</v>
      </c>
      <c r="R52" s="9"/>
    </row>
    <row r="53" spans="13:19" x14ac:dyDescent="0.25">
      <c r="M53" s="270"/>
      <c r="N53" t="s">
        <v>466</v>
      </c>
      <c r="P53">
        <f>P52/N54</f>
        <v>41.666666666666671</v>
      </c>
      <c r="R53" s="9"/>
    </row>
    <row r="54" spans="13:19" x14ac:dyDescent="0.25">
      <c r="M54" s="270"/>
      <c r="N54">
        <v>0.6</v>
      </c>
      <c r="R54" s="9"/>
    </row>
    <row r="55" spans="13:19" x14ac:dyDescent="0.25">
      <c r="M55" s="270"/>
      <c r="R55" s="9"/>
    </row>
    <row r="56" spans="13:19" x14ac:dyDescent="0.25">
      <c r="M56" s="270" t="s">
        <v>469</v>
      </c>
      <c r="R56" s="9"/>
    </row>
    <row r="57" spans="13:19" x14ac:dyDescent="0.25">
      <c r="M57" s="270"/>
      <c r="N57" t="s">
        <v>467</v>
      </c>
      <c r="P57">
        <f>P53*1.509</f>
        <v>62.875</v>
      </c>
      <c r="Q57" t="s">
        <v>468</v>
      </c>
      <c r="R57" s="9"/>
    </row>
    <row r="58" spans="13:19" x14ac:dyDescent="0.25">
      <c r="M58" s="270"/>
      <c r="O58">
        <v>30</v>
      </c>
      <c r="P58">
        <f>P57*O58</f>
        <v>1886.25</v>
      </c>
      <c r="R58" s="9"/>
    </row>
    <row r="59" spans="13:19" x14ac:dyDescent="0.25">
      <c r="M59" s="270"/>
      <c r="R59" s="9"/>
    </row>
    <row r="60" spans="13:19" x14ac:dyDescent="0.25">
      <c r="R60" s="9"/>
      <c r="S60">
        <f>P58+P68</f>
        <v>6039.8940084092501</v>
      </c>
    </row>
    <row r="61" spans="13:19" x14ac:dyDescent="0.25">
      <c r="R61" s="9"/>
    </row>
    <row r="62" spans="13:19" x14ac:dyDescent="0.25">
      <c r="P62">
        <v>25000</v>
      </c>
      <c r="R62" s="9"/>
    </row>
    <row r="63" spans="13:19" x14ac:dyDescent="0.25">
      <c r="M63" s="270"/>
      <c r="N63" t="s">
        <v>471</v>
      </c>
      <c r="P63">
        <f>P62/N64</f>
        <v>17.519271198318151</v>
      </c>
      <c r="R63" s="9"/>
    </row>
    <row r="64" spans="13:19" x14ac:dyDescent="0.25">
      <c r="M64" s="270"/>
      <c r="N64">
        <v>1427</v>
      </c>
      <c r="R64" s="9"/>
    </row>
    <row r="65" spans="13:21" x14ac:dyDescent="0.25">
      <c r="M65" s="270"/>
      <c r="R65" s="9"/>
    </row>
    <row r="66" spans="13:21" x14ac:dyDescent="0.25">
      <c r="M66" s="270" t="s">
        <v>470</v>
      </c>
      <c r="N66" t="s">
        <v>472</v>
      </c>
      <c r="O66">
        <v>7.9029999999999996</v>
      </c>
      <c r="P66">
        <f>P63*O66</f>
        <v>138.45480028030835</v>
      </c>
      <c r="Q66" t="s">
        <v>468</v>
      </c>
      <c r="R66" s="9"/>
    </row>
    <row r="67" spans="13:21" x14ac:dyDescent="0.25">
      <c r="M67" s="270"/>
      <c r="R67" s="9"/>
    </row>
    <row r="68" spans="13:21" x14ac:dyDescent="0.25">
      <c r="M68" s="270"/>
      <c r="N68" t="s">
        <v>339</v>
      </c>
      <c r="O68">
        <v>30</v>
      </c>
      <c r="P68">
        <f>P66*O68</f>
        <v>4153.6440084092501</v>
      </c>
      <c r="R68" s="9"/>
    </row>
    <row r="73" spans="13:21" x14ac:dyDescent="0.25">
      <c r="N73" s="9"/>
      <c r="O73" t="s">
        <v>484</v>
      </c>
      <c r="P73" t="s">
        <v>485</v>
      </c>
      <c r="Q73" t="s">
        <v>486</v>
      </c>
    </row>
    <row r="74" spans="13:21" x14ac:dyDescent="0.25">
      <c r="M74" t="s">
        <v>481</v>
      </c>
      <c r="N74" s="9" t="s">
        <v>482</v>
      </c>
      <c r="O74">
        <v>1.647</v>
      </c>
      <c r="P74">
        <f>O75*O74</f>
        <v>1.2780720000000001</v>
      </c>
      <c r="Q74">
        <f>P74*P53</f>
        <v>53.253000000000007</v>
      </c>
      <c r="R74" s="9"/>
      <c r="S74" s="9"/>
    </row>
    <row r="75" spans="13:21" x14ac:dyDescent="0.25">
      <c r="N75" s="9"/>
      <c r="O75">
        <v>0.77600000000000002</v>
      </c>
      <c r="R75" s="9"/>
      <c r="S75" s="9"/>
    </row>
    <row r="76" spans="13:21" x14ac:dyDescent="0.25">
      <c r="N76" s="9"/>
      <c r="O76">
        <v>0.90800000000000003</v>
      </c>
      <c r="R76" s="9">
        <f>Q74+Q77</f>
        <v>74.046622985283818</v>
      </c>
      <c r="S76" s="9"/>
    </row>
    <row r="77" spans="13:21" x14ac:dyDescent="0.25">
      <c r="N77" s="9"/>
      <c r="O77">
        <v>1.43</v>
      </c>
      <c r="P77">
        <f>O77*O78</f>
        <v>1.1868999999999998</v>
      </c>
      <c r="Q77">
        <f>P77*P63</f>
        <v>20.793622985283811</v>
      </c>
      <c r="R77" s="9"/>
      <c r="S77" s="9"/>
    </row>
    <row r="78" spans="13:21" x14ac:dyDescent="0.25">
      <c r="N78" s="9"/>
      <c r="O78">
        <v>0.83</v>
      </c>
      <c r="R78" s="9"/>
      <c r="S78" s="9"/>
    </row>
    <row r="79" spans="13:21" x14ac:dyDescent="0.25">
      <c r="N79" s="9"/>
      <c r="S79" s="9"/>
      <c r="T79" t="s">
        <v>487</v>
      </c>
    </row>
    <row r="80" spans="13:21" x14ac:dyDescent="0.25">
      <c r="N80" s="9"/>
      <c r="S80" s="9">
        <f>O82+R76</f>
        <v>148.09324597056764</v>
      </c>
      <c r="T80">
        <v>1.2</v>
      </c>
      <c r="U80">
        <f>S80*T80</f>
        <v>177.71189516468115</v>
      </c>
    </row>
    <row r="81" spans="14:19" x14ac:dyDescent="0.25">
      <c r="N81" s="9"/>
      <c r="S81" s="9"/>
    </row>
    <row r="82" spans="14:19" x14ac:dyDescent="0.25">
      <c r="N82" s="9" t="s">
        <v>483</v>
      </c>
      <c r="O82">
        <f>R76</f>
        <v>74.046622985283818</v>
      </c>
      <c r="S82" s="9"/>
    </row>
    <row r="83" spans="14:19" x14ac:dyDescent="0.25">
      <c r="N83" s="9"/>
      <c r="S83" s="9"/>
    </row>
    <row r="84" spans="14:19" x14ac:dyDescent="0.25">
      <c r="N84" s="9"/>
      <c r="S84" s="9"/>
    </row>
    <row r="85" spans="14:19" x14ac:dyDescent="0.25">
      <c r="S85" s="9"/>
    </row>
  </sheetData>
  <mergeCells count="18">
    <mergeCell ref="N49:N50"/>
    <mergeCell ref="M33:M34"/>
    <mergeCell ref="M35:M36"/>
    <mergeCell ref="M38:M40"/>
    <mergeCell ref="P38:P40"/>
    <mergeCell ref="S22:S24"/>
    <mergeCell ref="B9:B11"/>
    <mergeCell ref="AI3:AM5"/>
    <mergeCell ref="AO1:AO24"/>
    <mergeCell ref="G1:G23"/>
    <mergeCell ref="AC1:AC21"/>
    <mergeCell ref="J6:K6"/>
    <mergeCell ref="J3:K3"/>
    <mergeCell ref="P5:X5"/>
    <mergeCell ref="AI7:AK8"/>
    <mergeCell ref="AI9:AK9"/>
    <mergeCell ref="D3:D6"/>
    <mergeCell ref="T22:T2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C41C-D1B3-4BCA-9280-8B63E7B48224}">
  <dimension ref="C1:AF42"/>
  <sheetViews>
    <sheetView topLeftCell="C1" zoomScale="80" zoomScaleNormal="80" workbookViewId="0">
      <selection activeCell="K25" sqref="K25:R29"/>
    </sheetView>
  </sheetViews>
  <sheetFormatPr baseColWidth="10" defaultRowHeight="15" x14ac:dyDescent="0.25"/>
  <cols>
    <col min="1" max="1" width="11.42578125" style="1"/>
    <col min="2" max="2" width="6.85546875" style="1" customWidth="1"/>
    <col min="3" max="3" width="22.5703125" style="1" customWidth="1"/>
    <col min="4" max="6" width="11.42578125" style="1"/>
    <col min="7" max="7" width="13" style="1" customWidth="1"/>
    <col min="8" max="8" width="13.140625" style="1" customWidth="1"/>
    <col min="9" max="9" width="11.28515625" style="1" customWidth="1"/>
    <col min="10" max="10" width="11.5703125" style="1" customWidth="1"/>
    <col min="11" max="11" width="11.42578125" style="1"/>
    <col min="12" max="12" width="15.140625" style="1" customWidth="1"/>
    <col min="13" max="13" width="11.42578125" style="1"/>
    <col min="14" max="14" width="14.5703125" style="1" customWidth="1"/>
    <col min="15" max="16384" width="11.42578125" style="1"/>
  </cols>
  <sheetData>
    <row r="1" spans="3:32" ht="15.75" thickBot="1" x14ac:dyDescent="0.3"/>
    <row r="2" spans="3:32" ht="15.75" thickBot="1" x14ac:dyDescent="0.3">
      <c r="C2" s="138" t="s">
        <v>288</v>
      </c>
      <c r="D2" s="142" t="s">
        <v>289</v>
      </c>
      <c r="E2" s="139"/>
      <c r="F2" s="140"/>
    </row>
    <row r="3" spans="3:32" ht="15.75" thickBot="1" x14ac:dyDescent="0.3"/>
    <row r="4" spans="3:32" ht="15.75" thickBot="1" x14ac:dyDescent="0.3">
      <c r="C4" s="141" t="s">
        <v>285</v>
      </c>
    </row>
    <row r="6" spans="3:32" ht="65.25" customHeight="1" x14ac:dyDescent="0.25">
      <c r="C6" s="159" t="s">
        <v>314</v>
      </c>
      <c r="D6" s="137" t="s">
        <v>280</v>
      </c>
      <c r="E6" s="137" t="s">
        <v>276</v>
      </c>
      <c r="F6" s="137" t="s">
        <v>277</v>
      </c>
      <c r="G6" s="137" t="s">
        <v>278</v>
      </c>
      <c r="H6" s="137" t="s">
        <v>279</v>
      </c>
      <c r="I6" s="14"/>
      <c r="K6" s="3" t="s">
        <v>299</v>
      </c>
      <c r="L6" s="3" t="s">
        <v>303</v>
      </c>
      <c r="M6" s="3" t="s">
        <v>304</v>
      </c>
      <c r="O6" s="3"/>
      <c r="P6" s="3" t="s">
        <v>412</v>
      </c>
      <c r="Q6" s="3" t="s">
        <v>413</v>
      </c>
      <c r="R6" s="3" t="s">
        <v>72</v>
      </c>
    </row>
    <row r="7" spans="3:32" x14ac:dyDescent="0.25">
      <c r="C7" s="137" t="s">
        <v>280</v>
      </c>
      <c r="D7" s="137">
        <v>0</v>
      </c>
      <c r="E7" s="137">
        <v>6.64</v>
      </c>
      <c r="F7" s="137">
        <v>7.75</v>
      </c>
      <c r="G7" s="137">
        <v>9.4600000000000009</v>
      </c>
      <c r="H7" s="137">
        <v>13</v>
      </c>
      <c r="I7" s="14"/>
      <c r="K7" s="3">
        <v>15</v>
      </c>
      <c r="L7" s="3">
        <v>30</v>
      </c>
      <c r="M7" s="147">
        <v>120</v>
      </c>
      <c r="O7" s="3" t="s">
        <v>219</v>
      </c>
      <c r="P7" s="3">
        <f>E7+F8+G9+H10+H7</f>
        <v>28.89</v>
      </c>
      <c r="Q7" s="3">
        <v>25</v>
      </c>
      <c r="R7" s="3">
        <f>P7*Q7</f>
        <v>722.25</v>
      </c>
    </row>
    <row r="8" spans="3:32" x14ac:dyDescent="0.25">
      <c r="C8" s="137" t="s">
        <v>276</v>
      </c>
      <c r="D8" s="137">
        <v>17</v>
      </c>
      <c r="E8" s="137">
        <v>0</v>
      </c>
      <c r="F8" s="137">
        <v>2.31</v>
      </c>
      <c r="G8" s="137">
        <v>4.0199999999999996</v>
      </c>
      <c r="H8" s="137">
        <v>7.57</v>
      </c>
      <c r="I8" s="14"/>
      <c r="K8" s="1" t="s">
        <v>414</v>
      </c>
      <c r="L8" s="1" t="s">
        <v>414</v>
      </c>
      <c r="M8" s="1" t="s">
        <v>414</v>
      </c>
    </row>
    <row r="9" spans="3:32" x14ac:dyDescent="0.25">
      <c r="C9" s="137" t="s">
        <v>277</v>
      </c>
      <c r="D9" s="137">
        <v>21</v>
      </c>
      <c r="E9" s="137">
        <v>6</v>
      </c>
      <c r="F9" s="137">
        <v>0</v>
      </c>
      <c r="G9" s="137">
        <v>2.66</v>
      </c>
      <c r="H9" s="137">
        <v>6.21</v>
      </c>
      <c r="I9" s="14"/>
    </row>
    <row r="10" spans="3:32" ht="15.75" thickBot="1" x14ac:dyDescent="0.3">
      <c r="C10" s="137" t="s">
        <v>278</v>
      </c>
      <c r="D10" s="137">
        <v>23</v>
      </c>
      <c r="E10" s="137">
        <v>8</v>
      </c>
      <c r="F10" s="137">
        <v>7</v>
      </c>
      <c r="G10" s="137">
        <v>0</v>
      </c>
      <c r="H10" s="137">
        <v>4.28</v>
      </c>
      <c r="I10" s="14"/>
      <c r="K10" s="1" t="s">
        <v>307</v>
      </c>
    </row>
    <row r="11" spans="3:32" x14ac:dyDescent="0.25">
      <c r="C11" s="137" t="s">
        <v>279</v>
      </c>
      <c r="D11" s="137">
        <v>32</v>
      </c>
      <c r="E11" s="137">
        <v>16</v>
      </c>
      <c r="F11" s="137">
        <v>14</v>
      </c>
      <c r="G11" s="137">
        <v>8</v>
      </c>
      <c r="H11" s="137">
        <v>0</v>
      </c>
      <c r="K11" s="1" t="s">
        <v>308</v>
      </c>
      <c r="U11" s="151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3"/>
    </row>
    <row r="12" spans="3:32" x14ac:dyDescent="0.25">
      <c r="X12" s="154"/>
      <c r="Y12" s="14"/>
      <c r="Z12" s="14"/>
      <c r="AA12" s="14" t="s">
        <v>313</v>
      </c>
      <c r="AB12" s="14"/>
      <c r="AC12" s="14"/>
      <c r="AD12" s="14"/>
      <c r="AE12" s="14"/>
      <c r="AF12" s="155"/>
    </row>
    <row r="13" spans="3:32" ht="30" customHeight="1" thickBot="1" x14ac:dyDescent="0.3">
      <c r="C13" s="3" t="s">
        <v>415</v>
      </c>
      <c r="D13" s="137" t="s">
        <v>281</v>
      </c>
      <c r="E13" s="137" t="s">
        <v>282</v>
      </c>
      <c r="F13" s="137" t="s">
        <v>283</v>
      </c>
      <c r="G13" s="137" t="s">
        <v>284</v>
      </c>
      <c r="H13" s="137" t="s">
        <v>300</v>
      </c>
      <c r="I13" s="137" t="s">
        <v>301</v>
      </c>
      <c r="J13" s="1" t="s">
        <v>72</v>
      </c>
      <c r="U13" s="15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55"/>
    </row>
    <row r="14" spans="3:32" ht="15.75" thickBot="1" x14ac:dyDescent="0.3">
      <c r="C14" s="137" t="s">
        <v>276</v>
      </c>
      <c r="D14" s="137">
        <v>1.5</v>
      </c>
      <c r="E14" s="137">
        <v>1.2</v>
      </c>
      <c r="F14" s="137">
        <v>1</v>
      </c>
      <c r="G14" s="137">
        <v>0.6</v>
      </c>
      <c r="H14" s="137">
        <v>0.4</v>
      </c>
      <c r="I14" s="137">
        <v>1</v>
      </c>
      <c r="J14" s="1">
        <f t="shared" ref="J14:J17" si="0">SUM(D14:I14)</f>
        <v>5.7</v>
      </c>
      <c r="L14" s="144" t="s">
        <v>291</v>
      </c>
      <c r="M14" s="143" t="s">
        <v>305</v>
      </c>
      <c r="U14" s="154"/>
      <c r="V14" s="14"/>
      <c r="W14" s="14"/>
      <c r="X14" s="14" t="s">
        <v>311</v>
      </c>
      <c r="Y14" s="14" t="s">
        <v>281</v>
      </c>
      <c r="Z14" s="14" t="s">
        <v>282</v>
      </c>
      <c r="AA14" s="14" t="s">
        <v>283</v>
      </c>
      <c r="AB14" s="14" t="s">
        <v>284</v>
      </c>
      <c r="AC14" s="14" t="s">
        <v>300</v>
      </c>
      <c r="AD14" s="14" t="s">
        <v>301</v>
      </c>
      <c r="AE14" s="14"/>
      <c r="AF14" s="155"/>
    </row>
    <row r="15" spans="3:32" x14ac:dyDescent="0.25">
      <c r="C15" s="137" t="s">
        <v>277</v>
      </c>
      <c r="D15" s="137">
        <v>0.4</v>
      </c>
      <c r="E15" s="137">
        <v>0.7</v>
      </c>
      <c r="F15" s="137">
        <v>1.4</v>
      </c>
      <c r="G15" s="137">
        <v>1.2</v>
      </c>
      <c r="H15" s="137">
        <v>1.6</v>
      </c>
      <c r="I15" s="137">
        <v>0.1</v>
      </c>
      <c r="J15" s="1">
        <f t="shared" si="0"/>
        <v>5.4</v>
      </c>
      <c r="M15" s="143" t="s">
        <v>286</v>
      </c>
      <c r="U15" s="154"/>
      <c r="V15" s="14"/>
      <c r="W15" s="14"/>
      <c r="X15" s="14" t="s">
        <v>276</v>
      </c>
      <c r="Y15" s="14">
        <v>2.363334</v>
      </c>
      <c r="Z15" s="14">
        <v>0</v>
      </c>
      <c r="AA15" s="14">
        <f>0.74+0.166249833333333</f>
        <v>0.90624983333333298</v>
      </c>
      <c r="AB15" s="14">
        <v>0.85499999999999998</v>
      </c>
      <c r="AC15" s="14">
        <v>0.88020808333333345</v>
      </c>
      <c r="AD15" s="14">
        <v>0.69520808333333328</v>
      </c>
      <c r="AE15" s="14">
        <v>5.7</v>
      </c>
      <c r="AF15" s="155"/>
    </row>
    <row r="16" spans="3:32" x14ac:dyDescent="0.25">
      <c r="C16" s="137" t="s">
        <v>278</v>
      </c>
      <c r="D16" s="137">
        <v>0.8</v>
      </c>
      <c r="E16" s="137">
        <v>1.2</v>
      </c>
      <c r="F16" s="137">
        <v>0.6</v>
      </c>
      <c r="G16" s="137">
        <v>0.9</v>
      </c>
      <c r="H16" s="137">
        <v>0.2</v>
      </c>
      <c r="I16" s="137">
        <v>1.3</v>
      </c>
      <c r="J16" s="1">
        <f t="shared" si="0"/>
        <v>5</v>
      </c>
      <c r="M16" s="143" t="s">
        <v>287</v>
      </c>
      <c r="U16" s="154">
        <v>0.16624983333333301</v>
      </c>
      <c r="V16" s="14"/>
      <c r="W16" s="14"/>
      <c r="X16" s="14" t="s">
        <v>277</v>
      </c>
      <c r="Y16" s="14">
        <f>0.464583+0.172083</f>
        <v>0.63666600000000007</v>
      </c>
      <c r="Z16" s="14">
        <f>1.18500016666667-0.172083+0.1662498</f>
        <v>1.1791669666666702</v>
      </c>
      <c r="AA16" s="14">
        <f>1.18500016666667-0.166249833333333</f>
        <v>1.018750333333337</v>
      </c>
      <c r="AB16" s="14">
        <v>0.90000016666666682</v>
      </c>
      <c r="AC16" s="14">
        <v>0.92520825000000007</v>
      </c>
      <c r="AD16" s="14">
        <v>0.74020825000000012</v>
      </c>
      <c r="AE16" s="14">
        <v>5.4</v>
      </c>
      <c r="AF16" s="155"/>
    </row>
    <row r="17" spans="3:32" x14ac:dyDescent="0.25">
      <c r="C17" s="137" t="s">
        <v>279</v>
      </c>
      <c r="D17" s="137">
        <v>0.6</v>
      </c>
      <c r="E17" s="137">
        <v>1</v>
      </c>
      <c r="F17" s="137">
        <v>0.2</v>
      </c>
      <c r="G17" s="137">
        <v>0.6</v>
      </c>
      <c r="H17" s="137">
        <v>0.9</v>
      </c>
      <c r="I17" s="137">
        <v>1.2</v>
      </c>
      <c r="J17" s="1">
        <f t="shared" si="0"/>
        <v>4.5</v>
      </c>
      <c r="M17" s="143" t="s">
        <v>297</v>
      </c>
      <c r="U17" s="154">
        <v>0.17208300000000001</v>
      </c>
      <c r="V17" s="14"/>
      <c r="W17" s="14"/>
      <c r="X17" s="14" t="s">
        <v>278</v>
      </c>
      <c r="Y17" s="14">
        <v>0</v>
      </c>
      <c r="Z17" s="14">
        <v>0.7562498333333334</v>
      </c>
      <c r="AA17" s="14">
        <v>1.3083334999999998</v>
      </c>
      <c r="AB17" s="14">
        <v>1.0233335000000001</v>
      </c>
      <c r="AC17" s="14">
        <v>1.0485415833333334</v>
      </c>
      <c r="AD17" s="14">
        <v>0.86354158333333342</v>
      </c>
      <c r="AE17" s="14">
        <v>5</v>
      </c>
      <c r="AF17" s="155"/>
    </row>
    <row r="18" spans="3:32" x14ac:dyDescent="0.25">
      <c r="C18" s="14" t="s">
        <v>72</v>
      </c>
      <c r="D18" s="14">
        <f t="shared" ref="D18:H18" si="1">SUM(D14:D17)</f>
        <v>3.3000000000000003</v>
      </c>
      <c r="E18" s="14">
        <f t="shared" si="1"/>
        <v>4.0999999999999996</v>
      </c>
      <c r="F18" s="14">
        <f t="shared" si="1"/>
        <v>3.2</v>
      </c>
      <c r="G18" s="14">
        <f t="shared" si="1"/>
        <v>3.3</v>
      </c>
      <c r="H18" s="14">
        <f t="shared" si="1"/>
        <v>3.1</v>
      </c>
      <c r="I18" s="14">
        <f>SUM(I14:I17)</f>
        <v>3.6000000000000005</v>
      </c>
      <c r="K18" s="1">
        <f>SUM(D18:J18)</f>
        <v>20.600000000000005</v>
      </c>
      <c r="M18" s="143"/>
      <c r="U18" s="154"/>
      <c r="V18" s="14"/>
      <c r="W18" s="14"/>
      <c r="X18" s="14" t="s">
        <v>279</v>
      </c>
      <c r="Y18" s="14">
        <v>0</v>
      </c>
      <c r="Z18" s="14">
        <f>0.892500166666667+0.172083</f>
        <v>1.064583166666667</v>
      </c>
      <c r="AA18" s="14">
        <v>0.89250016666666665</v>
      </c>
      <c r="AB18" s="14">
        <v>0.89250016666666665</v>
      </c>
      <c r="AC18" s="14">
        <v>0.91770825</v>
      </c>
      <c r="AD18" s="14">
        <v>0.73270825000000006</v>
      </c>
      <c r="AE18" s="14">
        <v>4.5</v>
      </c>
      <c r="AF18" s="155"/>
    </row>
    <row r="19" spans="3:32" x14ac:dyDescent="0.25">
      <c r="C19" s="14"/>
      <c r="D19" s="14"/>
      <c r="E19" s="14"/>
      <c r="F19" s="14"/>
      <c r="G19" s="14"/>
      <c r="H19" s="14"/>
      <c r="I19" s="14"/>
      <c r="K19" s="1">
        <f>K18/6</f>
        <v>3.433333333333334</v>
      </c>
      <c r="M19" s="143"/>
      <c r="U19" s="154"/>
      <c r="V19" s="14"/>
      <c r="W19" s="14"/>
      <c r="X19" s="14"/>
      <c r="Y19" s="14">
        <v>3</v>
      </c>
      <c r="Z19" s="14">
        <v>3</v>
      </c>
      <c r="AA19" s="14">
        <v>4.1258338333333331</v>
      </c>
      <c r="AB19" s="14">
        <v>3.6708338333333335</v>
      </c>
      <c r="AC19" s="14">
        <v>3.7716661666666669</v>
      </c>
      <c r="AD19" s="14">
        <v>3.0316661666666667</v>
      </c>
      <c r="AE19" s="14"/>
      <c r="AF19" s="155"/>
    </row>
    <row r="20" spans="3:32" x14ac:dyDescent="0.25">
      <c r="K20" s="1" t="s">
        <v>309</v>
      </c>
      <c r="U20" s="15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55"/>
    </row>
    <row r="21" spans="3:32" ht="45.75" thickBot="1" x14ac:dyDescent="0.3">
      <c r="U21" s="154"/>
      <c r="V21" s="14"/>
      <c r="W21" s="14"/>
      <c r="X21" s="3" t="s">
        <v>310</v>
      </c>
      <c r="Y21" s="147" t="s">
        <v>281</v>
      </c>
      <c r="Z21" s="147" t="s">
        <v>282</v>
      </c>
      <c r="AA21" s="147" t="s">
        <v>283</v>
      </c>
      <c r="AB21" s="147" t="s">
        <v>284</v>
      </c>
      <c r="AC21" s="147" t="s">
        <v>300</v>
      </c>
      <c r="AD21" s="147" t="s">
        <v>301</v>
      </c>
      <c r="AE21" s="14"/>
      <c r="AF21" s="155"/>
    </row>
    <row r="22" spans="3:32" ht="15.75" thickBot="1" x14ac:dyDescent="0.3">
      <c r="C22" s="141" t="s">
        <v>292</v>
      </c>
      <c r="N22" s="141" t="s">
        <v>302</v>
      </c>
      <c r="U22" s="154"/>
      <c r="V22" s="14"/>
      <c r="W22" s="14"/>
      <c r="X22" s="147" t="s">
        <v>276</v>
      </c>
      <c r="Y22" s="147">
        <v>-0.86333400000000005</v>
      </c>
      <c r="Z22" s="147">
        <v>0.33666599999999991</v>
      </c>
      <c r="AA22" s="147">
        <v>0.43041616666666693</v>
      </c>
      <c r="AB22" s="147">
        <v>0.17541616666666693</v>
      </c>
      <c r="AC22" s="147">
        <v>-0.3047919166666665</v>
      </c>
      <c r="AD22" s="147">
        <v>0</v>
      </c>
      <c r="AE22" s="14"/>
      <c r="AF22" s="155"/>
    </row>
    <row r="23" spans="3:32" ht="15.75" thickBot="1" x14ac:dyDescent="0.3">
      <c r="C23" s="14"/>
      <c r="N23" s="14"/>
      <c r="U23" s="154"/>
      <c r="V23" s="14"/>
      <c r="W23" s="14"/>
      <c r="X23" s="147" t="s">
        <v>277</v>
      </c>
      <c r="Y23" s="147">
        <v>-0.23666600000000004</v>
      </c>
      <c r="Z23" s="147">
        <v>-0.71583296666667029</v>
      </c>
      <c r="AA23" s="147">
        <v>-0.33458330000000736</v>
      </c>
      <c r="AB23" s="147">
        <v>-3.4583466666674223E-2</v>
      </c>
      <c r="AC23" s="147">
        <v>0.6402082833333258</v>
      </c>
      <c r="AD23" s="147">
        <v>0</v>
      </c>
      <c r="AE23" s="14"/>
      <c r="AF23" s="155"/>
    </row>
    <row r="24" spans="3:32" ht="30.75" thickBot="1" x14ac:dyDescent="0.3">
      <c r="C24" s="3" t="s">
        <v>310</v>
      </c>
      <c r="D24" s="146" t="s">
        <v>281</v>
      </c>
      <c r="E24" s="146" t="s">
        <v>282</v>
      </c>
      <c r="F24" s="146" t="s">
        <v>283</v>
      </c>
      <c r="G24" s="146" t="s">
        <v>284</v>
      </c>
      <c r="H24" s="146" t="s">
        <v>300</v>
      </c>
      <c r="I24" s="146" t="s">
        <v>301</v>
      </c>
      <c r="K24" s="3" t="s">
        <v>311</v>
      </c>
      <c r="L24" s="147" t="s">
        <v>281</v>
      </c>
      <c r="M24" s="147" t="s">
        <v>282</v>
      </c>
      <c r="N24" s="147" t="s">
        <v>283</v>
      </c>
      <c r="O24" s="147" t="s">
        <v>284</v>
      </c>
      <c r="P24" s="147" t="s">
        <v>300</v>
      </c>
      <c r="Q24" s="147" t="s">
        <v>301</v>
      </c>
      <c r="U24" s="150" t="s">
        <v>290</v>
      </c>
      <c r="V24" s="140">
        <v>6</v>
      </c>
      <c r="W24" s="14"/>
      <c r="X24" s="147" t="s">
        <v>278</v>
      </c>
      <c r="Y24" s="147">
        <v>0.8</v>
      </c>
      <c r="Z24" s="147">
        <v>1.2437501666666666</v>
      </c>
      <c r="AA24" s="147">
        <v>0.53541666666666687</v>
      </c>
      <c r="AB24" s="147">
        <v>0.41208316666666667</v>
      </c>
      <c r="AC24" s="147">
        <v>-0.43645841666666674</v>
      </c>
      <c r="AD24" s="147">
        <v>0</v>
      </c>
      <c r="AE24" s="14"/>
      <c r="AF24" s="155"/>
    </row>
    <row r="25" spans="3:32" x14ac:dyDescent="0.25">
      <c r="C25" s="146" t="s">
        <v>276</v>
      </c>
      <c r="D25" s="146">
        <f>D14-L25</f>
        <v>-0.86333400000000005</v>
      </c>
      <c r="E25" s="146">
        <f>D25+E14-M25</f>
        <v>0.33666599999999991</v>
      </c>
      <c r="F25" s="146">
        <f t="shared" ref="F25:I28" si="2">E25+F14-N25</f>
        <v>0.43041616666666693</v>
      </c>
      <c r="G25" s="146">
        <f t="shared" si="2"/>
        <v>0.17541616666666693</v>
      </c>
      <c r="H25" s="146">
        <f t="shared" si="2"/>
        <v>-0.3047919166666665</v>
      </c>
      <c r="I25" s="146">
        <f t="shared" si="2"/>
        <v>0</v>
      </c>
      <c r="K25" s="147" t="s">
        <v>276</v>
      </c>
      <c r="L25" s="147">
        <v>2.363334</v>
      </c>
      <c r="M25" s="147">
        <v>0</v>
      </c>
      <c r="N25" s="147">
        <f>0.74+0.166249833333333</f>
        <v>0.90624983333333298</v>
      </c>
      <c r="O25" s="147">
        <v>0.85499999999999998</v>
      </c>
      <c r="P25" s="147">
        <v>0.88020808333333345</v>
      </c>
      <c r="Q25" s="147">
        <v>0.69520808333333328</v>
      </c>
      <c r="R25" s="1">
        <v>5.7</v>
      </c>
      <c r="U25" s="154"/>
      <c r="V25" s="14"/>
      <c r="W25" s="14"/>
      <c r="X25" s="147" t="s">
        <v>279</v>
      </c>
      <c r="Y25" s="147">
        <v>0.6</v>
      </c>
      <c r="Z25" s="147">
        <v>0.53541683333333312</v>
      </c>
      <c r="AA25" s="147">
        <v>-0.15708333333333357</v>
      </c>
      <c r="AB25" s="147">
        <v>-0.44958350000000025</v>
      </c>
      <c r="AC25" s="147">
        <v>-0.46729175000000023</v>
      </c>
      <c r="AD25" s="147">
        <v>0</v>
      </c>
      <c r="AE25" s="14"/>
      <c r="AF25" s="155"/>
    </row>
    <row r="26" spans="3:32" x14ac:dyDescent="0.25">
      <c r="C26" s="146" t="s">
        <v>277</v>
      </c>
      <c r="D26" s="146">
        <f t="shared" ref="D26:D28" si="3">D15-L26</f>
        <v>-0.23666600000000004</v>
      </c>
      <c r="E26" s="146">
        <f t="shared" ref="E26:E28" si="4">D26+E15-M26</f>
        <v>-0.71583296666667029</v>
      </c>
      <c r="F26" s="146">
        <f t="shared" si="2"/>
        <v>-0.33458330000000736</v>
      </c>
      <c r="G26" s="146">
        <f t="shared" si="2"/>
        <v>-3.4583466666674223E-2</v>
      </c>
      <c r="H26" s="146">
        <f t="shared" ref="H26:H28" si="5">G26+H15-P26</f>
        <v>0.6402082833333258</v>
      </c>
      <c r="I26" s="146">
        <v>0</v>
      </c>
      <c r="K26" s="147" t="s">
        <v>277</v>
      </c>
      <c r="L26" s="147">
        <f>0.464583+0.172083</f>
        <v>0.63666600000000007</v>
      </c>
      <c r="M26" s="147">
        <f>1.18500016666667-0.172083+0.1662498</f>
        <v>1.1791669666666702</v>
      </c>
      <c r="N26" s="147">
        <f>1.18500016666667-0.166249833333333</f>
        <v>1.018750333333337</v>
      </c>
      <c r="O26" s="147">
        <v>0.90000016666666682</v>
      </c>
      <c r="P26" s="147">
        <v>0.92520825000000007</v>
      </c>
      <c r="Q26" s="147">
        <v>0.74020825000000012</v>
      </c>
      <c r="R26" s="1">
        <v>5.4</v>
      </c>
      <c r="U26" s="15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5"/>
    </row>
    <row r="27" spans="3:32" ht="45" x14ac:dyDescent="0.25">
      <c r="C27" s="146" t="s">
        <v>278</v>
      </c>
      <c r="D27" s="146">
        <f t="shared" si="3"/>
        <v>0.8</v>
      </c>
      <c r="E27" s="146">
        <f t="shared" si="4"/>
        <v>1.2437501666666666</v>
      </c>
      <c r="F27" s="146">
        <f t="shared" si="2"/>
        <v>0.53541666666666687</v>
      </c>
      <c r="G27" s="146">
        <f t="shared" si="2"/>
        <v>0.41208316666666667</v>
      </c>
      <c r="H27" s="146">
        <f t="shared" si="5"/>
        <v>-0.43645841666666674</v>
      </c>
      <c r="I27" s="146">
        <f t="shared" ref="I26:I28" si="6">H27+I16-Q27</f>
        <v>0</v>
      </c>
      <c r="K27" s="147" t="s">
        <v>278</v>
      </c>
      <c r="L27" s="147">
        <v>0</v>
      </c>
      <c r="M27" s="147">
        <v>0.7562498333333334</v>
      </c>
      <c r="N27" s="147">
        <v>1.3083334999999998</v>
      </c>
      <c r="O27" s="147">
        <v>1.0233335000000001</v>
      </c>
      <c r="P27" s="147">
        <v>1.0485415833333334</v>
      </c>
      <c r="Q27" s="147">
        <v>0.86354158333333342</v>
      </c>
      <c r="R27" s="1">
        <v>5</v>
      </c>
      <c r="U27" s="154"/>
      <c r="V27" s="14"/>
      <c r="W27" s="14"/>
      <c r="X27" s="3" t="s">
        <v>415</v>
      </c>
      <c r="Y27" s="147" t="s">
        <v>281</v>
      </c>
      <c r="Z27" s="147" t="s">
        <v>282</v>
      </c>
      <c r="AA27" s="147" t="s">
        <v>283</v>
      </c>
      <c r="AB27" s="147" t="s">
        <v>284</v>
      </c>
      <c r="AC27" s="147" t="s">
        <v>300</v>
      </c>
      <c r="AD27" s="147" t="s">
        <v>301</v>
      </c>
      <c r="AE27" s="1" t="s">
        <v>72</v>
      </c>
      <c r="AF27" s="155"/>
    </row>
    <row r="28" spans="3:32" x14ac:dyDescent="0.25">
      <c r="C28" s="146" t="s">
        <v>279</v>
      </c>
      <c r="D28" s="146">
        <f t="shared" si="3"/>
        <v>0.6</v>
      </c>
      <c r="E28" s="146">
        <f t="shared" si="4"/>
        <v>0.53541683333333312</v>
      </c>
      <c r="F28" s="146">
        <f t="shared" si="2"/>
        <v>-0.15708333333333357</v>
      </c>
      <c r="G28" s="146">
        <f t="shared" si="2"/>
        <v>-0.44958350000000025</v>
      </c>
      <c r="H28" s="146">
        <f t="shared" si="5"/>
        <v>-0.46729175000000023</v>
      </c>
      <c r="I28" s="146">
        <f t="shared" si="6"/>
        <v>0</v>
      </c>
      <c r="K28" s="147" t="s">
        <v>279</v>
      </c>
      <c r="L28" s="147">
        <v>0</v>
      </c>
      <c r="M28" s="147">
        <f>0.892500166666667+0.172083</f>
        <v>1.064583166666667</v>
      </c>
      <c r="N28" s="147">
        <v>0.89250016666666665</v>
      </c>
      <c r="O28" s="147">
        <v>0.89250016666666665</v>
      </c>
      <c r="P28" s="147">
        <v>0.91770825</v>
      </c>
      <c r="Q28" s="147">
        <v>0.73270825000000006</v>
      </c>
      <c r="R28" s="1">
        <v>4.5</v>
      </c>
      <c r="U28" s="154"/>
      <c r="V28" s="14"/>
      <c r="W28" s="14"/>
      <c r="X28" s="147" t="s">
        <v>276</v>
      </c>
      <c r="Y28" s="147">
        <v>1.5</v>
      </c>
      <c r="Z28" s="147">
        <v>1.2</v>
      </c>
      <c r="AA28" s="147">
        <v>1</v>
      </c>
      <c r="AB28" s="147">
        <v>0.6</v>
      </c>
      <c r="AC28" s="147">
        <v>0.4</v>
      </c>
      <c r="AD28" s="147">
        <v>1</v>
      </c>
      <c r="AE28" s="1">
        <f t="shared" ref="AE28:AE31" si="7">SUM(Y28:AD28)</f>
        <v>5.7</v>
      </c>
      <c r="AF28" s="155"/>
    </row>
    <row r="29" spans="3:32" x14ac:dyDescent="0.25">
      <c r="C29" s="14"/>
      <c r="L29" s="1">
        <f>SUM(L25:L28)</f>
        <v>3</v>
      </c>
      <c r="M29" s="1">
        <f t="shared" ref="M29:Q29" si="8">SUM(M25:M28)</f>
        <v>2.9999999666666706</v>
      </c>
      <c r="N29" s="1">
        <f t="shared" si="8"/>
        <v>4.1258338333333366</v>
      </c>
      <c r="O29" s="1">
        <f t="shared" si="8"/>
        <v>3.6708338333333335</v>
      </c>
      <c r="P29" s="1">
        <f t="shared" si="8"/>
        <v>3.7716661666666669</v>
      </c>
      <c r="Q29" s="1">
        <f t="shared" si="8"/>
        <v>3.0316661666666667</v>
      </c>
      <c r="U29" s="154"/>
      <c r="V29" s="14"/>
      <c r="W29" s="14"/>
      <c r="X29" s="147" t="s">
        <v>277</v>
      </c>
      <c r="Y29" s="147">
        <v>0.4</v>
      </c>
      <c r="Z29" s="147">
        <v>0.7</v>
      </c>
      <c r="AA29" s="147">
        <v>1.4</v>
      </c>
      <c r="AB29" s="147">
        <v>1.2</v>
      </c>
      <c r="AC29" s="147">
        <v>1.6</v>
      </c>
      <c r="AD29" s="147">
        <v>0.1</v>
      </c>
      <c r="AE29" s="1">
        <f t="shared" si="7"/>
        <v>5.4</v>
      </c>
      <c r="AF29" s="155"/>
    </row>
    <row r="30" spans="3:32" ht="13.5" customHeight="1" x14ac:dyDescent="0.25">
      <c r="L30" s="1">
        <f>L29*L32-L29</f>
        <v>0</v>
      </c>
      <c r="M30" s="1">
        <f t="shared" ref="M30:Q30" si="9">M29*M32-M29</f>
        <v>0</v>
      </c>
      <c r="N30" s="1">
        <f t="shared" si="9"/>
        <v>0</v>
      </c>
      <c r="O30" s="1">
        <f t="shared" si="9"/>
        <v>0</v>
      </c>
      <c r="P30" s="1">
        <f t="shared" si="9"/>
        <v>0</v>
      </c>
      <c r="Q30" s="1">
        <f t="shared" si="9"/>
        <v>0</v>
      </c>
      <c r="U30" s="154"/>
      <c r="V30" s="14"/>
      <c r="W30" s="14"/>
      <c r="X30" s="147" t="s">
        <v>278</v>
      </c>
      <c r="Y30" s="147">
        <v>0.8</v>
      </c>
      <c r="Z30" s="147">
        <v>1.2</v>
      </c>
      <c r="AA30" s="147">
        <v>0.6</v>
      </c>
      <c r="AB30" s="147">
        <v>0.9</v>
      </c>
      <c r="AC30" s="147">
        <v>0.2</v>
      </c>
      <c r="AD30" s="147">
        <v>1.3</v>
      </c>
      <c r="AE30" s="1">
        <f t="shared" si="7"/>
        <v>5</v>
      </c>
      <c r="AF30" s="155"/>
    </row>
    <row r="31" spans="3:32" ht="0.75" customHeight="1" thickBot="1" x14ac:dyDescent="0.3">
      <c r="U31" s="154"/>
      <c r="V31" s="14"/>
      <c r="W31" s="14"/>
      <c r="X31" s="147" t="s">
        <v>279</v>
      </c>
      <c r="Y31" s="147">
        <v>0.6</v>
      </c>
      <c r="Z31" s="147">
        <v>1</v>
      </c>
      <c r="AA31" s="147">
        <v>0.2</v>
      </c>
      <c r="AB31" s="147">
        <v>0.6</v>
      </c>
      <c r="AC31" s="147">
        <v>0.9</v>
      </c>
      <c r="AD31" s="147">
        <v>1.2</v>
      </c>
      <c r="AE31" s="1">
        <f t="shared" si="7"/>
        <v>4.5</v>
      </c>
      <c r="AF31" s="155"/>
    </row>
    <row r="32" spans="3:32" ht="31.5" customHeight="1" thickBot="1" x14ac:dyDescent="0.3">
      <c r="D32" s="145" t="s">
        <v>293</v>
      </c>
      <c r="K32" s="143" t="s">
        <v>312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41">
        <f>SUM(L32:Q32)</f>
        <v>6</v>
      </c>
      <c r="U32" s="154"/>
      <c r="V32" s="14"/>
      <c r="W32" s="14"/>
      <c r="X32" s="14" t="s">
        <v>72</v>
      </c>
      <c r="Y32" s="14">
        <f t="shared" ref="Y32:AC32" si="10">SUM(Y28:Y31)</f>
        <v>3.3000000000000003</v>
      </c>
      <c r="Z32" s="14">
        <f t="shared" si="10"/>
        <v>4.0999999999999996</v>
      </c>
      <c r="AA32" s="14">
        <f t="shared" si="10"/>
        <v>3.2</v>
      </c>
      <c r="AB32" s="14">
        <f t="shared" si="10"/>
        <v>3.3</v>
      </c>
      <c r="AC32" s="14">
        <f t="shared" si="10"/>
        <v>3.1</v>
      </c>
      <c r="AD32" s="14">
        <f>SUM(AD28:AD31)</f>
        <v>3.6000000000000005</v>
      </c>
      <c r="AF32" s="155"/>
    </row>
    <row r="33" spans="4:32" x14ac:dyDescent="0.25">
      <c r="K33" s="143"/>
      <c r="U33" s="15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55"/>
    </row>
    <row r="34" spans="4:32" ht="15.75" thickBot="1" x14ac:dyDescent="0.3">
      <c r="U34" s="15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55"/>
    </row>
    <row r="35" spans="4:32" ht="45.75" thickBot="1" x14ac:dyDescent="0.3">
      <c r="D35" s="3" t="s">
        <v>298</v>
      </c>
      <c r="G35" s="3" t="s">
        <v>294</v>
      </c>
      <c r="H35" s="3" t="s">
        <v>295</v>
      </c>
      <c r="I35" s="3" t="s">
        <v>296</v>
      </c>
      <c r="L35" s="150" t="s">
        <v>290</v>
      </c>
      <c r="M35" s="140">
        <v>6</v>
      </c>
      <c r="U35" s="15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55"/>
    </row>
    <row r="36" spans="4:32" ht="60" x14ac:dyDescent="0.25">
      <c r="D36" s="137"/>
      <c r="F36" s="3" t="s">
        <v>306</v>
      </c>
      <c r="G36" s="137"/>
      <c r="H36" s="137"/>
      <c r="I36" s="137"/>
      <c r="U36" s="15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55"/>
    </row>
    <row r="37" spans="4:32" x14ac:dyDescent="0.25">
      <c r="U37" s="15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55"/>
    </row>
    <row r="38" spans="4:32" x14ac:dyDescent="0.25">
      <c r="U38" s="15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5"/>
    </row>
    <row r="39" spans="4:32" x14ac:dyDescent="0.25">
      <c r="U39" s="15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55"/>
    </row>
    <row r="40" spans="4:32" x14ac:dyDescent="0.25">
      <c r="U40" s="15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55"/>
    </row>
    <row r="41" spans="4:32" x14ac:dyDescent="0.25">
      <c r="U41" s="15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55"/>
    </row>
    <row r="42" spans="4:32" ht="15.75" thickBot="1" x14ac:dyDescent="0.3">
      <c r="U42" s="156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8"/>
    </row>
  </sheetData>
  <phoneticPr fontId="8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8533-8F7A-4497-A66F-D93AA1926D31}">
  <dimension ref="B1:BT35"/>
  <sheetViews>
    <sheetView tabSelected="1" topLeftCell="U1" zoomScale="50" zoomScaleNormal="50" workbookViewId="0">
      <selection activeCell="AA11" sqref="AA11"/>
    </sheetView>
  </sheetViews>
  <sheetFormatPr baseColWidth="10" defaultRowHeight="15" x14ac:dyDescent="0.25"/>
  <cols>
    <col min="29" max="29" width="11.42578125" style="250"/>
    <col min="31" max="31" width="13.7109375" customWidth="1"/>
    <col min="33" max="33" width="14.85546875" customWidth="1"/>
    <col min="34" max="35" width="15.5703125" customWidth="1"/>
    <col min="38" max="38" width="13.42578125" customWidth="1"/>
    <col min="40" max="40" width="13.7109375" customWidth="1"/>
    <col min="42" max="42" width="11.42578125" style="114"/>
    <col min="43" max="43" width="11.42578125" style="136"/>
    <col min="45" max="45" width="16.42578125" customWidth="1"/>
  </cols>
  <sheetData>
    <row r="1" spans="2:72" x14ac:dyDescent="0.25">
      <c r="I1" s="191" t="s">
        <v>80</v>
      </c>
      <c r="AQ1" s="198" t="s">
        <v>275</v>
      </c>
      <c r="BB1" s="11"/>
    </row>
    <row r="2" spans="2:72" ht="15.75" thickBot="1" x14ac:dyDescent="0.3">
      <c r="B2" s="180" t="s">
        <v>81</v>
      </c>
      <c r="C2" s="180"/>
      <c r="I2" s="191"/>
      <c r="K2" s="185" t="s">
        <v>73</v>
      </c>
      <c r="L2" s="185"/>
      <c r="M2" s="185"/>
      <c r="N2" s="185"/>
      <c r="O2" s="185"/>
      <c r="P2" s="185"/>
      <c r="Q2" s="185"/>
      <c r="R2" s="185"/>
      <c r="T2" s="188" t="s">
        <v>73</v>
      </c>
      <c r="U2" s="189"/>
      <c r="V2" s="189"/>
      <c r="W2" s="189"/>
      <c r="X2" s="189"/>
      <c r="Y2" s="189"/>
      <c r="Z2" s="189"/>
      <c r="AA2" s="190"/>
      <c r="AF2" s="196" t="s">
        <v>85</v>
      </c>
      <c r="AG2" s="196"/>
      <c r="AH2" s="196"/>
      <c r="AI2" s="196"/>
      <c r="AJ2" s="196"/>
      <c r="AK2" s="197" t="s">
        <v>91</v>
      </c>
      <c r="AL2" s="197"/>
      <c r="AM2" s="197"/>
      <c r="AN2" s="197"/>
      <c r="AO2" s="197"/>
      <c r="AP2" s="135"/>
      <c r="AQ2" s="198"/>
      <c r="AT2" s="192" t="s">
        <v>119</v>
      </c>
      <c r="AU2" s="192"/>
      <c r="AV2" s="192"/>
      <c r="AW2" s="192"/>
      <c r="AX2" s="192"/>
      <c r="AY2" s="192"/>
      <c r="AZ2" s="192"/>
      <c r="BA2" s="193"/>
      <c r="BB2" s="194" t="s">
        <v>120</v>
      </c>
      <c r="BC2" s="195"/>
      <c r="BD2" s="195"/>
      <c r="BE2" s="195"/>
      <c r="BF2" s="195"/>
      <c r="BG2" s="195"/>
      <c r="BH2" s="195"/>
      <c r="BI2" s="195"/>
      <c r="BJ2" s="195"/>
    </row>
    <row r="3" spans="2:72" ht="60.75" thickBot="1" x14ac:dyDescent="0.3">
      <c r="B3" s="3" t="s">
        <v>70</v>
      </c>
      <c r="C3" s="36" t="s">
        <v>82</v>
      </c>
      <c r="I3" s="191"/>
      <c r="K3" s="33" t="s">
        <v>70</v>
      </c>
      <c r="L3" s="3" t="s">
        <v>63</v>
      </c>
      <c r="M3" s="3" t="s">
        <v>64</v>
      </c>
      <c r="N3" s="3" t="s">
        <v>65</v>
      </c>
      <c r="O3" s="3" t="s">
        <v>68</v>
      </c>
      <c r="P3" s="3" t="s">
        <v>66</v>
      </c>
      <c r="Q3" s="3" t="s">
        <v>67</v>
      </c>
      <c r="R3" s="16" t="s">
        <v>72</v>
      </c>
      <c r="T3" s="33" t="s">
        <v>86</v>
      </c>
      <c r="U3" s="3" t="s">
        <v>63</v>
      </c>
      <c r="V3" s="3" t="s">
        <v>64</v>
      </c>
      <c r="W3" s="3" t="s">
        <v>65</v>
      </c>
      <c r="X3" s="3" t="s">
        <v>68</v>
      </c>
      <c r="Y3" s="3" t="s">
        <v>66</v>
      </c>
      <c r="Z3" s="3" t="s">
        <v>67</v>
      </c>
      <c r="AA3" s="16" t="s">
        <v>72</v>
      </c>
      <c r="AF3" s="38" t="s">
        <v>87</v>
      </c>
      <c r="AG3" s="38" t="s">
        <v>115</v>
      </c>
      <c r="AH3" s="38" t="s">
        <v>116</v>
      </c>
      <c r="AI3" s="38" t="s">
        <v>388</v>
      </c>
      <c r="AJ3" s="38" t="s">
        <v>88</v>
      </c>
      <c r="AK3" s="38" t="s">
        <v>88</v>
      </c>
      <c r="AL3" s="38" t="s">
        <v>117</v>
      </c>
      <c r="AM3" s="38" t="s">
        <v>118</v>
      </c>
      <c r="AN3" s="38" t="s">
        <v>389</v>
      </c>
      <c r="AO3" s="38" t="s">
        <v>89</v>
      </c>
      <c r="AP3" s="22"/>
      <c r="AQ3" s="198"/>
      <c r="AS3" s="46" t="s">
        <v>121</v>
      </c>
      <c r="AT3" s="42" t="s">
        <v>93</v>
      </c>
      <c r="AU3" s="42" t="s">
        <v>90</v>
      </c>
      <c r="AV3" s="42" t="s">
        <v>94</v>
      </c>
      <c r="AW3" s="42" t="s">
        <v>95</v>
      </c>
      <c r="AX3" s="42" t="s">
        <v>96</v>
      </c>
      <c r="AY3" s="42" t="s">
        <v>97</v>
      </c>
      <c r="AZ3" s="42" t="s">
        <v>98</v>
      </c>
      <c r="BA3" s="42" t="s">
        <v>99</v>
      </c>
      <c r="BB3" s="42" t="s">
        <v>100</v>
      </c>
      <c r="BC3" s="42" t="s">
        <v>105</v>
      </c>
      <c r="BD3" s="42" t="s">
        <v>107</v>
      </c>
      <c r="BE3" s="42" t="s">
        <v>108</v>
      </c>
      <c r="BF3" s="42" t="s">
        <v>109</v>
      </c>
      <c r="BG3" s="42" t="s">
        <v>110</v>
      </c>
      <c r="BH3" s="42" t="s">
        <v>111</v>
      </c>
      <c r="BI3" s="42" t="s">
        <v>112</v>
      </c>
      <c r="BJ3" s="42" t="s">
        <v>113</v>
      </c>
      <c r="BK3" s="42" t="s">
        <v>390</v>
      </c>
      <c r="BL3" s="42" t="s">
        <v>391</v>
      </c>
      <c r="BM3" s="42" t="s">
        <v>392</v>
      </c>
      <c r="BN3" s="42" t="s">
        <v>393</v>
      </c>
      <c r="BO3" s="42" t="s">
        <v>394</v>
      </c>
      <c r="BP3" s="42" t="s">
        <v>395</v>
      </c>
      <c r="BQ3" s="42" t="s">
        <v>396</v>
      </c>
      <c r="BR3" s="42" t="s">
        <v>397</v>
      </c>
      <c r="BS3" s="42" t="s">
        <v>398</v>
      </c>
      <c r="BT3" s="42" t="s">
        <v>399</v>
      </c>
    </row>
    <row r="4" spans="2:72" ht="60" x14ac:dyDescent="0.25">
      <c r="B4" s="3" t="s">
        <v>86</v>
      </c>
      <c r="C4" s="36" t="s">
        <v>83</v>
      </c>
      <c r="I4" s="191"/>
      <c r="K4" s="3" t="s">
        <v>27</v>
      </c>
      <c r="L4" s="3">
        <v>50000</v>
      </c>
      <c r="M4" s="3">
        <v>10000</v>
      </c>
      <c r="N4" s="3">
        <v>10000</v>
      </c>
      <c r="O4" s="3">
        <v>10000</v>
      </c>
      <c r="P4" s="3">
        <v>10000</v>
      </c>
      <c r="Q4" s="3">
        <v>10000</v>
      </c>
      <c r="R4" s="4">
        <f>SUM(L4:Q4)</f>
        <v>100000</v>
      </c>
      <c r="T4" s="3" t="s">
        <v>27</v>
      </c>
      <c r="U4" s="3">
        <v>0</v>
      </c>
      <c r="V4" s="3">
        <v>4500</v>
      </c>
      <c r="W4" s="3">
        <v>4500</v>
      </c>
      <c r="X4" s="3">
        <v>4500</v>
      </c>
      <c r="Y4" s="3">
        <v>4500</v>
      </c>
      <c r="Z4" s="3">
        <v>4500</v>
      </c>
      <c r="AA4" s="4">
        <f>SUM(U4:Z4)</f>
        <v>22500</v>
      </c>
      <c r="AB4" t="s">
        <v>92</v>
      </c>
      <c r="AE4" s="3" t="s">
        <v>104</v>
      </c>
      <c r="AF4" s="16">
        <v>0</v>
      </c>
      <c r="AG4" s="16">
        <v>22500</v>
      </c>
      <c r="AH4" s="3">
        <v>22500</v>
      </c>
      <c r="AI4" s="40">
        <v>22500</v>
      </c>
      <c r="AJ4" s="3">
        <v>0</v>
      </c>
      <c r="AK4" s="16">
        <v>0</v>
      </c>
      <c r="AL4" s="16">
        <v>4500</v>
      </c>
      <c r="AM4" s="3">
        <v>4500</v>
      </c>
      <c r="AN4" s="40">
        <v>4500</v>
      </c>
      <c r="AO4" s="39">
        <v>0</v>
      </c>
      <c r="AP4" s="22"/>
      <c r="AQ4" s="198"/>
      <c r="AS4" s="26" t="s">
        <v>101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48">
        <v>0</v>
      </c>
      <c r="BB4" s="52">
        <v>4000</v>
      </c>
      <c r="BC4" s="3">
        <v>4750</v>
      </c>
      <c r="BD4" s="3">
        <v>5500</v>
      </c>
      <c r="BE4" s="44">
        <v>5000</v>
      </c>
      <c r="BF4" s="3">
        <v>4500</v>
      </c>
      <c r="BG4" s="16">
        <v>3750</v>
      </c>
      <c r="BH4" s="3">
        <v>4750</v>
      </c>
      <c r="BI4" s="3">
        <v>4250</v>
      </c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2:72" ht="45" x14ac:dyDescent="0.25">
      <c r="B5" s="3" t="s">
        <v>87</v>
      </c>
      <c r="C5" s="45" t="s">
        <v>106</v>
      </c>
      <c r="I5" s="191"/>
      <c r="K5" s="3" t="s">
        <v>69</v>
      </c>
      <c r="L5" s="3">
        <f t="shared" ref="L5:Q5" si="0">INT(L6/70)+1</f>
        <v>60</v>
      </c>
      <c r="M5" s="3">
        <f t="shared" si="0"/>
        <v>12</v>
      </c>
      <c r="N5" s="3">
        <f t="shared" si="0"/>
        <v>12</v>
      </c>
      <c r="O5" s="3">
        <f t="shared" si="0"/>
        <v>12</v>
      </c>
      <c r="P5" s="3">
        <f t="shared" si="0"/>
        <v>12</v>
      </c>
      <c r="Q5" s="3">
        <f t="shared" si="0"/>
        <v>12</v>
      </c>
      <c r="R5" s="4">
        <f>SUM(L5:Q5)</f>
        <v>120</v>
      </c>
      <c r="T5" s="3" t="s">
        <v>69</v>
      </c>
      <c r="U5" s="3">
        <f>INT(U6/70)</f>
        <v>0</v>
      </c>
      <c r="V5" s="3">
        <f>INT(V6/70)+1</f>
        <v>6</v>
      </c>
      <c r="W5" s="3">
        <f>INT(W6/70)+1</f>
        <v>6</v>
      </c>
      <c r="X5" s="3">
        <f>INT(X6/70)+1</f>
        <v>6</v>
      </c>
      <c r="Y5" s="3">
        <f>INT(Y6/70)+1</f>
        <v>6</v>
      </c>
      <c r="Z5" s="3">
        <f>INT(Z6/70)+1</f>
        <v>6</v>
      </c>
      <c r="AA5" s="4">
        <f>SUM(U5:Z5)</f>
        <v>30</v>
      </c>
      <c r="AE5" s="3" t="s">
        <v>100</v>
      </c>
      <c r="AF5" s="16">
        <v>0</v>
      </c>
      <c r="AG5" s="16">
        <v>22500</v>
      </c>
      <c r="AH5" s="3">
        <v>22500</v>
      </c>
      <c r="AI5" s="40">
        <v>22500</v>
      </c>
      <c r="AJ5" s="3">
        <f>AK5</f>
        <v>0</v>
      </c>
      <c r="AK5" s="16">
        <f>IF(AN6*2-AL5-AM5+AO5&lt;0,0,AN6*2-AL5-AM5+AO5)</f>
        <v>0</v>
      </c>
      <c r="AL5" s="16">
        <f t="shared" ref="AL5:AL13" si="1">(AK4+AM4+AL4-AO4)/2</f>
        <v>4500</v>
      </c>
      <c r="AM5" s="3">
        <f t="shared" ref="AM5:AM13" si="2">(AK4+AM4+AL4-AO4)/2</f>
        <v>4500</v>
      </c>
      <c r="AN5" s="40">
        <v>4500</v>
      </c>
      <c r="AO5" s="39">
        <f>AT4</f>
        <v>0</v>
      </c>
      <c r="AP5" s="22"/>
      <c r="AQ5" s="198"/>
      <c r="AS5" s="3" t="s">
        <v>114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f>AY5+AZ6-AZ4</f>
        <v>9000</v>
      </c>
      <c r="BA5" s="48">
        <f>AZ5+BA6-BA4</f>
        <v>9000</v>
      </c>
      <c r="BB5" s="50">
        <f>BA5+BB6-BB4</f>
        <v>5000</v>
      </c>
      <c r="BC5" s="3">
        <f t="shared" ref="BC5:BH5" si="3">BB5+BC6-BC4</f>
        <v>4002</v>
      </c>
      <c r="BD5" s="3">
        <f t="shared" si="3"/>
        <v>3314</v>
      </c>
      <c r="BE5" s="3">
        <f t="shared" si="3"/>
        <v>4330</v>
      </c>
      <c r="BF5" s="3">
        <f t="shared" si="3"/>
        <v>5126</v>
      </c>
      <c r="BG5" s="3">
        <f t="shared" si="3"/>
        <v>6126</v>
      </c>
      <c r="BH5" s="3">
        <f t="shared" si="3"/>
        <v>4624</v>
      </c>
      <c r="BI5" s="3">
        <f>BH5+BI6-BI4</f>
        <v>4750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</row>
    <row r="6" spans="2:72" ht="45" x14ac:dyDescent="0.25">
      <c r="B6" s="3"/>
      <c r="C6" s="3"/>
      <c r="I6" s="191"/>
      <c r="K6" s="3" t="s">
        <v>71</v>
      </c>
      <c r="L6" s="3">
        <f t="shared" ref="L6:Q6" si="4">L4/12</f>
        <v>4166.666666666667</v>
      </c>
      <c r="M6" s="3">
        <f t="shared" si="4"/>
        <v>833.33333333333337</v>
      </c>
      <c r="N6" s="3">
        <f t="shared" si="4"/>
        <v>833.33333333333337</v>
      </c>
      <c r="O6" s="3">
        <f t="shared" si="4"/>
        <v>833.33333333333337</v>
      </c>
      <c r="P6" s="3">
        <f t="shared" si="4"/>
        <v>833.33333333333337</v>
      </c>
      <c r="Q6" s="3">
        <f t="shared" si="4"/>
        <v>833.33333333333337</v>
      </c>
      <c r="R6" s="4">
        <f>SUM(L6:Q6)</f>
        <v>8333.3333333333321</v>
      </c>
      <c r="T6" s="3" t="s">
        <v>71</v>
      </c>
      <c r="U6" s="3">
        <f t="shared" ref="U6:Z6" si="5">U4/12</f>
        <v>0</v>
      </c>
      <c r="V6" s="3">
        <f t="shared" si="5"/>
        <v>375</v>
      </c>
      <c r="W6" s="3">
        <f t="shared" si="5"/>
        <v>375</v>
      </c>
      <c r="X6" s="3">
        <f t="shared" si="5"/>
        <v>375</v>
      </c>
      <c r="Y6" s="3">
        <f t="shared" si="5"/>
        <v>375</v>
      </c>
      <c r="Z6" s="3">
        <f t="shared" si="5"/>
        <v>375</v>
      </c>
      <c r="AA6" s="4">
        <f>SUM(U6:Z6)</f>
        <v>1875</v>
      </c>
      <c r="AE6" s="3" t="s">
        <v>105</v>
      </c>
      <c r="AF6" s="16">
        <f>IF(AI7*2-AG6-AH6+AJ6&lt;0,0,AI7*2-AG6-AH6+AJ6)</f>
        <v>11264</v>
      </c>
      <c r="AG6" s="16">
        <v>22500</v>
      </c>
      <c r="AH6" s="3">
        <v>22500</v>
      </c>
      <c r="AI6" s="40">
        <v>22500</v>
      </c>
      <c r="AJ6" s="3">
        <f>AK6*4</f>
        <v>15008</v>
      </c>
      <c r="AK6" s="16">
        <f>IF(AN7*2-AL6-AM6+AO6&lt;0,0,AN7*2-AL6-AM6+AO6)</f>
        <v>3752</v>
      </c>
      <c r="AL6" s="16">
        <f>(AK5+AM5+AL5-AO5)/2</f>
        <v>4500</v>
      </c>
      <c r="AM6" s="3">
        <f t="shared" si="2"/>
        <v>4500</v>
      </c>
      <c r="AN6" s="40">
        <v>4500</v>
      </c>
      <c r="AO6" s="39">
        <f>BB4</f>
        <v>4000</v>
      </c>
      <c r="AP6" s="22"/>
      <c r="AQ6" s="198"/>
      <c r="AS6" s="3" t="s">
        <v>102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9000</v>
      </c>
      <c r="BA6" s="48">
        <v>0</v>
      </c>
      <c r="BB6" s="50">
        <v>0</v>
      </c>
      <c r="BC6" s="3">
        <f>BB7</f>
        <v>3752</v>
      </c>
      <c r="BD6" s="3">
        <f>BC7</f>
        <v>4812</v>
      </c>
      <c r="BE6" s="3">
        <f t="shared" ref="BE6:BI6" si="6">BD7</f>
        <v>6016</v>
      </c>
      <c r="BF6" s="3">
        <f t="shared" si="6"/>
        <v>5296</v>
      </c>
      <c r="BG6" s="3">
        <f t="shared" si="6"/>
        <v>4750</v>
      </c>
      <c r="BH6" s="3">
        <f t="shared" si="6"/>
        <v>3248</v>
      </c>
      <c r="BI6" s="3">
        <f t="shared" si="6"/>
        <v>4376</v>
      </c>
      <c r="BJ6" s="3">
        <f>BI5+BJ7-BJ5</f>
        <v>4750</v>
      </c>
      <c r="BK6" s="3">
        <f t="shared" ref="BJ6:BS6" si="7">BJ6+BK7-BK5</f>
        <v>4750</v>
      </c>
      <c r="BL6" s="3">
        <f t="shared" si="7"/>
        <v>4750</v>
      </c>
      <c r="BM6" s="3">
        <f t="shared" si="7"/>
        <v>4750</v>
      </c>
      <c r="BN6" s="3">
        <f t="shared" si="7"/>
        <v>4750</v>
      </c>
      <c r="BO6" s="3">
        <f t="shared" si="7"/>
        <v>4750</v>
      </c>
      <c r="BP6" s="3">
        <f t="shared" si="7"/>
        <v>4750</v>
      </c>
      <c r="BQ6" s="3">
        <f t="shared" si="7"/>
        <v>4750</v>
      </c>
      <c r="BR6" s="3">
        <f t="shared" si="7"/>
        <v>4750</v>
      </c>
      <c r="BS6" s="3">
        <f t="shared" si="7"/>
        <v>4750</v>
      </c>
      <c r="BT6" s="12"/>
    </row>
    <row r="7" spans="2:72" ht="75" x14ac:dyDescent="0.25">
      <c r="B7" s="3"/>
      <c r="C7" s="3"/>
      <c r="I7" s="191"/>
      <c r="K7" s="3" t="s">
        <v>78</v>
      </c>
      <c r="L7" s="3">
        <f>INT(L6/100)+1</f>
        <v>42</v>
      </c>
      <c r="M7" s="3">
        <f t="shared" ref="M7:R7" si="8">INT(M6/100)+1</f>
        <v>9</v>
      </c>
      <c r="N7" s="3">
        <f t="shared" si="8"/>
        <v>9</v>
      </c>
      <c r="O7" s="3">
        <f t="shared" si="8"/>
        <v>9</v>
      </c>
      <c r="P7" s="3">
        <f t="shared" si="8"/>
        <v>9</v>
      </c>
      <c r="Q7" s="3">
        <f t="shared" si="8"/>
        <v>9</v>
      </c>
      <c r="R7" s="3">
        <f t="shared" si="8"/>
        <v>84</v>
      </c>
      <c r="T7" s="3" t="s">
        <v>79</v>
      </c>
      <c r="U7" s="3">
        <f>INT(U6/100)</f>
        <v>0</v>
      </c>
      <c r="V7" s="3">
        <f t="shared" ref="V7:AA7" si="9">INT(V6/100)+1</f>
        <v>4</v>
      </c>
      <c r="W7" s="3">
        <f t="shared" si="9"/>
        <v>4</v>
      </c>
      <c r="X7" s="3">
        <f t="shared" si="9"/>
        <v>4</v>
      </c>
      <c r="Y7" s="3">
        <f t="shared" si="9"/>
        <v>4</v>
      </c>
      <c r="Z7" s="3">
        <f t="shared" si="9"/>
        <v>4</v>
      </c>
      <c r="AA7" s="27">
        <f t="shared" si="9"/>
        <v>19</v>
      </c>
      <c r="AE7" s="3" t="s">
        <v>107</v>
      </c>
      <c r="AF7" s="16">
        <f>IF(AI8*2-AG7-AH7+AJ7&lt;0,0,AI8*2-AG7-AH7+AJ7)</f>
        <v>16684</v>
      </c>
      <c r="AG7" s="16">
        <f>(AF6+AH6+AG6-AJ6)/2</f>
        <v>20628</v>
      </c>
      <c r="AH7" s="3">
        <f>(AF6+AH6+AG6-AJ6)/2</f>
        <v>20628</v>
      </c>
      <c r="AI7" s="40">
        <f>INT((AI6+AI5+AI4+AJ6)/4)+1</f>
        <v>20628</v>
      </c>
      <c r="AJ7" s="3">
        <f t="shared" ref="AJ7:AJ20" si="10">AK7*4</f>
        <v>19248</v>
      </c>
      <c r="AK7" s="16">
        <f t="shared" ref="AK7:AK12" si="11">IF(AN8*2-AL7-AM7+AO7&lt;0,0,AN8*2-AL7-AM7+AO7)</f>
        <v>4812</v>
      </c>
      <c r="AL7" s="16">
        <f>(AK6+AM6+AL6-AO6)/2</f>
        <v>4376</v>
      </c>
      <c r="AM7" s="3">
        <f>(AK6+AM6+AL6-AO6)/2</f>
        <v>4376</v>
      </c>
      <c r="AN7" s="40">
        <f>INT((AN6+AN5+AN4+AO6)/4)+1</f>
        <v>4376</v>
      </c>
      <c r="AO7" s="39">
        <f>BC4</f>
        <v>4750</v>
      </c>
      <c r="AP7" s="22"/>
      <c r="AQ7" s="198"/>
      <c r="AS7" s="3" t="s">
        <v>103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f>AZ6</f>
        <v>9000</v>
      </c>
      <c r="AZ7" s="3">
        <v>0</v>
      </c>
      <c r="BA7" s="48">
        <v>0</v>
      </c>
      <c r="BB7" s="50">
        <f>AK6</f>
        <v>3752</v>
      </c>
      <c r="BC7" s="3">
        <f>AK7</f>
        <v>4812</v>
      </c>
      <c r="BD7" s="3">
        <f>AK8</f>
        <v>6016</v>
      </c>
      <c r="BE7" s="3">
        <f>AK9</f>
        <v>5296</v>
      </c>
      <c r="BF7" s="3">
        <f>AK10</f>
        <v>4750</v>
      </c>
      <c r="BG7" s="3">
        <f>AK11</f>
        <v>3248</v>
      </c>
      <c r="BH7" s="3">
        <f>AK12</f>
        <v>4376</v>
      </c>
      <c r="BI7" s="3"/>
      <c r="BJ7" s="3">
        <f>BI7</f>
        <v>0</v>
      </c>
      <c r="BK7" s="3">
        <f t="shared" ref="BK7" si="12">BJ8</f>
        <v>0</v>
      </c>
      <c r="BL7" s="3">
        <f t="shared" ref="BL7" si="13">BK8</f>
        <v>0</v>
      </c>
      <c r="BM7" s="3">
        <f t="shared" ref="BM7" si="14">BL8</f>
        <v>0</v>
      </c>
      <c r="BN7" s="3">
        <f t="shared" ref="BN7" si="15">BM8</f>
        <v>0</v>
      </c>
      <c r="BO7" s="3">
        <f t="shared" ref="BO7" si="16">BN8</f>
        <v>0</v>
      </c>
      <c r="BP7" s="3">
        <f t="shared" ref="BP7" si="17">BO8</f>
        <v>0</v>
      </c>
      <c r="BQ7" s="3">
        <f t="shared" ref="BQ7" si="18">BP8</f>
        <v>0</v>
      </c>
      <c r="BR7" s="3">
        <f t="shared" ref="BR7" si="19">BQ8</f>
        <v>0</v>
      </c>
      <c r="BS7" s="3">
        <f t="shared" ref="BS7" si="20">BR8</f>
        <v>0</v>
      </c>
      <c r="BT7" s="12"/>
    </row>
    <row r="8" spans="2:72" ht="15.75" thickBot="1" x14ac:dyDescent="0.3">
      <c r="B8" s="2"/>
      <c r="C8" s="2"/>
      <c r="I8" s="191"/>
      <c r="K8" s="13"/>
      <c r="L8" s="13"/>
      <c r="M8" s="13"/>
      <c r="N8" s="13"/>
      <c r="O8" s="13"/>
      <c r="P8" s="13"/>
      <c r="Q8" s="13"/>
      <c r="R8" s="13"/>
      <c r="U8" s="13"/>
      <c r="V8" s="13"/>
      <c r="W8" s="13"/>
      <c r="X8" s="13"/>
      <c r="Y8" s="13"/>
      <c r="Z8" s="13"/>
      <c r="AA8" s="13"/>
      <c r="AE8" s="3" t="s">
        <v>108</v>
      </c>
      <c r="AF8" s="16">
        <f t="shared" ref="AF8" si="21">IF(AI9*2-AG8-AH8+AJ8&lt;0,0,AI9*2-AG8-AH8+AJ8)</f>
        <v>24204</v>
      </c>
      <c r="AG8" s="16">
        <f t="shared" ref="AG8:AG13" si="22">(AF7+AH7+AG7-AJ7)/2</f>
        <v>19346</v>
      </c>
      <c r="AH8" s="3">
        <f>(AF7+AH7+AG7-AJ7)/2</f>
        <v>19346</v>
      </c>
      <c r="AI8" s="40">
        <f>INT((AJ6+AJ7+AI6+AI7)/4)</f>
        <v>19346</v>
      </c>
      <c r="AJ8" s="3">
        <f t="shared" si="10"/>
        <v>24064</v>
      </c>
      <c r="AK8" s="16">
        <f t="shared" si="11"/>
        <v>6016</v>
      </c>
      <c r="AL8" s="16">
        <f t="shared" si="1"/>
        <v>4407</v>
      </c>
      <c r="AM8" s="3">
        <f t="shared" si="2"/>
        <v>4407</v>
      </c>
      <c r="AN8" s="40">
        <f>INT((AN7+AN6+AO6+AO7)/4)+1</f>
        <v>4407</v>
      </c>
      <c r="AO8" s="39">
        <f>BD4</f>
        <v>5500</v>
      </c>
      <c r="AP8" s="22"/>
      <c r="AQ8" s="198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</row>
    <row r="9" spans="2:72" s="53" customFormat="1" ht="35.25" customHeight="1" x14ac:dyDescent="0.25">
      <c r="B9" s="2"/>
      <c r="C9" s="2"/>
      <c r="I9" s="191"/>
      <c r="K9" s="34" t="s">
        <v>41</v>
      </c>
      <c r="L9" s="186" t="s">
        <v>75</v>
      </c>
      <c r="M9" s="186"/>
      <c r="N9" s="186"/>
      <c r="O9" s="186"/>
      <c r="P9" s="187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C9" s="251"/>
      <c r="AE9" s="3" t="s">
        <v>109</v>
      </c>
      <c r="AF9" s="16">
        <f>IF(AI10*2-AG9-AH9+AJ9&lt;0,0,AI10*2-AG9-AH9+AJ9)</f>
        <v>22104</v>
      </c>
      <c r="AG9" s="16">
        <f t="shared" si="22"/>
        <v>19416</v>
      </c>
      <c r="AH9" s="3">
        <f t="shared" ref="AH9:AH13" si="23">(AF8+AH8+AG8-AJ8)/2</f>
        <v>19416</v>
      </c>
      <c r="AI9" s="40">
        <f>INT((AJ7+AJ8+AJ6+AI8)/4)</f>
        <v>19416</v>
      </c>
      <c r="AJ9" s="3">
        <f t="shared" si="10"/>
        <v>21184</v>
      </c>
      <c r="AK9" s="16">
        <f t="shared" si="11"/>
        <v>5296</v>
      </c>
      <c r="AL9" s="16">
        <f t="shared" si="1"/>
        <v>4665</v>
      </c>
      <c r="AM9" s="3">
        <f t="shared" si="2"/>
        <v>4665</v>
      </c>
      <c r="AN9" s="40">
        <f>INT((AN8+AO7+AO6+AO8)/4)+1</f>
        <v>4665</v>
      </c>
      <c r="AO9" s="39">
        <f>BE4</f>
        <v>5000</v>
      </c>
      <c r="AP9" s="22"/>
      <c r="AQ9" s="198"/>
      <c r="AS9"/>
      <c r="AT9"/>
      <c r="AU9"/>
      <c r="AV9"/>
      <c r="AW9"/>
      <c r="AX9"/>
      <c r="AY9"/>
      <c r="AZ9"/>
      <c r="BA9"/>
      <c r="BB9" s="51"/>
      <c r="BC9" s="11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2:72" ht="26.25" customHeight="1" thickBot="1" x14ac:dyDescent="0.3">
      <c r="B10" s="2"/>
      <c r="C10" s="2"/>
      <c r="I10" s="191"/>
      <c r="K10" s="35" t="s">
        <v>41</v>
      </c>
      <c r="L10" s="183" t="s">
        <v>76</v>
      </c>
      <c r="M10" s="183"/>
      <c r="N10" s="183"/>
      <c r="O10" s="183"/>
      <c r="P10" s="184"/>
      <c r="Q10" s="260"/>
      <c r="R10" s="260"/>
      <c r="S10" s="252"/>
      <c r="T10" s="260"/>
      <c r="U10" s="260"/>
      <c r="V10" s="260"/>
      <c r="W10" s="260"/>
      <c r="X10" s="260"/>
      <c r="Y10" s="260"/>
      <c r="Z10" s="260"/>
      <c r="AA10" s="260"/>
      <c r="AE10" s="3" t="s">
        <v>110</v>
      </c>
      <c r="AF10" s="16">
        <f t="shared" ref="AF10" si="24">IF(AI11*2-AG10-AH10+AJ10&lt;0,0,AI11*2-AG10-AH10+AJ10)</f>
        <v>20996</v>
      </c>
      <c r="AG10" s="16">
        <f t="shared" si="22"/>
        <v>19876</v>
      </c>
      <c r="AH10" s="3">
        <f t="shared" si="23"/>
        <v>19876</v>
      </c>
      <c r="AI10" s="40">
        <f t="shared" ref="AI10:AI11" si="25">INT((AJ8+AJ9+AJ7+AJ6)/4)</f>
        <v>19876</v>
      </c>
      <c r="AJ10" s="3">
        <f t="shared" si="10"/>
        <v>19000</v>
      </c>
      <c r="AK10" s="16">
        <f t="shared" si="11"/>
        <v>4750</v>
      </c>
      <c r="AL10" s="16">
        <f t="shared" si="1"/>
        <v>4813</v>
      </c>
      <c r="AM10" s="3">
        <f t="shared" si="2"/>
        <v>4813</v>
      </c>
      <c r="AN10" s="40">
        <f>INT((AO8+AO9+AO7+AO6)/4)+1</f>
        <v>4813</v>
      </c>
      <c r="AO10" s="39">
        <f>BF4</f>
        <v>4500</v>
      </c>
      <c r="AP10" s="22"/>
      <c r="AQ10" s="198"/>
      <c r="AS10" s="53"/>
      <c r="AT10" s="53"/>
      <c r="AU10" s="53"/>
      <c r="AV10" s="53"/>
      <c r="AW10" s="53"/>
      <c r="AX10" s="258"/>
      <c r="AY10" s="258"/>
      <c r="AZ10" s="258"/>
      <c r="BA10" s="258"/>
      <c r="BB10" s="53"/>
      <c r="BC10" s="259"/>
      <c r="BD10" s="259"/>
      <c r="BE10" s="259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</row>
    <row r="11" spans="2:72" ht="30.75" thickBot="1" x14ac:dyDescent="0.3">
      <c r="B11" s="2"/>
      <c r="C11" s="2"/>
      <c r="I11" s="191"/>
      <c r="K11" s="35" t="s">
        <v>41</v>
      </c>
      <c r="L11" s="183" t="s">
        <v>77</v>
      </c>
      <c r="M11" s="183"/>
      <c r="N11" s="183"/>
      <c r="O11" s="183"/>
      <c r="P11" s="184"/>
      <c r="Q11" s="91"/>
      <c r="R11" s="91"/>
      <c r="S11" s="252"/>
      <c r="T11" s="91"/>
      <c r="U11" s="91"/>
      <c r="V11" s="91"/>
      <c r="W11" s="91"/>
      <c r="X11" s="91"/>
      <c r="Y11" s="91"/>
      <c r="Z11" s="91"/>
      <c r="AA11" s="91"/>
      <c r="AE11" s="3" t="s">
        <v>111</v>
      </c>
      <c r="AF11" s="16">
        <f>IF(AI12*2-AG11-AH11+AJ11&lt;0,0,AI12*2-AG11-AH11+AJ11)</f>
        <v>9864</v>
      </c>
      <c r="AG11" s="16">
        <f t="shared" si="22"/>
        <v>20874</v>
      </c>
      <c r="AH11" s="3">
        <f t="shared" si="23"/>
        <v>20874</v>
      </c>
      <c r="AI11" s="40">
        <f t="shared" si="25"/>
        <v>20874</v>
      </c>
      <c r="AJ11" s="3">
        <f t="shared" si="10"/>
        <v>12992</v>
      </c>
      <c r="AK11" s="16">
        <f t="shared" si="11"/>
        <v>3248</v>
      </c>
      <c r="AL11" s="16">
        <f t="shared" si="1"/>
        <v>4938</v>
      </c>
      <c r="AM11" s="3">
        <f t="shared" si="2"/>
        <v>4938</v>
      </c>
      <c r="AN11" s="40">
        <f>INT((AO9+AO10+AO8+AO7)/4)+1</f>
        <v>4938</v>
      </c>
      <c r="AO11" s="39">
        <f>BG4</f>
        <v>3750</v>
      </c>
      <c r="AP11" s="22"/>
      <c r="AQ11" s="198"/>
      <c r="AS11" s="47" t="s">
        <v>122</v>
      </c>
      <c r="AT11" s="42" t="s">
        <v>93</v>
      </c>
      <c r="AU11" s="42" t="s">
        <v>90</v>
      </c>
      <c r="AV11" s="42" t="s">
        <v>94</v>
      </c>
      <c r="AW11" s="42" t="s">
        <v>95</v>
      </c>
      <c r="AX11" s="42" t="s">
        <v>96</v>
      </c>
      <c r="AY11" s="42" t="s">
        <v>97</v>
      </c>
      <c r="AZ11" s="42" t="s">
        <v>98</v>
      </c>
      <c r="BA11" s="43" t="s">
        <v>99</v>
      </c>
      <c r="BB11" s="52" t="s">
        <v>100</v>
      </c>
      <c r="BC11" s="3" t="s">
        <v>105</v>
      </c>
      <c r="BD11" s="42" t="s">
        <v>107</v>
      </c>
      <c r="BE11" s="42" t="s">
        <v>108</v>
      </c>
      <c r="BF11" s="42" t="s">
        <v>109</v>
      </c>
      <c r="BG11" s="42" t="s">
        <v>110</v>
      </c>
      <c r="BH11" s="42" t="s">
        <v>111</v>
      </c>
      <c r="BI11" s="42" t="s">
        <v>112</v>
      </c>
      <c r="BJ11" s="42" t="s">
        <v>113</v>
      </c>
      <c r="BK11" s="42" t="s">
        <v>390</v>
      </c>
      <c r="BL11" s="42" t="s">
        <v>391</v>
      </c>
      <c r="BM11" s="42" t="s">
        <v>392</v>
      </c>
      <c r="BN11" s="42" t="s">
        <v>393</v>
      </c>
      <c r="BO11" s="42" t="s">
        <v>394</v>
      </c>
      <c r="BP11" s="42" t="s">
        <v>395</v>
      </c>
      <c r="BQ11" s="42" t="s">
        <v>396</v>
      </c>
      <c r="BR11" s="42" t="s">
        <v>397</v>
      </c>
      <c r="BS11" s="42" t="s">
        <v>398</v>
      </c>
      <c r="BT11" s="42" t="s">
        <v>399</v>
      </c>
    </row>
    <row r="12" spans="2:72" ht="15.75" thickBot="1" x14ac:dyDescent="0.3">
      <c r="I12" s="191"/>
      <c r="K12" s="37" t="s">
        <v>41</v>
      </c>
      <c r="L12" s="181" t="s">
        <v>84</v>
      </c>
      <c r="M12" s="181"/>
      <c r="N12" s="181"/>
      <c r="O12" s="181"/>
      <c r="P12" s="182"/>
      <c r="Q12" s="91"/>
      <c r="R12" s="91"/>
      <c r="S12" s="252"/>
      <c r="T12" s="91"/>
      <c r="U12" s="91"/>
      <c r="V12" s="91"/>
      <c r="W12" s="91"/>
      <c r="X12" s="91"/>
      <c r="Y12" s="91"/>
      <c r="Z12" s="91"/>
      <c r="AA12" s="91"/>
      <c r="AE12" s="3" t="s">
        <v>112</v>
      </c>
      <c r="AF12" s="16">
        <f>IF(AI13*2-AG12-AH12+AJ12&lt;0,0,AI13*2-AG12-AH12+AJ12)</f>
        <v>14224</v>
      </c>
      <c r="AG12" s="16">
        <f t="shared" si="22"/>
        <v>19310</v>
      </c>
      <c r="AH12" s="3">
        <f t="shared" si="23"/>
        <v>19310</v>
      </c>
      <c r="AI12" s="40">
        <f>INT((AJ10+AJ11+AJ9+AJ8)/4)</f>
        <v>19310</v>
      </c>
      <c r="AJ12" s="3">
        <f t="shared" si="10"/>
        <v>17504</v>
      </c>
      <c r="AK12" s="16">
        <f t="shared" si="11"/>
        <v>4376</v>
      </c>
      <c r="AL12" s="16">
        <f t="shared" si="1"/>
        <v>4687</v>
      </c>
      <c r="AM12" s="3">
        <f t="shared" si="2"/>
        <v>4687</v>
      </c>
      <c r="AN12" s="40">
        <f>INT((AO10+AO11+AO9+AO8)/4)</f>
        <v>4687</v>
      </c>
      <c r="AO12" s="39">
        <f>BH4</f>
        <v>4750</v>
      </c>
      <c r="AP12" s="22"/>
      <c r="AQ12" s="198"/>
      <c r="AS12" s="55" t="s">
        <v>101</v>
      </c>
      <c r="AT12" s="3">
        <f>AT7*5</f>
        <v>0</v>
      </c>
      <c r="AU12" s="3">
        <f>AU7*5</f>
        <v>0</v>
      </c>
      <c r="AV12" s="3">
        <f>AV7*5</f>
        <v>0</v>
      </c>
      <c r="AW12" s="3">
        <f>AW7*5</f>
        <v>0</v>
      </c>
      <c r="AX12" s="3">
        <f>AX7*5</f>
        <v>0</v>
      </c>
      <c r="AY12" s="3">
        <f>AY7*5</f>
        <v>45000</v>
      </c>
      <c r="AZ12" s="3">
        <f>AZ7*5</f>
        <v>0</v>
      </c>
      <c r="BA12" s="49">
        <f>BA7*5</f>
        <v>0</v>
      </c>
      <c r="BB12" s="52">
        <f>BB7*5</f>
        <v>18760</v>
      </c>
      <c r="BC12" s="3">
        <f>BC7*5</f>
        <v>24060</v>
      </c>
      <c r="BD12" s="3">
        <f>BD7*5</f>
        <v>30080</v>
      </c>
      <c r="BE12" s="3">
        <f>BE7*5</f>
        <v>26480</v>
      </c>
      <c r="BF12" s="3">
        <f>BF7*5</f>
        <v>23750</v>
      </c>
      <c r="BG12" s="3">
        <f>BG7*5</f>
        <v>16240</v>
      </c>
      <c r="BH12" s="3">
        <f>BH7*5</f>
        <v>21880</v>
      </c>
      <c r="BI12" s="3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</row>
    <row r="13" spans="2:72" ht="30" x14ac:dyDescent="0.25">
      <c r="I13" s="191"/>
      <c r="K13" s="91"/>
      <c r="L13" s="91"/>
      <c r="M13" s="91"/>
      <c r="N13" s="91"/>
      <c r="O13" s="91"/>
      <c r="P13" s="91"/>
      <c r="Q13" s="91"/>
      <c r="R13" s="91"/>
      <c r="S13" s="252"/>
      <c r="T13" s="91"/>
      <c r="U13" s="91"/>
      <c r="V13" s="91"/>
      <c r="W13" s="91"/>
      <c r="X13" s="91"/>
      <c r="Y13" s="91"/>
      <c r="Z13" s="91"/>
      <c r="AA13" s="91"/>
      <c r="AE13" s="3" t="s">
        <v>113</v>
      </c>
      <c r="AF13" s="16">
        <f>IF(AI14*2-AG13-AH13+AJ13&lt;0,0,AI14*2-AG13-AH13+AJ13)</f>
        <v>16024</v>
      </c>
      <c r="AG13" s="16">
        <f t="shared" ref="AG13:AG19" si="26">(AF12+AH12+AG12-AJ12)/2</f>
        <v>17670</v>
      </c>
      <c r="AH13" s="3">
        <f t="shared" ref="AH13:AH19" si="27">(AF12+AH12+AG12-AJ12)/2</f>
        <v>17670</v>
      </c>
      <c r="AI13" s="40">
        <f t="shared" ref="AI13:AI35" si="28">INT((AJ11+AJ12+AJ10+AJ9)/4)</f>
        <v>17670</v>
      </c>
      <c r="AJ13" s="3">
        <f t="shared" si="10"/>
        <v>17744</v>
      </c>
      <c r="AK13" s="16">
        <f t="shared" ref="AK13:AK19" si="29">IF(AN14*2-AL13-AM13+AO13&lt;0,0,AN14*2-AL13-AM13+AO13)</f>
        <v>4436</v>
      </c>
      <c r="AL13" s="16">
        <f t="shared" ref="AL13:AL19" si="30">(AK12+AM12+AL12-AO12)/2</f>
        <v>4500</v>
      </c>
      <c r="AM13" s="3">
        <f t="shared" ref="AM13:AM19" si="31">(AK12+AM12+AL12-AO12)/2</f>
        <v>4500</v>
      </c>
      <c r="AN13" s="40">
        <f t="shared" ref="AN13:AN35" si="32">INT((AO11+AO12+AO10+AO9)/4)</f>
        <v>4500</v>
      </c>
      <c r="AO13" s="39">
        <f>BH5</f>
        <v>4624</v>
      </c>
      <c r="AP13" s="22"/>
      <c r="AS13" s="3" t="s">
        <v>114</v>
      </c>
      <c r="AT13" s="3">
        <v>0</v>
      </c>
      <c r="AU13" s="3">
        <f t="shared" ref="AU13:BB13" si="33">AT13+AU14-AU12</f>
        <v>0</v>
      </c>
      <c r="AV13" s="3">
        <f t="shared" si="33"/>
        <v>0</v>
      </c>
      <c r="AW13" s="3">
        <f t="shared" si="33"/>
        <v>0</v>
      </c>
      <c r="AX13" s="3">
        <f t="shared" si="33"/>
        <v>36000</v>
      </c>
      <c r="AY13" s="3">
        <f t="shared" si="33"/>
        <v>9000</v>
      </c>
      <c r="AZ13" s="3">
        <f t="shared" si="33"/>
        <v>27000</v>
      </c>
      <c r="BA13" s="54">
        <f t="shared" si="33"/>
        <v>45000</v>
      </c>
      <c r="BB13" s="50">
        <f t="shared" si="33"/>
        <v>37504</v>
      </c>
      <c r="BC13" s="3">
        <f t="shared" ref="BC13:BH13" si="34">BB13+BC14-BC12</f>
        <v>30128</v>
      </c>
      <c r="BD13" s="3">
        <f t="shared" si="34"/>
        <v>24252</v>
      </c>
      <c r="BE13" s="3">
        <f t="shared" si="34"/>
        <v>19876</v>
      </c>
      <c r="BF13" s="3">
        <f t="shared" si="34"/>
        <v>17122</v>
      </c>
      <c r="BG13" s="3">
        <f t="shared" si="34"/>
        <v>10746</v>
      </c>
      <c r="BH13" s="3">
        <f t="shared" si="34"/>
        <v>3090</v>
      </c>
      <c r="BI13" s="3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</row>
    <row r="14" spans="2:72" ht="45" x14ac:dyDescent="0.25">
      <c r="I14" s="191"/>
      <c r="K14" s="91"/>
      <c r="L14" s="91"/>
      <c r="M14" s="91"/>
      <c r="N14" s="91"/>
      <c r="O14" s="91"/>
      <c r="P14" s="91"/>
      <c r="Q14" s="91"/>
      <c r="R14" s="91"/>
      <c r="S14" s="252"/>
      <c r="T14" s="91"/>
      <c r="U14" s="91"/>
      <c r="V14" s="91"/>
      <c r="W14" s="91"/>
      <c r="X14" s="91"/>
      <c r="Y14" s="91"/>
      <c r="Z14" s="91"/>
      <c r="AA14" s="91"/>
      <c r="AE14" s="3" t="s">
        <v>390</v>
      </c>
      <c r="AF14" s="16">
        <f t="shared" ref="AF13:AF18" si="35">IF(AI15*2-AG14-AH14+AJ14&lt;0,0,AI15*2-AG14-AH14+AJ14)</f>
        <v>6232</v>
      </c>
      <c r="AG14" s="16">
        <f t="shared" si="26"/>
        <v>16810</v>
      </c>
      <c r="AH14" s="3">
        <f t="shared" si="27"/>
        <v>16810</v>
      </c>
      <c r="AI14" s="40">
        <f t="shared" si="28"/>
        <v>16810</v>
      </c>
      <c r="AJ14" s="3">
        <f>AK14*4</f>
        <v>10488</v>
      </c>
      <c r="AK14" s="16">
        <f>IF(AN15*2-AL14-AM14+AO14&lt;0,0,AN15*2-AL14-AM14+AO14)</f>
        <v>2622</v>
      </c>
      <c r="AL14" s="16">
        <f t="shared" si="30"/>
        <v>4406</v>
      </c>
      <c r="AM14" s="3">
        <f t="shared" si="31"/>
        <v>4406</v>
      </c>
      <c r="AN14" s="40">
        <f t="shared" si="32"/>
        <v>4406</v>
      </c>
      <c r="AO14" s="39">
        <f>BH6</f>
        <v>3248</v>
      </c>
      <c r="AS14" s="3" t="s">
        <v>102</v>
      </c>
      <c r="AT14" s="3">
        <v>0</v>
      </c>
      <c r="AU14" s="3">
        <v>0</v>
      </c>
      <c r="AV14" s="3">
        <v>0</v>
      </c>
      <c r="AW14" s="3">
        <v>0</v>
      </c>
      <c r="AX14" s="3">
        <f>AT15</f>
        <v>36000</v>
      </c>
      <c r="AY14" s="3">
        <f>AU15</f>
        <v>18000</v>
      </c>
      <c r="AZ14" s="3">
        <f>AV15</f>
        <v>18000</v>
      </c>
      <c r="BA14" s="3">
        <f>AW15</f>
        <v>18000</v>
      </c>
      <c r="BB14" s="50">
        <f>AX15</f>
        <v>11264</v>
      </c>
      <c r="BC14" s="3">
        <f t="shared" ref="BC14:BG14" si="36">AY15</f>
        <v>16684</v>
      </c>
      <c r="BD14" s="3">
        <f t="shared" si="36"/>
        <v>24204</v>
      </c>
      <c r="BE14" s="3">
        <f t="shared" si="36"/>
        <v>22104</v>
      </c>
      <c r="BF14" s="3">
        <f t="shared" si="36"/>
        <v>20996</v>
      </c>
      <c r="BG14" s="3">
        <f t="shared" si="36"/>
        <v>9864</v>
      </c>
      <c r="BH14" s="3">
        <f>BD15</f>
        <v>14224</v>
      </c>
      <c r="BI14" s="3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</row>
    <row r="15" spans="2:72" ht="45" x14ac:dyDescent="0.25">
      <c r="I15" s="191"/>
      <c r="K15" s="91"/>
      <c r="L15" s="91"/>
      <c r="M15" s="91"/>
      <c r="N15" s="91"/>
      <c r="O15" s="91"/>
      <c r="P15" s="91"/>
      <c r="Q15" s="91"/>
      <c r="R15" s="91"/>
      <c r="S15" s="252"/>
      <c r="T15" s="91"/>
      <c r="U15" s="91"/>
      <c r="V15" s="91"/>
      <c r="W15" s="91"/>
      <c r="X15" s="91"/>
      <c r="Y15" s="91"/>
      <c r="Z15" s="91"/>
      <c r="AA15" s="91"/>
      <c r="AE15" s="3" t="s">
        <v>391</v>
      </c>
      <c r="AF15" s="16">
        <f t="shared" si="35"/>
        <v>21632</v>
      </c>
      <c r="AG15" s="16">
        <f t="shared" si="26"/>
        <v>14682</v>
      </c>
      <c r="AH15" s="3">
        <f t="shared" si="27"/>
        <v>14682</v>
      </c>
      <c r="AI15" s="40">
        <f t="shared" si="28"/>
        <v>14682</v>
      </c>
      <c r="AJ15" s="3">
        <f t="shared" si="10"/>
        <v>18752</v>
      </c>
      <c r="AK15" s="16">
        <f t="shared" si="29"/>
        <v>4688</v>
      </c>
      <c r="AL15" s="16">
        <f t="shared" si="30"/>
        <v>4093</v>
      </c>
      <c r="AM15" s="3">
        <f t="shared" si="31"/>
        <v>4093</v>
      </c>
      <c r="AN15" s="40">
        <f t="shared" si="32"/>
        <v>4093</v>
      </c>
      <c r="AO15" s="39">
        <f>BH7</f>
        <v>4376</v>
      </c>
      <c r="AS15" s="3" t="s">
        <v>103</v>
      </c>
      <c r="AT15" s="3">
        <v>36000</v>
      </c>
      <c r="AU15" s="3">
        <v>18000</v>
      </c>
      <c r="AV15" s="3">
        <v>18000</v>
      </c>
      <c r="AW15" s="3">
        <v>18000</v>
      </c>
      <c r="AX15" s="3">
        <f>AF6</f>
        <v>11264</v>
      </c>
      <c r="AY15" s="3">
        <f>AF7</f>
        <v>16684</v>
      </c>
      <c r="AZ15" s="3">
        <f>AF8</f>
        <v>24204</v>
      </c>
      <c r="BA15" s="48">
        <f>AF9</f>
        <v>22104</v>
      </c>
      <c r="BB15" s="50">
        <f>AF10</f>
        <v>20996</v>
      </c>
      <c r="BC15" s="3">
        <f>AF11</f>
        <v>9864</v>
      </c>
      <c r="BD15" s="3">
        <f>AF12</f>
        <v>14224</v>
      </c>
      <c r="BE15" s="3"/>
      <c r="BF15" s="3"/>
      <c r="BG15" s="3"/>
      <c r="BH15" s="3"/>
      <c r="BI15" s="3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 spans="2:72" x14ac:dyDescent="0.25">
      <c r="B16" s="13"/>
      <c r="C16" s="13"/>
      <c r="D16" s="13"/>
      <c r="E16" s="13"/>
      <c r="F16" s="13"/>
      <c r="G16" s="13"/>
      <c r="H16" s="13"/>
      <c r="I16" s="191"/>
      <c r="AE16" s="3" t="s">
        <v>392</v>
      </c>
      <c r="AF16" s="16">
        <f t="shared" si="35"/>
        <v>0</v>
      </c>
      <c r="AG16" s="16">
        <f t="shared" si="26"/>
        <v>16122</v>
      </c>
      <c r="AH16" s="3">
        <f t="shared" si="27"/>
        <v>16122</v>
      </c>
      <c r="AI16" s="40">
        <f t="shared" si="28"/>
        <v>16122</v>
      </c>
      <c r="AJ16" s="3">
        <f t="shared" si="10"/>
        <v>0</v>
      </c>
      <c r="AK16" s="16">
        <f t="shared" si="29"/>
        <v>0</v>
      </c>
      <c r="AL16" s="16">
        <f t="shared" si="30"/>
        <v>4249</v>
      </c>
      <c r="AM16" s="3">
        <f t="shared" si="31"/>
        <v>4249</v>
      </c>
      <c r="AN16" s="40">
        <f t="shared" si="32"/>
        <v>4249</v>
      </c>
      <c r="AO16" s="39">
        <f>BH9</f>
        <v>0</v>
      </c>
      <c r="BB16" s="11"/>
      <c r="BC16" s="11"/>
    </row>
    <row r="17" spans="9:55" x14ac:dyDescent="0.25">
      <c r="I17" s="191"/>
      <c r="AE17" s="3" t="s">
        <v>393</v>
      </c>
      <c r="AF17" s="16">
        <f t="shared" si="35"/>
        <v>0</v>
      </c>
      <c r="AG17" s="16">
        <f t="shared" si="26"/>
        <v>16122</v>
      </c>
      <c r="AH17" s="3">
        <f t="shared" si="27"/>
        <v>16122</v>
      </c>
      <c r="AI17" s="40">
        <f t="shared" si="28"/>
        <v>11746</v>
      </c>
      <c r="AJ17" s="3">
        <f t="shared" si="10"/>
        <v>0</v>
      </c>
      <c r="AK17" s="16">
        <f t="shared" si="29"/>
        <v>0</v>
      </c>
      <c r="AL17" s="16">
        <f t="shared" si="30"/>
        <v>4249</v>
      </c>
      <c r="AM17" s="3">
        <f t="shared" si="31"/>
        <v>4249</v>
      </c>
      <c r="AN17" s="40">
        <f t="shared" si="32"/>
        <v>3062</v>
      </c>
      <c r="AO17" s="39">
        <f>BH10</f>
        <v>0</v>
      </c>
      <c r="BC17" s="11"/>
    </row>
    <row r="18" spans="9:55" x14ac:dyDescent="0.25">
      <c r="I18" s="191"/>
      <c r="AE18" s="3" t="s">
        <v>394</v>
      </c>
      <c r="AF18" s="16" t="e">
        <f t="shared" si="35"/>
        <v>#VALUE!</v>
      </c>
      <c r="AG18" s="16">
        <f t="shared" si="26"/>
        <v>16122</v>
      </c>
      <c r="AH18" s="3">
        <f t="shared" si="27"/>
        <v>16122</v>
      </c>
      <c r="AI18" s="40">
        <f t="shared" si="28"/>
        <v>7310</v>
      </c>
      <c r="AJ18" s="3" t="e">
        <f t="shared" si="10"/>
        <v>#VALUE!</v>
      </c>
      <c r="AK18" s="16" t="e">
        <f t="shared" si="29"/>
        <v>#VALUE!</v>
      </c>
      <c r="AL18" s="16">
        <f t="shared" si="30"/>
        <v>4249</v>
      </c>
      <c r="AM18" s="3">
        <f t="shared" si="31"/>
        <v>4249</v>
      </c>
      <c r="AN18" s="40">
        <f t="shared" si="32"/>
        <v>1906</v>
      </c>
      <c r="AO18" s="39" t="str">
        <f>BH11</f>
        <v>SEMANA 14</v>
      </c>
      <c r="BC18" s="11"/>
    </row>
    <row r="19" spans="9:55" x14ac:dyDescent="0.25">
      <c r="I19" s="191"/>
      <c r="AE19" s="3" t="s">
        <v>395</v>
      </c>
      <c r="AF19" s="16" t="e">
        <f>IF(AI20*2-AG19-AH19+AJ19&lt;0,0,AI20*2-AG19-AH19+AJ19)</f>
        <v>#VALUE!</v>
      </c>
      <c r="AG19" s="16" t="e">
        <f t="shared" si="26"/>
        <v>#VALUE!</v>
      </c>
      <c r="AH19" s="3" t="e">
        <f t="shared" si="27"/>
        <v>#VALUE!</v>
      </c>
      <c r="AI19" s="40" t="e">
        <f>INT((AJ17+AJ18+AJ16+AJ15)/4)</f>
        <v>#VALUE!</v>
      </c>
      <c r="AJ19" s="3" t="e">
        <f t="shared" si="10"/>
        <v>#VALUE!</v>
      </c>
      <c r="AK19" s="16" t="e">
        <f t="shared" si="29"/>
        <v>#VALUE!</v>
      </c>
      <c r="AL19" s="16" t="e">
        <f t="shared" si="30"/>
        <v>#VALUE!</v>
      </c>
      <c r="AM19" s="3" t="e">
        <f t="shared" si="31"/>
        <v>#VALUE!</v>
      </c>
      <c r="AN19" s="40" t="e">
        <f>INT((AO17+AO18+AO16+AO15)/4)</f>
        <v>#VALUE!</v>
      </c>
      <c r="AO19" s="39">
        <f>BH12</f>
        <v>21880</v>
      </c>
      <c r="BC19" s="11"/>
    </row>
    <row r="20" spans="9:55" x14ac:dyDescent="0.25">
      <c r="I20" s="191"/>
      <c r="AE20" s="3" t="s">
        <v>396</v>
      </c>
      <c r="AF20" s="16" t="e">
        <f t="shared" ref="AF20:AF25" si="37">IF(AI21*2-AG20-AH20+AJ20&lt;0,0,AI21*2-AG20-AH20+AJ20)</f>
        <v>#VALUE!</v>
      </c>
      <c r="AG20" s="16" t="e">
        <f t="shared" ref="AG20:AG33" si="38">(AF19+AH19+AG19-AJ19)/2</f>
        <v>#VALUE!</v>
      </c>
      <c r="AH20" s="3" t="e">
        <f t="shared" ref="AH20:AH33" si="39">(AF19+AH19+AG19-AJ19)/2</f>
        <v>#VALUE!</v>
      </c>
      <c r="AI20" s="40" t="e">
        <f t="shared" si="28"/>
        <v>#VALUE!</v>
      </c>
      <c r="AJ20" s="3" t="e">
        <f t="shared" si="10"/>
        <v>#VALUE!</v>
      </c>
      <c r="AK20" s="16" t="e">
        <f t="shared" ref="AK20:AK33" si="40">IF(AN21*2-AL20-AM20+AO20&lt;0,0,AN21*2-AL20-AM20+AO20)</f>
        <v>#VALUE!</v>
      </c>
      <c r="AL20" s="16" t="e">
        <f t="shared" ref="AL20:AL33" si="41">(AK19+AM19+AL19-AO19)/2</f>
        <v>#VALUE!</v>
      </c>
      <c r="AM20" s="3" t="e">
        <f t="shared" ref="AM20:AM33" si="42">(AK19+AM19+AL19-AO19)/2</f>
        <v>#VALUE!</v>
      </c>
      <c r="AN20" s="40" t="e">
        <f t="shared" si="32"/>
        <v>#VALUE!</v>
      </c>
      <c r="AO20" s="39">
        <f>BH13</f>
        <v>3090</v>
      </c>
      <c r="BC20" s="11"/>
    </row>
    <row r="21" spans="9:55" x14ac:dyDescent="0.25">
      <c r="I21" s="191"/>
      <c r="AE21" s="3" t="s">
        <v>397</v>
      </c>
      <c r="AF21" s="16" t="e">
        <f t="shared" si="37"/>
        <v>#VALUE!</v>
      </c>
      <c r="AG21" s="16" t="e">
        <f t="shared" si="38"/>
        <v>#VALUE!</v>
      </c>
      <c r="AH21" s="3" t="e">
        <f t="shared" si="39"/>
        <v>#VALUE!</v>
      </c>
      <c r="AI21" s="40" t="e">
        <f t="shared" si="28"/>
        <v>#VALUE!</v>
      </c>
      <c r="AJ21" s="3" t="e">
        <f t="shared" ref="AJ20:AJ33" si="43">AK21*5</f>
        <v>#VALUE!</v>
      </c>
      <c r="AK21" s="16" t="e">
        <f t="shared" si="40"/>
        <v>#VALUE!</v>
      </c>
      <c r="AL21" s="16" t="e">
        <f t="shared" si="41"/>
        <v>#VALUE!</v>
      </c>
      <c r="AM21" s="3" t="e">
        <f t="shared" si="42"/>
        <v>#VALUE!</v>
      </c>
      <c r="AN21" s="40" t="e">
        <f t="shared" si="32"/>
        <v>#VALUE!</v>
      </c>
      <c r="AO21" s="39">
        <f>BH14</f>
        <v>14224</v>
      </c>
    </row>
    <row r="22" spans="9:55" x14ac:dyDescent="0.25">
      <c r="I22" s="191"/>
      <c r="AE22" s="3" t="s">
        <v>398</v>
      </c>
      <c r="AF22" s="16" t="e">
        <f t="shared" si="37"/>
        <v>#VALUE!</v>
      </c>
      <c r="AG22" s="16" t="e">
        <f t="shared" si="38"/>
        <v>#VALUE!</v>
      </c>
      <c r="AH22" s="3" t="e">
        <f t="shared" si="39"/>
        <v>#VALUE!</v>
      </c>
      <c r="AI22" s="40" t="e">
        <f t="shared" si="28"/>
        <v>#VALUE!</v>
      </c>
      <c r="AJ22" s="3" t="e">
        <f t="shared" si="43"/>
        <v>#VALUE!</v>
      </c>
      <c r="AK22" s="16" t="e">
        <f t="shared" si="40"/>
        <v>#VALUE!</v>
      </c>
      <c r="AL22" s="16" t="e">
        <f t="shared" si="41"/>
        <v>#VALUE!</v>
      </c>
      <c r="AM22" s="3" t="e">
        <f t="shared" si="42"/>
        <v>#VALUE!</v>
      </c>
      <c r="AN22" s="40" t="e">
        <f t="shared" si="32"/>
        <v>#VALUE!</v>
      </c>
      <c r="AO22" s="39">
        <f>BH15</f>
        <v>0</v>
      </c>
    </row>
    <row r="23" spans="9:55" x14ac:dyDescent="0.25">
      <c r="AE23" s="3" t="s">
        <v>399</v>
      </c>
      <c r="AF23" s="16" t="e">
        <f t="shared" si="37"/>
        <v>#VALUE!</v>
      </c>
      <c r="AG23" s="16" t="e">
        <f t="shared" si="38"/>
        <v>#VALUE!</v>
      </c>
      <c r="AH23" s="3" t="e">
        <f t="shared" si="39"/>
        <v>#VALUE!</v>
      </c>
      <c r="AI23" s="40" t="e">
        <f t="shared" si="28"/>
        <v>#VALUE!</v>
      </c>
      <c r="AJ23" s="3" t="e">
        <f t="shared" si="43"/>
        <v>#REF!</v>
      </c>
      <c r="AK23" s="16" t="e">
        <f t="shared" si="40"/>
        <v>#REF!</v>
      </c>
      <c r="AL23" s="16" t="e">
        <f t="shared" si="41"/>
        <v>#VALUE!</v>
      </c>
      <c r="AM23" s="3" t="e">
        <f t="shared" si="42"/>
        <v>#VALUE!</v>
      </c>
      <c r="AN23" s="40">
        <f t="shared" si="32"/>
        <v>9798</v>
      </c>
      <c r="AO23" s="39" t="e">
        <f>#REF!</f>
        <v>#REF!</v>
      </c>
    </row>
    <row r="24" spans="9:55" x14ac:dyDescent="0.25">
      <c r="AE24" s="3" t="s">
        <v>400</v>
      </c>
      <c r="AF24" s="16" t="e">
        <f t="shared" si="37"/>
        <v>#REF!</v>
      </c>
      <c r="AG24" s="16" t="e">
        <f t="shared" si="38"/>
        <v>#VALUE!</v>
      </c>
      <c r="AH24" s="3" t="e">
        <f t="shared" si="39"/>
        <v>#VALUE!</v>
      </c>
      <c r="AI24" s="40" t="e">
        <f t="shared" si="28"/>
        <v>#VALUE!</v>
      </c>
      <c r="AJ24" s="3" t="e">
        <f t="shared" si="43"/>
        <v>#REF!</v>
      </c>
      <c r="AK24" s="16" t="e">
        <f t="shared" si="40"/>
        <v>#REF!</v>
      </c>
      <c r="AL24" s="16" t="e">
        <f t="shared" si="41"/>
        <v>#REF!</v>
      </c>
      <c r="AM24" s="3" t="e">
        <f t="shared" si="42"/>
        <v>#REF!</v>
      </c>
      <c r="AN24" s="40" t="e">
        <f t="shared" si="32"/>
        <v>#REF!</v>
      </c>
      <c r="AO24" s="39">
        <f t="shared" ref="AO20:AO25" si="44">BH16</f>
        <v>0</v>
      </c>
    </row>
    <row r="25" spans="9:55" x14ac:dyDescent="0.25">
      <c r="AE25" s="3" t="s">
        <v>401</v>
      </c>
      <c r="AF25" s="16" t="e">
        <f t="shared" si="37"/>
        <v>#REF!</v>
      </c>
      <c r="AG25" s="16" t="e">
        <f t="shared" si="38"/>
        <v>#REF!</v>
      </c>
      <c r="AH25" s="3" t="e">
        <f t="shared" si="39"/>
        <v>#REF!</v>
      </c>
      <c r="AI25" s="40" t="e">
        <f t="shared" si="28"/>
        <v>#REF!</v>
      </c>
      <c r="AJ25" s="3" t="e">
        <f t="shared" si="43"/>
        <v>#REF!</v>
      </c>
      <c r="AK25" s="16" t="e">
        <f t="shared" si="40"/>
        <v>#REF!</v>
      </c>
      <c r="AL25" s="16" t="e">
        <f t="shared" si="41"/>
        <v>#REF!</v>
      </c>
      <c r="AM25" s="3" t="e">
        <f t="shared" si="42"/>
        <v>#REF!</v>
      </c>
      <c r="AN25" s="40" t="e">
        <f t="shared" si="32"/>
        <v>#REF!</v>
      </c>
      <c r="AO25" s="39">
        <f t="shared" si="44"/>
        <v>0</v>
      </c>
    </row>
    <row r="26" spans="9:55" x14ac:dyDescent="0.25">
      <c r="AE26" s="3" t="s">
        <v>402</v>
      </c>
      <c r="AF26" s="16" t="e">
        <f>IF(AI27*2-AG26-AH26+AJ26&lt;0,0,AI27*2-AG26-AH26+AJ26)</f>
        <v>#REF!</v>
      </c>
      <c r="AG26" s="16" t="e">
        <f t="shared" si="38"/>
        <v>#REF!</v>
      </c>
      <c r="AH26" s="3" t="e">
        <f t="shared" si="39"/>
        <v>#REF!</v>
      </c>
      <c r="AI26" s="40" t="e">
        <f>INT((AJ24+AJ25+AJ23+AJ22)/4)</f>
        <v>#REF!</v>
      </c>
      <c r="AJ26" s="3" t="e">
        <f t="shared" si="43"/>
        <v>#REF!</v>
      </c>
      <c r="AK26" s="16" t="e">
        <f t="shared" si="40"/>
        <v>#REF!</v>
      </c>
      <c r="AL26" s="16" t="e">
        <f t="shared" si="41"/>
        <v>#REF!</v>
      </c>
      <c r="AM26" s="3" t="e">
        <f t="shared" si="42"/>
        <v>#REF!</v>
      </c>
      <c r="AN26" s="40" t="e">
        <f>INT((AO24+AO25+AO23+AO22)/4)</f>
        <v>#REF!</v>
      </c>
      <c r="AO26" s="39">
        <f>BH18</f>
        <v>0</v>
      </c>
    </row>
    <row r="27" spans="9:55" x14ac:dyDescent="0.25">
      <c r="AE27" s="3" t="s">
        <v>403</v>
      </c>
      <c r="AF27" s="16" t="e">
        <f t="shared" ref="AF27:AF32" si="45">IF(AI28*2-AG27-AH27+AJ27&lt;0,0,AI28*2-AG27-AH27+AJ27)</f>
        <v>#REF!</v>
      </c>
      <c r="AG27" s="16" t="e">
        <f t="shared" si="38"/>
        <v>#REF!</v>
      </c>
      <c r="AH27" s="3" t="e">
        <f t="shared" si="39"/>
        <v>#REF!</v>
      </c>
      <c r="AI27" s="40" t="e">
        <f t="shared" si="28"/>
        <v>#REF!</v>
      </c>
      <c r="AJ27" s="3" t="e">
        <f t="shared" si="43"/>
        <v>#REF!</v>
      </c>
      <c r="AK27" s="16" t="e">
        <f t="shared" si="40"/>
        <v>#REF!</v>
      </c>
      <c r="AL27" s="16" t="e">
        <f t="shared" si="41"/>
        <v>#REF!</v>
      </c>
      <c r="AM27" s="3" t="e">
        <f t="shared" si="42"/>
        <v>#REF!</v>
      </c>
      <c r="AN27" s="40" t="e">
        <f t="shared" si="32"/>
        <v>#REF!</v>
      </c>
      <c r="AO27" s="39">
        <f t="shared" ref="AO27:AO32" si="46">BH19</f>
        <v>0</v>
      </c>
    </row>
    <row r="28" spans="9:55" x14ac:dyDescent="0.25">
      <c r="AE28" s="3" t="s">
        <v>404</v>
      </c>
      <c r="AF28" s="16" t="e">
        <f t="shared" si="45"/>
        <v>#REF!</v>
      </c>
      <c r="AG28" s="16" t="e">
        <f t="shared" si="38"/>
        <v>#REF!</v>
      </c>
      <c r="AH28" s="3" t="e">
        <f t="shared" si="39"/>
        <v>#REF!</v>
      </c>
      <c r="AI28" s="40" t="e">
        <f t="shared" si="28"/>
        <v>#REF!</v>
      </c>
      <c r="AJ28" s="3" t="e">
        <f t="shared" si="43"/>
        <v>#REF!</v>
      </c>
      <c r="AK28" s="16" t="e">
        <f t="shared" si="40"/>
        <v>#REF!</v>
      </c>
      <c r="AL28" s="16" t="e">
        <f t="shared" si="41"/>
        <v>#REF!</v>
      </c>
      <c r="AM28" s="3" t="e">
        <f t="shared" si="42"/>
        <v>#REF!</v>
      </c>
      <c r="AN28" s="40">
        <f t="shared" si="32"/>
        <v>0</v>
      </c>
      <c r="AO28" s="39">
        <f t="shared" si="46"/>
        <v>0</v>
      </c>
    </row>
    <row r="29" spans="9:55" x14ac:dyDescent="0.25">
      <c r="AE29" s="3" t="s">
        <v>405</v>
      </c>
      <c r="AF29" s="16" t="e">
        <f t="shared" si="45"/>
        <v>#REF!</v>
      </c>
      <c r="AG29" s="16" t="e">
        <f t="shared" si="38"/>
        <v>#REF!</v>
      </c>
      <c r="AH29" s="3" t="e">
        <f t="shared" si="39"/>
        <v>#REF!</v>
      </c>
      <c r="AI29" s="40" t="e">
        <f t="shared" si="28"/>
        <v>#REF!</v>
      </c>
      <c r="AJ29" s="3" t="e">
        <f t="shared" si="43"/>
        <v>#REF!</v>
      </c>
      <c r="AK29" s="16" t="e">
        <f t="shared" si="40"/>
        <v>#REF!</v>
      </c>
      <c r="AL29" s="16" t="e">
        <f t="shared" si="41"/>
        <v>#REF!</v>
      </c>
      <c r="AM29" s="3" t="e">
        <f t="shared" si="42"/>
        <v>#REF!</v>
      </c>
      <c r="AN29" s="40">
        <f t="shared" si="32"/>
        <v>0</v>
      </c>
      <c r="AO29" s="39">
        <f t="shared" si="46"/>
        <v>0</v>
      </c>
    </row>
    <row r="30" spans="9:55" x14ac:dyDescent="0.25">
      <c r="AE30" s="3" t="s">
        <v>406</v>
      </c>
      <c r="AF30" s="16" t="e">
        <f t="shared" si="45"/>
        <v>#REF!</v>
      </c>
      <c r="AG30" s="16" t="e">
        <f t="shared" si="38"/>
        <v>#REF!</v>
      </c>
      <c r="AH30" s="3" t="e">
        <f t="shared" si="39"/>
        <v>#REF!</v>
      </c>
      <c r="AI30" s="40" t="e">
        <f t="shared" si="28"/>
        <v>#REF!</v>
      </c>
      <c r="AJ30" s="3" t="e">
        <f t="shared" si="43"/>
        <v>#REF!</v>
      </c>
      <c r="AK30" s="16" t="e">
        <f t="shared" si="40"/>
        <v>#REF!</v>
      </c>
      <c r="AL30" s="16" t="e">
        <f t="shared" si="41"/>
        <v>#REF!</v>
      </c>
      <c r="AM30" s="3" t="e">
        <f t="shared" si="42"/>
        <v>#REF!</v>
      </c>
      <c r="AN30" s="40">
        <f t="shared" si="32"/>
        <v>0</v>
      </c>
      <c r="AO30" s="39">
        <f t="shared" si="46"/>
        <v>0</v>
      </c>
    </row>
    <row r="31" spans="9:55" x14ac:dyDescent="0.25">
      <c r="AE31" s="3" t="s">
        <v>407</v>
      </c>
      <c r="AF31" s="16" t="e">
        <f t="shared" si="45"/>
        <v>#REF!</v>
      </c>
      <c r="AG31" s="16" t="e">
        <f t="shared" si="38"/>
        <v>#REF!</v>
      </c>
      <c r="AH31" s="3" t="e">
        <f t="shared" si="39"/>
        <v>#REF!</v>
      </c>
      <c r="AI31" s="40" t="e">
        <f t="shared" si="28"/>
        <v>#REF!</v>
      </c>
      <c r="AJ31" s="3" t="e">
        <f t="shared" si="43"/>
        <v>#REF!</v>
      </c>
      <c r="AK31" s="16" t="e">
        <f t="shared" si="40"/>
        <v>#REF!</v>
      </c>
      <c r="AL31" s="16" t="e">
        <f t="shared" si="41"/>
        <v>#REF!</v>
      </c>
      <c r="AM31" s="3" t="e">
        <f t="shared" si="42"/>
        <v>#REF!</v>
      </c>
      <c r="AN31" s="40">
        <f t="shared" si="32"/>
        <v>0</v>
      </c>
      <c r="AO31" s="39">
        <f t="shared" si="46"/>
        <v>0</v>
      </c>
    </row>
    <row r="32" spans="9:55" x14ac:dyDescent="0.25">
      <c r="AE32" s="3" t="s">
        <v>408</v>
      </c>
      <c r="AF32" s="16" t="e">
        <f t="shared" si="45"/>
        <v>#REF!</v>
      </c>
      <c r="AG32" s="16" t="e">
        <f t="shared" si="38"/>
        <v>#REF!</v>
      </c>
      <c r="AH32" s="3" t="e">
        <f t="shared" si="39"/>
        <v>#REF!</v>
      </c>
      <c r="AI32" s="40" t="e">
        <f t="shared" si="28"/>
        <v>#REF!</v>
      </c>
      <c r="AJ32" s="3" t="e">
        <f t="shared" si="43"/>
        <v>#REF!</v>
      </c>
      <c r="AK32" s="16" t="e">
        <f t="shared" si="40"/>
        <v>#REF!</v>
      </c>
      <c r="AL32" s="16" t="e">
        <f t="shared" si="41"/>
        <v>#REF!</v>
      </c>
      <c r="AM32" s="3" t="e">
        <f t="shared" si="42"/>
        <v>#REF!</v>
      </c>
      <c r="AN32" s="40">
        <f t="shared" si="32"/>
        <v>0</v>
      </c>
      <c r="AO32" s="39">
        <f t="shared" si="46"/>
        <v>0</v>
      </c>
    </row>
    <row r="33" spans="31:41" x14ac:dyDescent="0.25">
      <c r="AE33" s="3" t="s">
        <v>409</v>
      </c>
      <c r="AF33" s="16" t="e">
        <f>IF(AI34*2-AG33-AH33+AJ33&lt;0,0,AI34*2-AG33-AH33+AJ33)</f>
        <v>#REF!</v>
      </c>
      <c r="AG33" s="16" t="e">
        <f t="shared" si="38"/>
        <v>#REF!</v>
      </c>
      <c r="AH33" s="3" t="e">
        <f t="shared" si="39"/>
        <v>#REF!</v>
      </c>
      <c r="AI33" s="40" t="e">
        <f>INT((AJ31+AJ32+AJ30+AJ29)/4)</f>
        <v>#REF!</v>
      </c>
      <c r="AJ33" s="3" t="e">
        <f t="shared" si="43"/>
        <v>#REF!</v>
      </c>
      <c r="AK33" s="16" t="e">
        <f t="shared" si="40"/>
        <v>#REF!</v>
      </c>
      <c r="AL33" s="16" t="e">
        <f t="shared" si="41"/>
        <v>#REF!</v>
      </c>
      <c r="AM33" s="3" t="e">
        <f t="shared" si="42"/>
        <v>#REF!</v>
      </c>
      <c r="AN33" s="40">
        <f>INT((AO31+AO32+AO30+AO29)/4)</f>
        <v>0</v>
      </c>
      <c r="AO33" s="39">
        <f>BH25</f>
        <v>0</v>
      </c>
    </row>
    <row r="34" spans="31:41" x14ac:dyDescent="0.25">
      <c r="AE34" s="3" t="s">
        <v>410</v>
      </c>
      <c r="AF34" s="16" t="e">
        <f t="shared" ref="AF34:AF35" si="47">IF(AI35*2-AG34-AH34+AJ34&lt;0,0,AI35*2-AG34-AH34+AJ34)</f>
        <v>#REF!</v>
      </c>
      <c r="AG34" s="16" t="e">
        <f t="shared" ref="AG34:AG35" si="48">(AF33+AH33+AG33-AJ33)/2</f>
        <v>#REF!</v>
      </c>
      <c r="AH34" s="3" t="e">
        <f t="shared" ref="AH34:AH35" si="49">(AF33+AH33+AG33-AJ33)/2</f>
        <v>#REF!</v>
      </c>
      <c r="AI34" s="40" t="e">
        <f t="shared" si="28"/>
        <v>#REF!</v>
      </c>
      <c r="AJ34" s="3" t="e">
        <f t="shared" ref="AJ34:AJ35" si="50">AK34*5</f>
        <v>#REF!</v>
      </c>
      <c r="AK34" s="16" t="e">
        <f t="shared" ref="AK34:AK35" si="51">IF(AN35*2-AL34-AM34+AO34&lt;0,0,AN35*2-AL34-AM34+AO34)</f>
        <v>#REF!</v>
      </c>
      <c r="AL34" s="16" t="e">
        <f t="shared" ref="AL34:AL35" si="52">(AK33+AM33+AL33-AO33)/2</f>
        <v>#REF!</v>
      </c>
      <c r="AM34" s="3" t="e">
        <f t="shared" ref="AM34:AM35" si="53">(AK33+AM33+AL33-AO33)/2</f>
        <v>#REF!</v>
      </c>
      <c r="AN34" s="40">
        <f t="shared" si="32"/>
        <v>0</v>
      </c>
      <c r="AO34" s="39">
        <f t="shared" ref="AO34:AO35" si="54">BH26</f>
        <v>0</v>
      </c>
    </row>
    <row r="35" spans="31:41" x14ac:dyDescent="0.25">
      <c r="AE35" s="3" t="s">
        <v>411</v>
      </c>
      <c r="AF35" s="16" t="e">
        <f t="shared" si="47"/>
        <v>#REF!</v>
      </c>
      <c r="AG35" s="16" t="e">
        <f t="shared" si="48"/>
        <v>#REF!</v>
      </c>
      <c r="AH35" s="3" t="e">
        <f t="shared" si="49"/>
        <v>#REF!</v>
      </c>
      <c r="AI35" s="40" t="e">
        <f t="shared" si="28"/>
        <v>#REF!</v>
      </c>
      <c r="AJ35" s="3" t="e">
        <f t="shared" si="50"/>
        <v>#REF!</v>
      </c>
      <c r="AK35" s="16" t="e">
        <f t="shared" si="51"/>
        <v>#REF!</v>
      </c>
      <c r="AL35" s="16" t="e">
        <f t="shared" si="52"/>
        <v>#REF!</v>
      </c>
      <c r="AM35" s="3" t="e">
        <f t="shared" si="53"/>
        <v>#REF!</v>
      </c>
      <c r="AN35" s="40">
        <f t="shared" si="32"/>
        <v>0</v>
      </c>
      <c r="AO35" s="39">
        <f t="shared" si="54"/>
        <v>0</v>
      </c>
    </row>
  </sheetData>
  <mergeCells count="13">
    <mergeCell ref="T2:AA2"/>
    <mergeCell ref="I1:I22"/>
    <mergeCell ref="AT2:BA2"/>
    <mergeCell ref="BB2:BJ2"/>
    <mergeCell ref="AF2:AJ2"/>
    <mergeCell ref="AK2:AO2"/>
    <mergeCell ref="K2:R2"/>
    <mergeCell ref="AQ1:AQ12"/>
    <mergeCell ref="B2:C2"/>
    <mergeCell ref="L12:P12"/>
    <mergeCell ref="L10:P10"/>
    <mergeCell ref="L11:P11"/>
    <mergeCell ref="L9:P9"/>
  </mergeCells>
  <phoneticPr fontId="8" type="noConversion"/>
  <hyperlinks>
    <hyperlink ref="C3" location="'Envíos y almacenaje'!K3" display="'Envíos y almacenaje'!K3" xr:uid="{FFE235DF-8B22-4DE8-A517-BDC9825364A5}"/>
    <hyperlink ref="C4" location="'Envíos y almacenaje'!T3" display="'Envíos y almacenaje'!T3" xr:uid="{2A5DC1A3-1AA4-4D0A-A19E-0B760563A47E}"/>
    <hyperlink ref="C5" location="'Envíos y almacenaje'!AD3" display="'Envíos y almacenaje'!AD3" xr:uid="{470B86E8-35C7-4028-84C4-27EB50E3A5A4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14E1-623A-48B5-BF7A-83AD23FE841F}">
  <dimension ref="A1:AK92"/>
  <sheetViews>
    <sheetView topLeftCell="A22" zoomScale="40" zoomScaleNormal="40" workbookViewId="0">
      <selection activeCell="J20" sqref="J20:Q81"/>
    </sheetView>
  </sheetViews>
  <sheetFormatPr baseColWidth="10" defaultColWidth="8.85546875" defaultRowHeight="15" x14ac:dyDescent="0.25"/>
  <cols>
    <col min="1" max="2" width="8.42578125" customWidth="1"/>
    <col min="3" max="3" width="17" style="81" customWidth="1"/>
    <col min="4" max="4" width="12.85546875" style="81" customWidth="1"/>
    <col min="5" max="5" width="15.140625" style="81" customWidth="1"/>
    <col min="6" max="6" width="14.42578125" style="81" customWidth="1"/>
    <col min="7" max="7" width="16.5703125" style="81" customWidth="1"/>
    <col min="8" max="8" width="10.5703125" customWidth="1"/>
    <col min="9" max="9" width="3.140625" customWidth="1"/>
    <col min="10" max="10" width="8.5703125" customWidth="1"/>
    <col min="11" max="11" width="10.5703125" customWidth="1"/>
    <col min="12" max="12" width="15.7109375" customWidth="1"/>
    <col min="13" max="13" width="16.140625" customWidth="1"/>
    <col min="14" max="14" width="17.140625" customWidth="1"/>
    <col min="15" max="16" width="8.5703125" customWidth="1"/>
    <col min="17" max="17" width="8.5703125" style="89" customWidth="1"/>
    <col min="19" max="19" width="23.42578125" bestFit="1" customWidth="1"/>
    <col min="20" max="20" width="38.7109375" bestFit="1" customWidth="1"/>
    <col min="21" max="21" width="32.7109375" bestFit="1" customWidth="1"/>
  </cols>
  <sheetData>
    <row r="1" spans="1:15" ht="15.75" thickBot="1" x14ac:dyDescent="0.3">
      <c r="A1" s="199" t="s">
        <v>315</v>
      </c>
      <c r="B1" s="200"/>
    </row>
    <row r="2" spans="1:15" ht="20.25" customHeight="1" thickBot="1" x14ac:dyDescent="0.3">
      <c r="K2" s="201" t="s">
        <v>316</v>
      </c>
      <c r="L2" s="202">
        <f>100000</f>
        <v>100000</v>
      </c>
    </row>
    <row r="3" spans="1:15" x14ac:dyDescent="0.25">
      <c r="B3" s="203" t="s">
        <v>317</v>
      </c>
      <c r="C3" s="204" t="s">
        <v>318</v>
      </c>
      <c r="D3" s="204" t="s">
        <v>319</v>
      </c>
      <c r="E3" s="204" t="s">
        <v>320</v>
      </c>
      <c r="F3" s="204" t="s">
        <v>321</v>
      </c>
      <c r="G3" s="205" t="s">
        <v>322</v>
      </c>
      <c r="L3" s="206"/>
      <c r="N3" s="206"/>
    </row>
    <row r="4" spans="1:15" x14ac:dyDescent="0.25">
      <c r="B4" s="207" t="s">
        <v>323</v>
      </c>
      <c r="C4" s="208">
        <f>0.22*$L$2</f>
        <v>22000</v>
      </c>
      <c r="D4" s="208">
        <f>0.73*$L$2</f>
        <v>73000</v>
      </c>
      <c r="E4" s="208">
        <f>0.79*$L$2</f>
        <v>79000</v>
      </c>
      <c r="F4" s="208">
        <f>0.91*$L$2</f>
        <v>91000</v>
      </c>
      <c r="G4" s="209">
        <f>0.95*$L$2</f>
        <v>95000</v>
      </c>
      <c r="K4" s="210" t="s">
        <v>324</v>
      </c>
      <c r="L4" s="210" t="s">
        <v>325</v>
      </c>
    </row>
    <row r="5" spans="1:15" ht="15.75" thickBot="1" x14ac:dyDescent="0.3">
      <c r="B5" s="207" t="s">
        <v>326</v>
      </c>
      <c r="C5" s="208">
        <f>0.32*$L$2</f>
        <v>32000</v>
      </c>
      <c r="D5" s="208">
        <f>0.72*$L$2</f>
        <v>72000</v>
      </c>
      <c r="E5" s="208">
        <f>0.76*$L$2</f>
        <v>76000</v>
      </c>
      <c r="F5" s="208">
        <f>0.87*$L$2</f>
        <v>87000</v>
      </c>
      <c r="G5" s="209">
        <f>0.91*$L$2</f>
        <v>91000</v>
      </c>
    </row>
    <row r="6" spans="1:15" ht="15.75" thickBot="1" x14ac:dyDescent="0.3">
      <c r="B6" s="207" t="s">
        <v>327</v>
      </c>
      <c r="C6" s="208">
        <f>0.39*$L$2</f>
        <v>39000</v>
      </c>
      <c r="D6" s="208">
        <f>0.73*$L$2</f>
        <v>73000</v>
      </c>
      <c r="E6" s="208">
        <f>0.73*$L$2</f>
        <v>73000</v>
      </c>
      <c r="F6" s="208">
        <f>0.85*$L$2</f>
        <v>85000</v>
      </c>
      <c r="G6" s="209">
        <f>0.9*$L$2</f>
        <v>90000</v>
      </c>
      <c r="K6" s="211" t="s">
        <v>328</v>
      </c>
      <c r="L6" s="212"/>
      <c r="M6" s="212"/>
      <c r="N6" s="212"/>
      <c r="O6" s="213"/>
    </row>
    <row r="7" spans="1:15" ht="15.75" thickBot="1" x14ac:dyDescent="0.3">
      <c r="B7" s="207" t="s">
        <v>329</v>
      </c>
      <c r="C7" s="208">
        <f>0.42*$L$2</f>
        <v>42000</v>
      </c>
      <c r="D7" s="208">
        <f>0.72*$L$2</f>
        <v>72000</v>
      </c>
      <c r="E7" s="208">
        <f>0.72*$L$2</f>
        <v>72000</v>
      </c>
      <c r="F7" s="208">
        <f>0.86*$L$2</f>
        <v>86000</v>
      </c>
      <c r="G7" s="209">
        <f>0.91*$L$2</f>
        <v>91000</v>
      </c>
    </row>
    <row r="8" spans="1:15" ht="15.75" thickBot="1" x14ac:dyDescent="0.3">
      <c r="B8" s="207" t="s">
        <v>330</v>
      </c>
      <c r="C8" s="208">
        <f>0.45*$L$2</f>
        <v>45000</v>
      </c>
      <c r="D8" s="208">
        <f>0.71*$L$2</f>
        <v>71000</v>
      </c>
      <c r="E8" s="208">
        <f>0.75*$L$2</f>
        <v>75000</v>
      </c>
      <c r="F8" s="208">
        <f>0.865*$L$2</f>
        <v>86500</v>
      </c>
      <c r="G8" s="209">
        <f>0.89*$L$2</f>
        <v>89000</v>
      </c>
      <c r="K8" s="214" t="s">
        <v>331</v>
      </c>
      <c r="L8" s="215"/>
      <c r="M8" s="215"/>
      <c r="N8" s="216"/>
    </row>
    <row r="9" spans="1:15" x14ac:dyDescent="0.25">
      <c r="B9" s="207" t="s">
        <v>332</v>
      </c>
      <c r="C9" s="208">
        <f>0.49*$L$2</f>
        <v>49000</v>
      </c>
      <c r="D9" s="208">
        <f t="shared" ref="D9:D13" si="0">0.73*$L$2</f>
        <v>73000</v>
      </c>
      <c r="E9" s="208">
        <f>0.77*$L$2</f>
        <v>77000</v>
      </c>
      <c r="F9" s="208">
        <f>0.875*$L$2</f>
        <v>87500</v>
      </c>
      <c r="G9" s="209">
        <f>0.89*$L$2</f>
        <v>89000</v>
      </c>
    </row>
    <row r="10" spans="1:15" x14ac:dyDescent="0.25">
      <c r="B10" s="207" t="s">
        <v>333</v>
      </c>
      <c r="C10" s="208">
        <f>0.53*$L$2</f>
        <v>53000</v>
      </c>
      <c r="D10" s="208">
        <f>0.77*$L$2</f>
        <v>77000</v>
      </c>
      <c r="E10" s="208">
        <f>0.79*$L$2</f>
        <v>79000</v>
      </c>
      <c r="F10" s="208">
        <f>0.88*$L$2</f>
        <v>88000</v>
      </c>
      <c r="G10" s="209">
        <f>0.92*$L$2</f>
        <v>92000</v>
      </c>
    </row>
    <row r="11" spans="1:15" x14ac:dyDescent="0.25">
      <c r="B11" s="207" t="s">
        <v>334</v>
      </c>
      <c r="C11" s="208">
        <f>0.565*$L$2</f>
        <v>56499.999999999993</v>
      </c>
      <c r="D11" s="208">
        <f>0.79*$L$2</f>
        <v>79000</v>
      </c>
      <c r="E11" s="208">
        <f>0.81*$L$2</f>
        <v>81000</v>
      </c>
      <c r="F11" s="208">
        <f>0.92*$L$2</f>
        <v>92000</v>
      </c>
      <c r="G11" s="209">
        <f>0.96*$L$2</f>
        <v>96000</v>
      </c>
    </row>
    <row r="12" spans="1:15" x14ac:dyDescent="0.25">
      <c r="B12" s="207" t="s">
        <v>335</v>
      </c>
      <c r="C12" s="208">
        <f>0.62*$L$2</f>
        <v>62000</v>
      </c>
      <c r="D12" s="208">
        <f>0.81*$L$2</f>
        <v>81000</v>
      </c>
      <c r="E12" s="208">
        <f>0.83*$L$2</f>
        <v>83000</v>
      </c>
      <c r="F12" s="208">
        <f>0.9*$L$2</f>
        <v>90000</v>
      </c>
      <c r="G12" s="209">
        <f>0.93*$L$2</f>
        <v>93000</v>
      </c>
    </row>
    <row r="13" spans="1:15" x14ac:dyDescent="0.25">
      <c r="B13" s="207" t="s">
        <v>336</v>
      </c>
      <c r="C13" s="208">
        <f>0.67*$L$2</f>
        <v>67000</v>
      </c>
      <c r="D13" s="208">
        <f>0.84*$L$2</f>
        <v>84000</v>
      </c>
      <c r="E13" s="208">
        <f>0.85*$L$2</f>
        <v>85000</v>
      </c>
      <c r="F13" s="208">
        <f>0.88*$L$2</f>
        <v>88000</v>
      </c>
      <c r="G13" s="209">
        <f>0.92*$L$2</f>
        <v>92000</v>
      </c>
    </row>
    <row r="14" spans="1:15" x14ac:dyDescent="0.25">
      <c r="B14" s="207" t="s">
        <v>337</v>
      </c>
      <c r="C14" s="208">
        <f>0.71*$L$2</f>
        <v>71000</v>
      </c>
      <c r="D14" s="208">
        <f>0.83*$L$2</f>
        <v>83000</v>
      </c>
      <c r="E14" s="208">
        <f>0.85*$L$2</f>
        <v>85000</v>
      </c>
      <c r="F14" s="208">
        <f>0.87*$L$2</f>
        <v>87000</v>
      </c>
      <c r="G14" s="209">
        <f>0.96*$L$2</f>
        <v>96000</v>
      </c>
    </row>
    <row r="15" spans="1:15" x14ac:dyDescent="0.25">
      <c r="B15" s="207" t="s">
        <v>338</v>
      </c>
      <c r="C15" s="208">
        <f>0.72*$L$2</f>
        <v>72000</v>
      </c>
      <c r="D15" s="208">
        <f>0.82*$L$2</f>
        <v>82000</v>
      </c>
      <c r="E15" s="208">
        <f>0.87*$L$2</f>
        <v>87000</v>
      </c>
      <c r="F15" s="208">
        <f>0.93*$L$2</f>
        <v>93000</v>
      </c>
      <c r="G15" s="209">
        <f>0.99*$L$2</f>
        <v>99000</v>
      </c>
    </row>
    <row r="16" spans="1:15" x14ac:dyDescent="0.25">
      <c r="B16" s="203" t="s">
        <v>339</v>
      </c>
      <c r="C16" s="217">
        <f>SUM(C4:C15)</f>
        <v>610500</v>
      </c>
      <c r="D16" s="217">
        <f>SUM(D4:D15)</f>
        <v>920000</v>
      </c>
      <c r="E16" s="217">
        <f>SUM(E4:E15)</f>
        <v>952000</v>
      </c>
      <c r="F16" s="217">
        <f>SUM(F4:F15)</f>
        <v>1061000</v>
      </c>
      <c r="G16" s="218">
        <f>SUM(G4:G15)</f>
        <v>1113000</v>
      </c>
      <c r="H16" s="81"/>
    </row>
    <row r="17" spans="1:17" x14ac:dyDescent="0.25">
      <c r="B17" s="210"/>
    </row>
    <row r="18" spans="1:17" x14ac:dyDescent="0.25">
      <c r="A18" s="210" t="s">
        <v>340</v>
      </c>
      <c r="B18" s="210"/>
      <c r="C18" s="219"/>
    </row>
    <row r="19" spans="1:17" ht="8.25" customHeight="1" x14ac:dyDescent="0.25"/>
    <row r="20" spans="1:17" s="224" customFormat="1" ht="61.5" customHeight="1" x14ac:dyDescent="0.3">
      <c r="A20" s="220" t="s">
        <v>341</v>
      </c>
      <c r="B20" s="220" t="s">
        <v>342</v>
      </c>
      <c r="C20" s="220" t="s">
        <v>343</v>
      </c>
      <c r="D20" s="221" t="s">
        <v>344</v>
      </c>
      <c r="E20" s="220" t="s">
        <v>345</v>
      </c>
      <c r="F20" s="222" t="s">
        <v>346</v>
      </c>
      <c r="G20" s="222" t="s">
        <v>347</v>
      </c>
      <c r="H20" s="223" t="s">
        <v>348</v>
      </c>
      <c r="J20" s="220" t="s">
        <v>349</v>
      </c>
      <c r="K20" s="220" t="s">
        <v>350</v>
      </c>
      <c r="L20" s="220" t="s">
        <v>351</v>
      </c>
      <c r="M20" s="220" t="s">
        <v>352</v>
      </c>
      <c r="N20" s="220" t="s">
        <v>353</v>
      </c>
      <c r="O20" s="220" t="s">
        <v>354</v>
      </c>
      <c r="P20" s="220" t="s">
        <v>355</v>
      </c>
      <c r="Q20" s="225" t="s">
        <v>356</v>
      </c>
    </row>
    <row r="21" spans="1:17" x14ac:dyDescent="0.25">
      <c r="A21" s="226" t="s">
        <v>318</v>
      </c>
      <c r="B21" s="226" t="s">
        <v>323</v>
      </c>
      <c r="C21" s="226">
        <v>1</v>
      </c>
      <c r="D21" s="81">
        <f>C4</f>
        <v>22000</v>
      </c>
      <c r="E21" s="227"/>
      <c r="F21" s="227">
        <f>$AD$52+C21*$AD$53</f>
        <v>24538.461538461546</v>
      </c>
      <c r="G21" s="228">
        <f>D21/F21</f>
        <v>0.89655172413793072</v>
      </c>
      <c r="H21" s="229">
        <f>($AD$52+C21*$AD$53)*$T$58</f>
        <v>24701.588095033738</v>
      </c>
      <c r="I21" s="230"/>
      <c r="J21" s="229">
        <f>H21-D21</f>
        <v>2701.5880950337378</v>
      </c>
      <c r="K21" s="229">
        <f>ABS(J21)</f>
        <v>2701.5880950337378</v>
      </c>
      <c r="L21" s="229">
        <f>SUM($J$21:J21)</f>
        <v>2701.5880950337378</v>
      </c>
      <c r="M21" s="229">
        <f>SUMSQ($J$21:J21)/C21</f>
        <v>7298578.2352280198</v>
      </c>
      <c r="N21" s="229">
        <f>SUM($K$21:K21)/C21</f>
        <v>2701.5880950337378</v>
      </c>
      <c r="O21" s="229">
        <f>K21/D21*100</f>
        <v>12.279945886516989</v>
      </c>
      <c r="P21" s="229">
        <f>AVERAGE($O$21:O21)</f>
        <v>12.279945886516989</v>
      </c>
      <c r="Q21" s="231">
        <f>SUM($J$21:J21)/N21</f>
        <v>1</v>
      </c>
    </row>
    <row r="22" spans="1:17" x14ac:dyDescent="0.25">
      <c r="A22" s="226"/>
      <c r="B22" s="226" t="s">
        <v>326</v>
      </c>
      <c r="C22" s="226">
        <v>2</v>
      </c>
      <c r="D22" s="81">
        <f t="shared" ref="D22:D32" si="1">C5</f>
        <v>32000</v>
      </c>
      <c r="E22" s="227"/>
      <c r="F22" s="227">
        <f t="shared" ref="F22:F32" si="2">$AD$52+C22*$AD$53</f>
        <v>29057.692307692312</v>
      </c>
      <c r="G22" s="228">
        <f t="shared" ref="G22:G80" si="3">D22/F22</f>
        <v>1.1012574454003969</v>
      </c>
      <c r="H22" s="229">
        <f t="shared" ref="H22:H33" si="4">($AD$52+C22*$AD$53)*$T$58</f>
        <v>29250.861764573645</v>
      </c>
      <c r="I22" s="230"/>
      <c r="J22" s="229">
        <f>H22-D22</f>
        <v>-2749.1382354263551</v>
      </c>
      <c r="K22" s="229">
        <f t="shared" ref="K22:K80" si="5">ABS(J22)</f>
        <v>2749.1382354263551</v>
      </c>
      <c r="L22" s="229">
        <f>SUM($J$21:J22)</f>
        <v>-47.550140392617323</v>
      </c>
      <c r="M22" s="229">
        <f>SUMSQ($J$21:J22)/C22</f>
        <v>7428169.636355577</v>
      </c>
      <c r="N22" s="229">
        <f>SUM($K$21:K22)/C22</f>
        <v>2725.3631652300464</v>
      </c>
      <c r="O22" s="229">
        <f>K22/D22*100</f>
        <v>8.5910569857073593</v>
      </c>
      <c r="P22" s="229">
        <f>AVERAGE($O$21:O22)</f>
        <v>10.435501436112174</v>
      </c>
      <c r="Q22" s="231">
        <f>SUM($J$21:J22)/N22</f>
        <v>-1.7447267578595764E-2</v>
      </c>
    </row>
    <row r="23" spans="1:17" x14ac:dyDescent="0.25">
      <c r="A23" s="226"/>
      <c r="B23" s="226" t="s">
        <v>327</v>
      </c>
      <c r="C23" s="226">
        <v>3</v>
      </c>
      <c r="D23" s="81">
        <f t="shared" si="1"/>
        <v>39000</v>
      </c>
      <c r="E23" s="227"/>
      <c r="F23" s="227">
        <f t="shared" si="2"/>
        <v>33576.923076923078</v>
      </c>
      <c r="G23" s="228">
        <f t="shared" si="3"/>
        <v>1.1615120274914088</v>
      </c>
      <c r="H23" s="229">
        <f t="shared" si="4"/>
        <v>33800.135434113552</v>
      </c>
      <c r="I23" s="230"/>
      <c r="J23" s="229">
        <f>H23-D23</f>
        <v>-5199.864565886448</v>
      </c>
      <c r="K23" s="229">
        <f t="shared" si="5"/>
        <v>5199.864565886448</v>
      </c>
      <c r="L23" s="229">
        <f>SUM($J$21:J23)</f>
        <v>-5247.4147062790653</v>
      </c>
      <c r="M23" s="229">
        <f>SUMSQ($J$21:J23)/C23</f>
        <v>13964976.925424203</v>
      </c>
      <c r="N23" s="229">
        <f>SUM($K$21:K23)/C23</f>
        <v>3550.1969654488471</v>
      </c>
      <c r="O23" s="229">
        <f>K23/D23*100</f>
        <v>13.332986066375508</v>
      </c>
      <c r="P23" s="229">
        <f>AVERAGE($O$21:O23)</f>
        <v>11.401329646199953</v>
      </c>
      <c r="Q23" s="231">
        <f>SUM($J$21:J23)/N23</f>
        <v>-1.4780629799833207</v>
      </c>
    </row>
    <row r="24" spans="1:17" x14ac:dyDescent="0.25">
      <c r="A24" s="226"/>
      <c r="B24" s="226" t="s">
        <v>329</v>
      </c>
      <c r="C24" s="226">
        <v>4</v>
      </c>
      <c r="D24" s="81">
        <f t="shared" si="1"/>
        <v>42000</v>
      </c>
      <c r="E24" s="227">
        <f>(D21+D27+2*SUM(D22:D26))/(2*6)</f>
        <v>40750</v>
      </c>
      <c r="F24" s="227">
        <f t="shared" si="2"/>
        <v>38096.153846153851</v>
      </c>
      <c r="G24" s="228">
        <f t="shared" si="3"/>
        <v>1.1024734982332154</v>
      </c>
      <c r="H24" s="229">
        <f t="shared" si="4"/>
        <v>38349.409103653466</v>
      </c>
      <c r="I24" s="230"/>
      <c r="J24" s="229">
        <f>H24-D24</f>
        <v>-3650.5908963465336</v>
      </c>
      <c r="K24" s="229">
        <f t="shared" si="5"/>
        <v>3650.5908963465336</v>
      </c>
      <c r="L24" s="229">
        <f>SUM($J$21:J24)</f>
        <v>-8898.0056026255988</v>
      </c>
      <c r="M24" s="229">
        <f>SUMSQ($J$21:J24)/C24</f>
        <v>13805436.1671902</v>
      </c>
      <c r="N24" s="229">
        <f>SUM($K$21:K24)/C24</f>
        <v>3575.2954481732686</v>
      </c>
      <c r="O24" s="229">
        <f>K24/D24*100</f>
        <v>8.6918830865393666</v>
      </c>
      <c r="P24" s="229">
        <f>AVERAGE($O$21:O24)</f>
        <v>10.723968006284807</v>
      </c>
      <c r="Q24" s="231">
        <f>SUM($J$21:J24)/N24</f>
        <v>-2.4887469389898591</v>
      </c>
    </row>
    <row r="25" spans="1:17" x14ac:dyDescent="0.25">
      <c r="A25" s="226"/>
      <c r="B25" s="226" t="s">
        <v>330</v>
      </c>
      <c r="C25" s="226">
        <v>5</v>
      </c>
      <c r="D25" s="81">
        <f t="shared" si="1"/>
        <v>45000</v>
      </c>
      <c r="E25" s="227">
        <f>(D22+D28+2*SUM(D23:D27))/(2*6)</f>
        <v>45375</v>
      </c>
      <c r="F25" s="227">
        <f t="shared" si="2"/>
        <v>42615.384615384624</v>
      </c>
      <c r="G25" s="228">
        <f t="shared" si="3"/>
        <v>1.0559566787003607</v>
      </c>
      <c r="H25" s="229">
        <f t="shared" si="4"/>
        <v>42898.682773193381</v>
      </c>
      <c r="I25" s="230"/>
      <c r="J25" s="229">
        <f>H25-D25</f>
        <v>-2101.3172268066191</v>
      </c>
      <c r="K25" s="229">
        <f t="shared" si="5"/>
        <v>2101.3172268066191</v>
      </c>
      <c r="L25" s="229">
        <f>SUM($J$21:J25)</f>
        <v>-10999.322829432218</v>
      </c>
      <c r="M25" s="229">
        <f>SUMSQ($J$21:J25)/C25</f>
        <v>11927455.751287011</v>
      </c>
      <c r="N25" s="229">
        <f>SUM($K$21:K25)/C25</f>
        <v>3280.4998038999388</v>
      </c>
      <c r="O25" s="229">
        <f>K25/D25*100</f>
        <v>4.6695938373480423</v>
      </c>
      <c r="P25" s="229">
        <f>AVERAGE($O$21:O25)</f>
        <v>9.5130931724974541</v>
      </c>
      <c r="Q25" s="231">
        <f>SUM($J$21:J25)/N25</f>
        <v>-3.3529411635251289</v>
      </c>
    </row>
    <row r="26" spans="1:17" x14ac:dyDescent="0.25">
      <c r="A26" s="226"/>
      <c r="B26" s="226" t="s">
        <v>332</v>
      </c>
      <c r="C26" s="226">
        <v>6</v>
      </c>
      <c r="D26" s="81">
        <f t="shared" si="1"/>
        <v>49000</v>
      </c>
      <c r="E26" s="227">
        <f t="shared" ref="E24:E30" si="6">(D23+D29+2*SUM(D24:D28))/(2*6)</f>
        <v>49333.333333333336</v>
      </c>
      <c r="F26" s="227">
        <f t="shared" si="2"/>
        <v>47134.61538461539</v>
      </c>
      <c r="G26" s="228">
        <f t="shared" si="3"/>
        <v>1.0395756833945327</v>
      </c>
      <c r="H26" s="229">
        <f t="shared" si="4"/>
        <v>47447.956442733288</v>
      </c>
      <c r="I26" s="230"/>
      <c r="J26" s="229">
        <f>H26-D26</f>
        <v>-1552.043557266712</v>
      </c>
      <c r="K26" s="229">
        <f t="shared" si="5"/>
        <v>1552.043557266712</v>
      </c>
      <c r="L26" s="229">
        <f>SUM($J$21:J26)</f>
        <v>-12551.36638669893</v>
      </c>
      <c r="M26" s="229">
        <f>SUMSQ($J$21:J26)/C26</f>
        <v>10341019.660014695</v>
      </c>
      <c r="N26" s="229">
        <f>SUM($K$21:K26)/C26</f>
        <v>2992.4237627944008</v>
      </c>
      <c r="O26" s="229">
        <f>K26/D26*100</f>
        <v>3.1674358311565549</v>
      </c>
      <c r="P26" s="229">
        <f>AVERAGE($O$21:O26)</f>
        <v>8.4554836156073048</v>
      </c>
      <c r="Q26" s="231">
        <f>SUM($J$21:J26)/N26</f>
        <v>-4.1943813382159973</v>
      </c>
    </row>
    <row r="27" spans="1:17" x14ac:dyDescent="0.25">
      <c r="A27" s="226"/>
      <c r="B27" s="226" t="s">
        <v>333</v>
      </c>
      <c r="C27" s="226">
        <v>7</v>
      </c>
      <c r="D27" s="81">
        <f t="shared" si="1"/>
        <v>53000</v>
      </c>
      <c r="E27" s="227">
        <f t="shared" si="6"/>
        <v>53333.333333333336</v>
      </c>
      <c r="F27" s="227">
        <f t="shared" si="2"/>
        <v>51653.846153846156</v>
      </c>
      <c r="G27" s="228">
        <f t="shared" si="3"/>
        <v>1.0260610573343261</v>
      </c>
      <c r="H27" s="229">
        <f t="shared" si="4"/>
        <v>51997.230112273202</v>
      </c>
      <c r="I27" s="230"/>
      <c r="J27" s="229">
        <f>H27-D27</f>
        <v>-1002.7698877267976</v>
      </c>
      <c r="K27" s="229">
        <f t="shared" si="5"/>
        <v>1002.7698877267976</v>
      </c>
      <c r="L27" s="229">
        <f>SUM($J$21:J27)</f>
        <v>-13554.136274425728</v>
      </c>
      <c r="M27" s="229">
        <f>SUMSQ($J$21:J27)/C27</f>
        <v>9007380.7725456841</v>
      </c>
      <c r="N27" s="229">
        <f>SUM($K$21:K27)/C27</f>
        <v>2708.1874949276003</v>
      </c>
      <c r="O27" s="229">
        <f>K27/D27*100</f>
        <v>1.8920186560882974</v>
      </c>
      <c r="P27" s="229">
        <f>AVERAGE($O$21:O27)</f>
        <v>7.5178457642474461</v>
      </c>
      <c r="Q27" s="231">
        <f>SUM($J$21:J27)/N27</f>
        <v>-5.0048736654358121</v>
      </c>
    </row>
    <row r="28" spans="1:17" x14ac:dyDescent="0.25">
      <c r="A28" s="226"/>
      <c r="B28" s="226" t="s">
        <v>334</v>
      </c>
      <c r="C28" s="226">
        <v>8</v>
      </c>
      <c r="D28" s="81">
        <f t="shared" si="1"/>
        <v>56499.999999999993</v>
      </c>
      <c r="E28" s="227">
        <f t="shared" si="6"/>
        <v>57583.333333333336</v>
      </c>
      <c r="F28" s="227">
        <f t="shared" si="2"/>
        <v>56173.076923076922</v>
      </c>
      <c r="G28" s="228">
        <f t="shared" si="3"/>
        <v>1.0058199246833275</v>
      </c>
      <c r="H28" s="229">
        <f t="shared" si="4"/>
        <v>56546.50378181311</v>
      </c>
      <c r="I28" s="230"/>
      <c r="J28" s="229">
        <f>H28-D28</f>
        <v>46.503781813116802</v>
      </c>
      <c r="K28" s="229">
        <f t="shared" si="5"/>
        <v>46.503781813116802</v>
      </c>
      <c r="L28" s="229">
        <f>SUM($J$21:J28)</f>
        <v>-13507.632492612611</v>
      </c>
      <c r="M28" s="229">
        <f>SUMSQ($J$21:J28)/C28</f>
        <v>7881728.501192838</v>
      </c>
      <c r="N28" s="229">
        <f>SUM($K$21:K28)/C28</f>
        <v>2375.47703078829</v>
      </c>
      <c r="O28" s="229">
        <f>K28/D28*100</f>
        <v>8.2307578430295236E-2</v>
      </c>
      <c r="P28" s="229">
        <f>AVERAGE($O$21:O28)</f>
        <v>6.5884034910203022</v>
      </c>
      <c r="Q28" s="231">
        <f>SUM($J$21:J28)/N28</f>
        <v>-5.68628208883593</v>
      </c>
    </row>
    <row r="29" spans="1:17" x14ac:dyDescent="0.25">
      <c r="A29" s="226"/>
      <c r="B29" s="226" t="s">
        <v>335</v>
      </c>
      <c r="C29" s="226">
        <v>9</v>
      </c>
      <c r="D29" s="81">
        <f t="shared" si="1"/>
        <v>62000</v>
      </c>
      <c r="E29" s="227">
        <f t="shared" si="6"/>
        <v>61666.666666666664</v>
      </c>
      <c r="F29" s="227">
        <f t="shared" si="2"/>
        <v>60692.307692307688</v>
      </c>
      <c r="G29" s="228">
        <f t="shared" si="3"/>
        <v>1.0215462610899875</v>
      </c>
      <c r="H29" s="229">
        <f t="shared" si="4"/>
        <v>61095.777451353017</v>
      </c>
      <c r="I29" s="230"/>
      <c r="J29" s="229">
        <f>H29-D29</f>
        <v>-904.22254864698334</v>
      </c>
      <c r="K29" s="229">
        <f t="shared" si="5"/>
        <v>904.22254864698334</v>
      </c>
      <c r="L29" s="229">
        <f>SUM($J$21:J29)</f>
        <v>-14411.855041259594</v>
      </c>
      <c r="M29" s="229">
        <f>SUMSQ($J$21:J29)/C29</f>
        <v>7096827.3807804836</v>
      </c>
      <c r="N29" s="229">
        <f>SUM($K$21:K29)/C29</f>
        <v>2212.0043105503669</v>
      </c>
      <c r="O29" s="229">
        <f>K29/D29*100</f>
        <v>1.4584234655596506</v>
      </c>
      <c r="P29" s="229">
        <f>AVERAGE($O$21:O29)</f>
        <v>6.0184057104135631</v>
      </c>
      <c r="Q29" s="231">
        <f>SUM($J$21:J29)/N29</f>
        <v>-6.51529247593274</v>
      </c>
    </row>
    <row r="30" spans="1:17" x14ac:dyDescent="0.25">
      <c r="A30" s="226"/>
      <c r="B30" s="226" t="s">
        <v>336</v>
      </c>
      <c r="C30" s="226">
        <v>10</v>
      </c>
      <c r="D30" s="81">
        <f t="shared" si="1"/>
        <v>67000</v>
      </c>
      <c r="E30" s="227">
        <f t="shared" si="6"/>
        <v>65250</v>
      </c>
      <c r="F30" s="227">
        <f t="shared" si="2"/>
        <v>65211.538461538468</v>
      </c>
      <c r="G30" s="228">
        <f t="shared" si="3"/>
        <v>1.0274255381893245</v>
      </c>
      <c r="H30" s="229">
        <f t="shared" si="4"/>
        <v>65645.051120892938</v>
      </c>
      <c r="I30" s="230"/>
      <c r="J30" s="229">
        <f>H30-D30</f>
        <v>-1354.9488791070617</v>
      </c>
      <c r="K30" s="229">
        <f t="shared" si="5"/>
        <v>1354.9488791070617</v>
      </c>
      <c r="L30" s="229">
        <f>SUM($J$21:J30)</f>
        <v>-15766.803920366656</v>
      </c>
      <c r="M30" s="229">
        <f>SUMSQ($J$21:J30)/C30</f>
        <v>6570733.289201783</v>
      </c>
      <c r="N30" s="229">
        <f>SUM($K$21:K30)/C30</f>
        <v>2126.2987674060364</v>
      </c>
      <c r="O30" s="229">
        <f>K30/D30*100</f>
        <v>2.0223117598612861</v>
      </c>
      <c r="P30" s="229">
        <f>AVERAGE($O$21:O30)</f>
        <v>5.6187963153583356</v>
      </c>
      <c r="Q30" s="231">
        <f>SUM($J$21:J30)/N30</f>
        <v>-7.4151404130291905</v>
      </c>
    </row>
    <row r="31" spans="1:17" x14ac:dyDescent="0.25">
      <c r="A31" s="226"/>
      <c r="B31" s="226" t="s">
        <v>337</v>
      </c>
      <c r="C31" s="226">
        <v>11</v>
      </c>
      <c r="D31" s="81">
        <f t="shared" si="1"/>
        <v>71000</v>
      </c>
      <c r="E31" s="227">
        <f>(D28+D34+2*SUM(D29:D33))/(2*6)</f>
        <v>68208.333333333328</v>
      </c>
      <c r="F31" s="227">
        <f t="shared" si="2"/>
        <v>69730.769230769234</v>
      </c>
      <c r="G31" s="228">
        <f t="shared" si="3"/>
        <v>1.0182018753447324</v>
      </c>
      <c r="H31" s="229">
        <f t="shared" si="4"/>
        <v>70194.324790432845</v>
      </c>
      <c r="I31" s="230"/>
      <c r="J31" s="229">
        <f>H31-D31</f>
        <v>-805.67520956715452</v>
      </c>
      <c r="K31" s="229">
        <f t="shared" si="5"/>
        <v>805.67520956715452</v>
      </c>
      <c r="L31" s="229">
        <f>SUM($J$21:J31)</f>
        <v>-16572.47912993381</v>
      </c>
      <c r="M31" s="229">
        <f>SUMSQ($J$21:J31)/C31</f>
        <v>6032404.1304844469</v>
      </c>
      <c r="N31" s="229">
        <f>SUM($K$21:K31)/C31</f>
        <v>2006.2420803297746</v>
      </c>
      <c r="O31" s="229">
        <f>K31/D31*100</f>
        <v>1.134753816291767</v>
      </c>
      <c r="P31" s="229">
        <f>AVERAGE($O$21:O31)</f>
        <v>5.2111560881704655</v>
      </c>
      <c r="Q31" s="231">
        <f>SUM($J$21:J31)/N31</f>
        <v>-8.2604583426989642</v>
      </c>
    </row>
    <row r="32" spans="1:17" x14ac:dyDescent="0.25">
      <c r="A32" s="226"/>
      <c r="B32" s="226" t="s">
        <v>338</v>
      </c>
      <c r="C32" s="226">
        <v>12</v>
      </c>
      <c r="D32" s="81">
        <f t="shared" si="1"/>
        <v>72000</v>
      </c>
      <c r="E32" s="227">
        <f t="shared" ref="E32:E38" si="7">(D29+D35+2*SUM(D30:D34))/(2*6)</f>
        <v>70416.666666666672</v>
      </c>
      <c r="F32" s="227">
        <f t="shared" si="2"/>
        <v>74250</v>
      </c>
      <c r="G32" s="228">
        <f t="shared" si="3"/>
        <v>0.96969696969696972</v>
      </c>
      <c r="H32" s="229">
        <f t="shared" si="4"/>
        <v>74743.598459972753</v>
      </c>
      <c r="I32" s="230"/>
      <c r="J32" s="229">
        <f>H32-D32</f>
        <v>2743.5984599727526</v>
      </c>
      <c r="K32" s="229">
        <f t="shared" si="5"/>
        <v>2743.5984599727526</v>
      </c>
      <c r="L32" s="229">
        <f>SUM($J$21:J32)</f>
        <v>-13828.880669961058</v>
      </c>
      <c r="M32" s="229">
        <f>SUMSQ($J$21:J32)/C32</f>
        <v>6156981.4954078151</v>
      </c>
      <c r="N32" s="229">
        <f>SUM($K$21:K32)/C32</f>
        <v>2067.6884453000225</v>
      </c>
      <c r="O32" s="229">
        <f>K32/D32*100</f>
        <v>3.8105534166288231</v>
      </c>
      <c r="P32" s="229">
        <f>AVERAGE($O$21:O32)</f>
        <v>5.094439198875329</v>
      </c>
      <c r="Q32" s="231">
        <f>SUM($J$21:J32)/N32</f>
        <v>-6.6880872219385452</v>
      </c>
    </row>
    <row r="33" spans="1:34" x14ac:dyDescent="0.25">
      <c r="A33" s="226" t="s">
        <v>319</v>
      </c>
      <c r="B33" s="226" t="s">
        <v>323</v>
      </c>
      <c r="C33" s="226">
        <v>13</v>
      </c>
      <c r="D33" s="232">
        <f>D4</f>
        <v>73000</v>
      </c>
      <c r="E33" s="227">
        <f t="shared" si="7"/>
        <v>71750</v>
      </c>
      <c r="F33" s="227">
        <f t="shared" ref="F23:F80" si="8">$T$52+C33*$T$53</f>
        <v>72622.023809523802</v>
      </c>
      <c r="G33" s="228">
        <f>D33/F33</f>
        <v>1.0052047047252164</v>
      </c>
      <c r="H33" s="229">
        <f>($T$52+C33*$T$53)*$T$59</f>
        <v>73641.340965155759</v>
      </c>
      <c r="I33" s="230"/>
      <c r="J33" s="229">
        <f>H33-D33</f>
        <v>641.34096515575948</v>
      </c>
      <c r="K33" s="229">
        <f t="shared" si="5"/>
        <v>641.34096515575948</v>
      </c>
      <c r="L33" s="229">
        <f>SUM($J$21:J33)</f>
        <v>-13187.539704805298</v>
      </c>
      <c r="M33" s="229">
        <f>SUMSQ($J$21:J33)/C33</f>
        <v>5715007.3983446695</v>
      </c>
      <c r="N33" s="229">
        <f>SUM($K$21:K33)/C33</f>
        <v>1957.9694083658485</v>
      </c>
      <c r="O33" s="229">
        <f>K33/D33*100</f>
        <v>0.87854926733665684</v>
      </c>
      <c r="P33" s="229">
        <f>AVERAGE($O$21:O33)</f>
        <v>4.7701399733723537</v>
      </c>
      <c r="Q33" s="231">
        <f>SUM($J$21:J33)/N33</f>
        <v>-6.7353144785912784</v>
      </c>
    </row>
    <row r="34" spans="1:34" x14ac:dyDescent="0.25">
      <c r="A34" s="226"/>
      <c r="B34" s="226" t="s">
        <v>326</v>
      </c>
      <c r="C34" s="226">
        <v>14</v>
      </c>
      <c r="D34" s="232">
        <f t="shared" ref="D34:D44" si="9">D5</f>
        <v>72000</v>
      </c>
      <c r="E34" s="227">
        <f t="shared" si="7"/>
        <v>72166.666666666672</v>
      </c>
      <c r="F34" s="227">
        <f t="shared" si="8"/>
        <v>73118.604356636264</v>
      </c>
      <c r="G34" s="228">
        <f t="shared" si="3"/>
        <v>0.98470150837151826</v>
      </c>
      <c r="H34" s="229">
        <f>($T$52+C34*$T$53)*$T$59</f>
        <v>74144.891478736681</v>
      </c>
      <c r="I34" s="230"/>
      <c r="J34" s="229">
        <f>H34-D34</f>
        <v>2144.8914787366812</v>
      </c>
      <c r="K34" s="229">
        <f t="shared" si="5"/>
        <v>2144.8914787366812</v>
      </c>
      <c r="L34" s="229">
        <f>SUM($J$21:J34)</f>
        <v>-11042.648226068617</v>
      </c>
      <c r="M34" s="229">
        <f>SUMSQ($J$21:J34)/C34</f>
        <v>5635403.9738598522</v>
      </c>
      <c r="N34" s="229">
        <f>SUM($K$21:K34)/C34</f>
        <v>1971.3209848209081</v>
      </c>
      <c r="O34" s="229">
        <f>K34/D34*100</f>
        <v>2.9790159426898351</v>
      </c>
      <c r="P34" s="229">
        <f>AVERAGE($O$21:O34)</f>
        <v>4.6422025426093176</v>
      </c>
      <c r="Q34" s="231">
        <f>SUM($J$21:J34)/N34</f>
        <v>-5.6016490014039126</v>
      </c>
    </row>
    <row r="35" spans="1:34" x14ac:dyDescent="0.25">
      <c r="A35" s="226"/>
      <c r="B35" s="226" t="s">
        <v>327</v>
      </c>
      <c r="C35" s="226">
        <v>15</v>
      </c>
      <c r="D35" s="232">
        <f t="shared" si="9"/>
        <v>73000</v>
      </c>
      <c r="E35" s="227">
        <f t="shared" si="7"/>
        <v>72250</v>
      </c>
      <c r="F35" s="227">
        <f t="shared" si="8"/>
        <v>73615.184903748726</v>
      </c>
      <c r="G35" s="228">
        <f t="shared" si="3"/>
        <v>0.99164323359979223</v>
      </c>
      <c r="H35" s="229">
        <f>($T$52+C35*$T$53)*$T$60</f>
        <v>74321.85180566911</v>
      </c>
      <c r="I35" s="230"/>
      <c r="J35" s="229">
        <f>H35-D35</f>
        <v>1321.85180566911</v>
      </c>
      <c r="K35" s="229">
        <f t="shared" si="5"/>
        <v>1321.85180566911</v>
      </c>
      <c r="L35" s="229">
        <f>SUM($J$21:J35)</f>
        <v>-9720.796420399507</v>
      </c>
      <c r="M35" s="229">
        <f>SUMSQ($J$21:J35)/C35</f>
        <v>5376196.5220125746</v>
      </c>
      <c r="N35" s="229">
        <f>SUM($K$21:K35)/C35</f>
        <v>1928.0230395441215</v>
      </c>
      <c r="O35" s="229">
        <f>K35/D35*100</f>
        <v>1.810755898176863</v>
      </c>
      <c r="P35" s="229">
        <f>AVERAGE($O$21:O35)</f>
        <v>4.4534394329804874</v>
      </c>
      <c r="Q35" s="231">
        <f>SUM($J$21:J35)/N35</f>
        <v>-5.0418466071328574</v>
      </c>
    </row>
    <row r="36" spans="1:34" x14ac:dyDescent="0.25">
      <c r="A36" s="226"/>
      <c r="B36" s="226" t="s">
        <v>329</v>
      </c>
      <c r="C36" s="226">
        <v>16</v>
      </c>
      <c r="D36" s="232">
        <f t="shared" si="9"/>
        <v>72000</v>
      </c>
      <c r="E36" s="227">
        <f t="shared" si="7"/>
        <v>72666.666666666672</v>
      </c>
      <c r="F36" s="227">
        <f t="shared" si="8"/>
        <v>74111.765450861189</v>
      </c>
      <c r="G36" s="228">
        <f t="shared" si="3"/>
        <v>0.97150566528790405</v>
      </c>
      <c r="H36" s="229">
        <f>($T$52+C36*$T$53)*$T$61</f>
        <v>73549.868331194884</v>
      </c>
      <c r="I36" s="230"/>
      <c r="J36" s="229">
        <f>H36-D36</f>
        <v>1549.8683311948844</v>
      </c>
      <c r="K36" s="229">
        <f t="shared" si="5"/>
        <v>1549.8683311948844</v>
      </c>
      <c r="L36" s="229">
        <f>SUM($J$21:J36)</f>
        <v>-8170.9280892046227</v>
      </c>
      <c r="M36" s="229">
        <f>SUMSQ($J$21:J36)/C36</f>
        <v>5190314.9796393393</v>
      </c>
      <c r="N36" s="229">
        <f>SUM($K$21:K36)/C36</f>
        <v>1904.3883702722942</v>
      </c>
      <c r="O36" s="229">
        <f>K36/D36*100</f>
        <v>2.1525949044373394</v>
      </c>
      <c r="P36" s="229">
        <f>AVERAGE($O$21:O36)</f>
        <v>4.3096366499465404</v>
      </c>
      <c r="Q36" s="231">
        <f>SUM($J$21:J36)/N36</f>
        <v>-4.2905786533638217</v>
      </c>
    </row>
    <row r="37" spans="1:34" ht="15.75" thickBot="1" x14ac:dyDescent="0.3">
      <c r="A37" s="226"/>
      <c r="B37" s="226" t="s">
        <v>330</v>
      </c>
      <c r="C37" s="226">
        <v>17</v>
      </c>
      <c r="D37" s="232">
        <f t="shared" si="9"/>
        <v>71000</v>
      </c>
      <c r="E37" s="227">
        <f t="shared" si="7"/>
        <v>73583.333333333328</v>
      </c>
      <c r="F37" s="227">
        <f t="shared" si="8"/>
        <v>74608.345997973651</v>
      </c>
      <c r="G37" s="228">
        <f t="shared" si="3"/>
        <v>0.95163616148156327</v>
      </c>
      <c r="H37" s="229">
        <f>($T$52+C37*$T$53)*$T$62</f>
        <v>73123.690702507709</v>
      </c>
      <c r="I37" s="230"/>
      <c r="J37" s="229">
        <f>H37-D37</f>
        <v>2123.6907025077089</v>
      </c>
      <c r="K37" s="229">
        <f t="shared" si="5"/>
        <v>2123.6907025077089</v>
      </c>
      <c r="L37" s="229">
        <f>SUM($J$21:J37)</f>
        <v>-6047.2373866969137</v>
      </c>
      <c r="M37" s="229">
        <f>SUMSQ($J$21:J37)/C37</f>
        <v>5150300.1102439482</v>
      </c>
      <c r="N37" s="229">
        <f>SUM($K$21:K37)/C37</f>
        <v>1917.2885074626126</v>
      </c>
      <c r="O37" s="229">
        <f>K37/D37*100</f>
        <v>2.9911136655038155</v>
      </c>
      <c r="P37" s="229">
        <f>AVERAGE($O$21:O37)</f>
        <v>4.2320764743910857</v>
      </c>
      <c r="Q37" s="231">
        <f>SUM($J$21:J37)/N37</f>
        <v>-3.1540570775652217</v>
      </c>
    </row>
    <row r="38" spans="1:34" x14ac:dyDescent="0.25">
      <c r="A38" s="226"/>
      <c r="B38" s="226" t="s">
        <v>332</v>
      </c>
      <c r="C38" s="226">
        <v>18</v>
      </c>
      <c r="D38" s="232">
        <f t="shared" si="9"/>
        <v>73000</v>
      </c>
      <c r="E38" s="227">
        <f t="shared" si="7"/>
        <v>74833.333333333328</v>
      </c>
      <c r="F38" s="227">
        <f t="shared" si="8"/>
        <v>75104.926545086113</v>
      </c>
      <c r="G38" s="228">
        <f t="shared" si="3"/>
        <v>0.97197352235179257</v>
      </c>
      <c r="H38" s="229">
        <f>($T$52+C38*$T$53)*$T$63</f>
        <v>73964.480115649392</v>
      </c>
      <c r="I38" s="230"/>
      <c r="J38" s="229">
        <f>H38-D38</f>
        <v>964.48011564939225</v>
      </c>
      <c r="K38" s="229">
        <f t="shared" si="5"/>
        <v>964.48011564939225</v>
      </c>
      <c r="L38" s="229">
        <f>SUM($J$21:J38)</f>
        <v>-5082.7572710475215</v>
      </c>
      <c r="M38" s="229">
        <f>SUMSQ($J$21:J38)/C38</f>
        <v>4915851.3204238992</v>
      </c>
      <c r="N38" s="229">
        <f>SUM($K$21:K38)/C38</f>
        <v>1864.3547079174339</v>
      </c>
      <c r="O38" s="229">
        <f>K38/D38*100</f>
        <v>1.3212056378758799</v>
      </c>
      <c r="P38" s="229">
        <f>AVERAGE($O$21:O38)</f>
        <v>4.0703614279180194</v>
      </c>
      <c r="Q38" s="231">
        <f>SUM($J$21:J38)/N38</f>
        <v>-2.7262823160541081</v>
      </c>
      <c r="S38" s="255" t="s">
        <v>357</v>
      </c>
      <c r="T38" s="255"/>
      <c r="AC38" s="255" t="s">
        <v>357</v>
      </c>
      <c r="AD38" s="255"/>
    </row>
    <row r="39" spans="1:34" x14ac:dyDescent="0.25">
      <c r="A39" s="226"/>
      <c r="B39" s="226" t="s">
        <v>333</v>
      </c>
      <c r="C39" s="226">
        <v>19</v>
      </c>
      <c r="D39" s="232">
        <f t="shared" si="9"/>
        <v>77000</v>
      </c>
      <c r="E39" s="227">
        <f t="shared" ref="E39:E74" si="10">(D33+D45+2*SUM(D34:D44))/(2*12)</f>
        <v>76916.666666666672</v>
      </c>
      <c r="F39" s="227">
        <f t="shared" si="8"/>
        <v>75601.507092198575</v>
      </c>
      <c r="G39" s="228">
        <f t="shared" si="3"/>
        <v>1.0184982146731005</v>
      </c>
      <c r="H39" s="229">
        <f>($T$52+C39*$T$53)*$T$64</f>
        <v>75644.465586234757</v>
      </c>
      <c r="I39" s="230"/>
      <c r="J39" s="229">
        <f>H39-D39</f>
        <v>-1355.5344137652428</v>
      </c>
      <c r="K39" s="229">
        <f t="shared" si="5"/>
        <v>1355.5344137652428</v>
      </c>
      <c r="L39" s="229">
        <f>SUM($J$21:J39)</f>
        <v>-6438.2916848127643</v>
      </c>
      <c r="M39" s="229">
        <f>SUMSQ($J$21:J39)/C39</f>
        <v>4753831.4376069512</v>
      </c>
      <c r="N39" s="229">
        <f>SUM($K$21:K39)/C39</f>
        <v>1837.5746924357395</v>
      </c>
      <c r="O39" s="229">
        <f>K39/D39*100</f>
        <v>1.7604343035912244</v>
      </c>
      <c r="P39" s="229">
        <f>AVERAGE($O$21:O39)</f>
        <v>3.9487863161113457</v>
      </c>
      <c r="Q39" s="231">
        <f>SUM($J$21:J39)/N39</f>
        <v>-3.5036897881297486</v>
      </c>
      <c r="S39" s="252" t="s">
        <v>358</v>
      </c>
      <c r="T39" s="252">
        <v>0.90649396256610371</v>
      </c>
      <c r="AC39" s="252" t="s">
        <v>358</v>
      </c>
      <c r="AD39" s="252">
        <v>0.95947486550047167</v>
      </c>
    </row>
    <row r="40" spans="1:34" x14ac:dyDescent="0.25">
      <c r="A40" s="226"/>
      <c r="B40" s="226" t="s">
        <v>334</v>
      </c>
      <c r="C40" s="226">
        <v>20</v>
      </c>
      <c r="D40" s="232">
        <f t="shared" si="9"/>
        <v>79000</v>
      </c>
      <c r="E40" s="227">
        <f t="shared" si="10"/>
        <v>77333.333333333328</v>
      </c>
      <c r="F40" s="227">
        <f>$T$52+C40*$T$53</f>
        <v>76098.087639311037</v>
      </c>
      <c r="G40" s="228">
        <f t="shared" si="3"/>
        <v>1.0381338408192782</v>
      </c>
      <c r="H40" s="229">
        <f>($T$52+C40*$T$53)*$T$65</f>
        <v>77587.852231778132</v>
      </c>
      <c r="I40" s="230"/>
      <c r="J40" s="229">
        <f>H40-D40</f>
        <v>-1412.1477682218683</v>
      </c>
      <c r="K40" s="229">
        <f t="shared" si="5"/>
        <v>1412.1477682218683</v>
      </c>
      <c r="L40" s="229">
        <f>SUM($J$21:J40)</f>
        <v>-7850.4394530346326</v>
      </c>
      <c r="M40" s="229">
        <f>SUMSQ($J$21:J40)/C40</f>
        <v>4615847.9316913038</v>
      </c>
      <c r="N40" s="229">
        <f>SUM($K$21:K40)/C40</f>
        <v>1816.303346225046</v>
      </c>
      <c r="O40" s="229">
        <f>K40/D40*100</f>
        <v>1.7875288205340105</v>
      </c>
      <c r="P40" s="229">
        <f>AVERAGE($O$21:O40)</f>
        <v>3.8407234413324787</v>
      </c>
      <c r="Q40" s="231">
        <f>SUM($J$21:J40)/N40</f>
        <v>-4.3222072289580735</v>
      </c>
      <c r="S40" s="252" t="s">
        <v>359</v>
      </c>
      <c r="T40" s="252">
        <v>0.82173130416879658</v>
      </c>
      <c r="AC40" s="252" t="s">
        <v>359</v>
      </c>
      <c r="AD40" s="252">
        <v>0.92059201752714814</v>
      </c>
    </row>
    <row r="41" spans="1:34" x14ac:dyDescent="0.25">
      <c r="A41" s="226"/>
      <c r="B41" s="226" t="s">
        <v>335</v>
      </c>
      <c r="C41" s="226">
        <v>21</v>
      </c>
      <c r="D41" s="232">
        <f t="shared" si="9"/>
        <v>81000</v>
      </c>
      <c r="E41" s="227">
        <f t="shared" si="10"/>
        <v>77500</v>
      </c>
      <c r="F41" s="227">
        <f t="shared" si="8"/>
        <v>76594.6681864235</v>
      </c>
      <c r="G41" s="228">
        <f t="shared" si="3"/>
        <v>1.0575148625600725</v>
      </c>
      <c r="H41" s="229">
        <f>($T$52+C41*$T$53)*$T$66</f>
        <v>77907.433930262574</v>
      </c>
      <c r="I41" s="230"/>
      <c r="J41" s="229">
        <f>H41-D41</f>
        <v>-3092.566069737426</v>
      </c>
      <c r="K41" s="229">
        <f t="shared" si="5"/>
        <v>3092.566069737426</v>
      </c>
      <c r="L41" s="229">
        <f>SUM($J$21:J41)</f>
        <v>-10943.005522772059</v>
      </c>
      <c r="M41" s="229">
        <f>SUMSQ($J$21:J41)/C41</f>
        <v>4851472.5490246313</v>
      </c>
      <c r="N41" s="229">
        <f>SUM($K$21:K41)/C41</f>
        <v>1877.0777616303974</v>
      </c>
      <c r="O41" s="229">
        <f>K41/D41*100</f>
        <v>3.8179828021449702</v>
      </c>
      <c r="P41" s="229">
        <f>AVERAGE($O$21:O41)</f>
        <v>3.8396405537521212</v>
      </c>
      <c r="Q41" s="231">
        <f>SUM($J$21:J41)/N41</f>
        <v>-5.8298093698937397</v>
      </c>
      <c r="S41" s="252" t="s">
        <v>360</v>
      </c>
      <c r="T41" s="252">
        <v>0.81785589773768352</v>
      </c>
      <c r="AC41" s="252" t="s">
        <v>360</v>
      </c>
      <c r="AD41" s="252">
        <v>0.91337311002961608</v>
      </c>
    </row>
    <row r="42" spans="1:34" x14ac:dyDescent="0.25">
      <c r="A42" s="226"/>
      <c r="B42" s="226" t="s">
        <v>336</v>
      </c>
      <c r="C42" s="226">
        <v>22</v>
      </c>
      <c r="D42" s="232">
        <f t="shared" si="9"/>
        <v>84000</v>
      </c>
      <c r="E42" s="227">
        <f t="shared" si="10"/>
        <v>77500</v>
      </c>
      <c r="F42" s="227">
        <f t="shared" si="8"/>
        <v>77091.248733535962</v>
      </c>
      <c r="G42" s="228">
        <f t="shared" si="3"/>
        <v>1.0896178409347599</v>
      </c>
      <c r="H42" s="229">
        <f>($T$52+C42*$T$53)*$T$67</f>
        <v>78601.134161842943</v>
      </c>
      <c r="I42" s="230"/>
      <c r="J42" s="229">
        <f>H42-D42</f>
        <v>-5398.8658381570567</v>
      </c>
      <c r="K42" s="229">
        <f t="shared" si="5"/>
        <v>5398.8658381570567</v>
      </c>
      <c r="L42" s="229">
        <f>SUM($J$21:J42)</f>
        <v>-16341.871360929115</v>
      </c>
      <c r="M42" s="229">
        <f>SUMSQ($J$21:J42)/C42</f>
        <v>5955848.9030880257</v>
      </c>
      <c r="N42" s="229">
        <f>SUM($K$21:K42)/C42</f>
        <v>2037.1590378361545</v>
      </c>
      <c r="O42" s="229">
        <f>K42/D42*100</f>
        <v>6.4272212359012579</v>
      </c>
      <c r="P42" s="229">
        <f>AVERAGE($O$21:O42)</f>
        <v>3.9572578574861725</v>
      </c>
      <c r="Q42" s="231">
        <f>SUM($J$21:J42)/N42</f>
        <v>-8.0218927719493376</v>
      </c>
      <c r="S42" s="252" t="s">
        <v>361</v>
      </c>
      <c r="T42" s="252">
        <v>3273.1083282220106</v>
      </c>
      <c r="AC42" s="252" t="s">
        <v>361</v>
      </c>
      <c r="AD42" s="252">
        <v>5398.8635167715847</v>
      </c>
    </row>
    <row r="43" spans="1:34" ht="15.75" thickBot="1" x14ac:dyDescent="0.3">
      <c r="A43" s="226"/>
      <c r="B43" s="226" t="s">
        <v>337</v>
      </c>
      <c r="C43" s="226">
        <v>23</v>
      </c>
      <c r="D43" s="232">
        <f t="shared" si="9"/>
        <v>83000</v>
      </c>
      <c r="E43" s="227">
        <f t="shared" si="10"/>
        <v>77666.666666666672</v>
      </c>
      <c r="F43" s="227">
        <f t="shared" si="8"/>
        <v>77587.829280648424</v>
      </c>
      <c r="G43" s="228">
        <f t="shared" si="3"/>
        <v>1.0697554084130234</v>
      </c>
      <c r="H43" s="229">
        <f>($T$52+C43*$T$53)*$T$68</f>
        <v>78875.207485450243</v>
      </c>
      <c r="I43" s="230"/>
      <c r="J43" s="229">
        <f>H43-D43</f>
        <v>-4124.7925145497575</v>
      </c>
      <c r="K43" s="229">
        <f t="shared" si="5"/>
        <v>4124.7925145497575</v>
      </c>
      <c r="L43" s="229">
        <f>SUM($J$21:J43)</f>
        <v>-20466.663875478873</v>
      </c>
      <c r="M43" s="229">
        <f>SUMSQ($J$21:J43)/C43</f>
        <v>6436634.3111314038</v>
      </c>
      <c r="N43" s="229">
        <f>SUM($K$21:K43)/C43</f>
        <v>2127.9257107367462</v>
      </c>
      <c r="O43" s="229">
        <f>K43/D43*100</f>
        <v>4.9696295356021176</v>
      </c>
      <c r="P43" s="229">
        <f>AVERAGE($O$21:O43)</f>
        <v>4.0012740174042571</v>
      </c>
      <c r="Q43" s="231">
        <f>SUM($J$21:J43)/N43</f>
        <v>-9.6181289469888274</v>
      </c>
      <c r="S43" s="253" t="s">
        <v>362</v>
      </c>
      <c r="T43" s="253">
        <v>48</v>
      </c>
      <c r="AC43" s="253" t="s">
        <v>362</v>
      </c>
      <c r="AD43" s="253">
        <v>13</v>
      </c>
    </row>
    <row r="44" spans="1:34" x14ac:dyDescent="0.25">
      <c r="A44" s="226"/>
      <c r="B44" s="226" t="s">
        <v>338</v>
      </c>
      <c r="C44" s="226">
        <v>24</v>
      </c>
      <c r="D44" s="232">
        <f t="shared" si="9"/>
        <v>82000</v>
      </c>
      <c r="E44" s="227">
        <f>(D38+D50+2*SUM(D39:D49))/(2*12)</f>
        <v>78000</v>
      </c>
      <c r="F44" s="227">
        <f t="shared" si="8"/>
        <v>78084.409827760886</v>
      </c>
      <c r="G44" s="228">
        <f t="shared" si="3"/>
        <v>1.0501456075659168</v>
      </c>
      <c r="H44" s="229">
        <f>($T$52+C44*$T$53)*$T$69</f>
        <v>79958.350276111218</v>
      </c>
      <c r="I44" s="230"/>
      <c r="J44" s="229">
        <f>H44-D44</f>
        <v>-2041.6497238887823</v>
      </c>
      <c r="K44" s="229">
        <f t="shared" si="5"/>
        <v>2041.6497238887823</v>
      </c>
      <c r="L44" s="229">
        <f>SUM($J$21:J44)</f>
        <v>-22508.313599367655</v>
      </c>
      <c r="M44" s="229">
        <f>SUMSQ($J$21:J44)/C44</f>
        <v>6342121.7812948925</v>
      </c>
      <c r="N44" s="229">
        <f>SUM($K$21:K44)/C44</f>
        <v>2124.3308779514141</v>
      </c>
      <c r="O44" s="229">
        <f>K44/D44*100</f>
        <v>2.4898167364497343</v>
      </c>
      <c r="P44" s="229">
        <f>AVERAGE($O$21:O44)</f>
        <v>3.9382966306978191</v>
      </c>
      <c r="Q44" s="231">
        <f>SUM($J$21:J44)/N44</f>
        <v>-10.595483892355514</v>
      </c>
    </row>
    <row r="45" spans="1:34" ht="15.75" thickBot="1" x14ac:dyDescent="0.3">
      <c r="A45" s="226" t="s">
        <v>320</v>
      </c>
      <c r="B45" s="226" t="s">
        <v>323</v>
      </c>
      <c r="C45" s="226">
        <v>25</v>
      </c>
      <c r="D45" s="232">
        <f>E4</f>
        <v>79000</v>
      </c>
      <c r="E45" s="227">
        <f t="shared" si="10"/>
        <v>78250</v>
      </c>
      <c r="F45" s="227">
        <f t="shared" si="8"/>
        <v>78580.990374873349</v>
      </c>
      <c r="G45" s="228">
        <f t="shared" si="3"/>
        <v>1.0053322008685275</v>
      </c>
      <c r="H45" s="229">
        <f>($T$52+C45*$T$53)*$T$58</f>
        <v>79103.380352411012</v>
      </c>
      <c r="I45" s="230"/>
      <c r="J45" s="229">
        <f>H45-D45</f>
        <v>103.3803524110117</v>
      </c>
      <c r="K45" s="229">
        <f t="shared" si="5"/>
        <v>103.3803524110117</v>
      </c>
      <c r="L45" s="229">
        <f>SUM($J$21:J45)</f>
        <v>-22404.933246956643</v>
      </c>
      <c r="M45" s="229">
        <f>SUMSQ($J$21:J45)/C45</f>
        <v>6088864.4099336816</v>
      </c>
      <c r="N45" s="229">
        <f>SUM($K$21:K45)/C45</f>
        <v>2043.4928569297981</v>
      </c>
      <c r="O45" s="229">
        <f>K45/D45*100</f>
        <v>0.13086120558355913</v>
      </c>
      <c r="P45" s="229">
        <f>AVERAGE($O$21:O45)</f>
        <v>3.7859992136932488</v>
      </c>
      <c r="Q45" s="231">
        <f>SUM($J$21:J45)/N45</f>
        <v>-10.964037956373605</v>
      </c>
      <c r="S45" t="s">
        <v>363</v>
      </c>
      <c r="AC45" t="s">
        <v>363</v>
      </c>
    </row>
    <row r="46" spans="1:34" x14ac:dyDescent="0.25">
      <c r="A46" s="226"/>
      <c r="B46" s="226" t="s">
        <v>326</v>
      </c>
      <c r="C46" s="226">
        <v>26</v>
      </c>
      <c r="D46" s="232">
        <f t="shared" ref="D46:D56" si="11">E5</f>
        <v>76000</v>
      </c>
      <c r="E46" s="227">
        <f t="shared" si="10"/>
        <v>78416.666666666672</v>
      </c>
      <c r="F46" s="227">
        <f t="shared" si="8"/>
        <v>79077.570921985811</v>
      </c>
      <c r="G46" s="228">
        <f t="shared" si="3"/>
        <v>0.96108162041267053</v>
      </c>
      <c r="H46" s="229">
        <f>($T$52+C46*$T$53)*$T$59</f>
        <v>80187.497641707872</v>
      </c>
      <c r="I46" s="230"/>
      <c r="J46" s="229">
        <f>H46-D46</f>
        <v>4187.4976417078724</v>
      </c>
      <c r="K46" s="229">
        <f t="shared" si="5"/>
        <v>4187.4976417078724</v>
      </c>
      <c r="L46" s="229">
        <f>SUM($J$21:J46)</f>
        <v>-18217.435605248771</v>
      </c>
      <c r="M46" s="229">
        <f>SUMSQ($J$21:J46)/C46</f>
        <v>6529105.6441404242</v>
      </c>
      <c r="N46" s="229">
        <f>SUM($K$21:K46)/C46</f>
        <v>2125.9545794212627</v>
      </c>
      <c r="O46" s="229">
        <f>K46/D46*100</f>
        <v>5.5098653180366739</v>
      </c>
      <c r="P46" s="229">
        <f>AVERAGE($O$21:O46)</f>
        <v>3.852301756167996</v>
      </c>
      <c r="Q46" s="231">
        <f>SUM($J$21:J46)/N46</f>
        <v>-8.5690615319768533</v>
      </c>
      <c r="S46" s="254"/>
      <c r="T46" s="254" t="s">
        <v>364</v>
      </c>
      <c r="U46" s="254" t="s">
        <v>365</v>
      </c>
      <c r="V46" s="254" t="s">
        <v>366</v>
      </c>
      <c r="W46" s="254" t="s">
        <v>367</v>
      </c>
      <c r="X46" s="254" t="s">
        <v>368</v>
      </c>
      <c r="AC46" s="254"/>
      <c r="AD46" s="254" t="s">
        <v>364</v>
      </c>
      <c r="AE46" s="254" t="s">
        <v>365</v>
      </c>
      <c r="AF46" s="254" t="s">
        <v>366</v>
      </c>
      <c r="AG46" s="254" t="s">
        <v>367</v>
      </c>
      <c r="AH46" s="254" t="s">
        <v>368</v>
      </c>
    </row>
    <row r="47" spans="1:34" x14ac:dyDescent="0.25">
      <c r="A47" s="226"/>
      <c r="B47" s="226" t="s">
        <v>327</v>
      </c>
      <c r="C47" s="226">
        <v>27</v>
      </c>
      <c r="D47" s="232">
        <f t="shared" si="11"/>
        <v>73000</v>
      </c>
      <c r="E47" s="227">
        <f t="shared" si="10"/>
        <v>78583.333333333328</v>
      </c>
      <c r="F47" s="227">
        <f t="shared" si="8"/>
        <v>79574.151469098273</v>
      </c>
      <c r="G47" s="228">
        <f t="shared" si="3"/>
        <v>0.91738332928813859</v>
      </c>
      <c r="H47" s="229">
        <f>($T$52+C47*$T$53)*$T$60</f>
        <v>80338.021303360525</v>
      </c>
      <c r="I47" s="230"/>
      <c r="J47" s="229">
        <f>H47-D47</f>
        <v>7338.0213033605251</v>
      </c>
      <c r="K47" s="229">
        <f t="shared" si="5"/>
        <v>7338.0213033605251</v>
      </c>
      <c r="L47" s="229">
        <f>SUM($J$21:J47)</f>
        <v>-10879.414301888246</v>
      </c>
      <c r="M47" s="229">
        <f>SUMSQ($J$21:J47)/C47</f>
        <v>8281603.829489775</v>
      </c>
      <c r="N47" s="229">
        <f>SUM($K$21:K47)/C47</f>
        <v>2318.9940877153094</v>
      </c>
      <c r="O47" s="229">
        <f>K47/D47*100</f>
        <v>10.052083977206198</v>
      </c>
      <c r="P47" s="229">
        <f>AVERAGE($O$21:O47)</f>
        <v>4.0819233199101514</v>
      </c>
      <c r="Q47" s="231">
        <f>SUM($J$21:J47)/N47</f>
        <v>-4.6914368430351319</v>
      </c>
      <c r="S47" s="252" t="s">
        <v>369</v>
      </c>
      <c r="T47" s="252">
        <v>1</v>
      </c>
      <c r="U47" s="252">
        <v>2271607712.7659569</v>
      </c>
      <c r="V47" s="252">
        <v>2271607712.7659569</v>
      </c>
      <c r="W47" s="252">
        <v>212.03745175516312</v>
      </c>
      <c r="X47" s="252">
        <v>7.6492871944363663E-19</v>
      </c>
      <c r="AC47" s="252" t="s">
        <v>369</v>
      </c>
      <c r="AD47" s="252">
        <v>1</v>
      </c>
      <c r="AE47" s="252">
        <v>3717067307.6923089</v>
      </c>
      <c r="AF47" s="252">
        <v>3717067307.6923089</v>
      </c>
      <c r="AG47" s="252">
        <v>127.52511620932688</v>
      </c>
      <c r="AH47" s="252">
        <v>2.1665250890965472E-7</v>
      </c>
    </row>
    <row r="48" spans="1:34" x14ac:dyDescent="0.25">
      <c r="A48" s="226"/>
      <c r="B48" s="226" t="s">
        <v>329</v>
      </c>
      <c r="C48" s="226">
        <v>28</v>
      </c>
      <c r="D48" s="232">
        <f t="shared" si="11"/>
        <v>72000</v>
      </c>
      <c r="E48" s="227">
        <f t="shared" si="10"/>
        <v>78708.333333333328</v>
      </c>
      <c r="F48" s="227">
        <f t="shared" si="8"/>
        <v>80070.732016210735</v>
      </c>
      <c r="G48" s="228">
        <f t="shared" si="3"/>
        <v>0.89920496774555814</v>
      </c>
      <c r="H48" s="229">
        <f>($T$52+C48*$T$53)*$T$61</f>
        <v>79463.655482332833</v>
      </c>
      <c r="I48" s="230"/>
      <c r="J48" s="229">
        <f>H48-D48</f>
        <v>7463.6554823328333</v>
      </c>
      <c r="K48" s="229">
        <f t="shared" si="5"/>
        <v>7463.6554823328333</v>
      </c>
      <c r="L48" s="229">
        <f>SUM($J$21:J48)</f>
        <v>-3415.7588195554126</v>
      </c>
      <c r="M48" s="229">
        <f>SUMSQ($J$21:J48)/C48</f>
        <v>9975337.7341136038</v>
      </c>
      <c r="N48" s="229">
        <f>SUM($K$21:K48)/C48</f>
        <v>2502.731994665935</v>
      </c>
      <c r="O48" s="229">
        <f>K48/D48*100</f>
        <v>10.366188169906714</v>
      </c>
      <c r="P48" s="229">
        <f>AVERAGE($O$21:O48)</f>
        <v>4.3063613502671716</v>
      </c>
      <c r="Q48" s="231">
        <f>SUM($J$21:J48)/N48</f>
        <v>-1.3648120641105037</v>
      </c>
      <c r="S48" s="252" t="s">
        <v>370</v>
      </c>
      <c r="T48" s="252">
        <v>46</v>
      </c>
      <c r="U48" s="252">
        <v>492808953.90070909</v>
      </c>
      <c r="V48" s="252">
        <v>10713238.128276285</v>
      </c>
      <c r="W48" s="252"/>
      <c r="X48" s="252"/>
      <c r="AC48" s="252" t="s">
        <v>370</v>
      </c>
      <c r="AD48" s="252">
        <v>11</v>
      </c>
      <c r="AE48" s="252">
        <v>320624999.9999997</v>
      </c>
      <c r="AF48" s="252">
        <v>29147727.272727247</v>
      </c>
      <c r="AG48" s="252"/>
      <c r="AH48" s="252"/>
    </row>
    <row r="49" spans="1:37" ht="15.75" thickBot="1" x14ac:dyDescent="0.3">
      <c r="A49" s="226"/>
      <c r="B49" s="226" t="s">
        <v>330</v>
      </c>
      <c r="C49" s="226">
        <v>29</v>
      </c>
      <c r="D49" s="232">
        <f t="shared" si="11"/>
        <v>75000</v>
      </c>
      <c r="E49" s="227">
        <f t="shared" si="10"/>
        <v>78833.333333333328</v>
      </c>
      <c r="F49" s="227">
        <f t="shared" si="8"/>
        <v>80567.312563323198</v>
      </c>
      <c r="G49" s="228">
        <f t="shared" si="3"/>
        <v>0.93089861897841664</v>
      </c>
      <c r="H49" s="229">
        <f>($T$52+C49*$T$53)*$T$62</f>
        <v>78964.077889794222</v>
      </c>
      <c r="I49" s="230"/>
      <c r="J49" s="229">
        <f>H49-D49</f>
        <v>3964.0778897942218</v>
      </c>
      <c r="K49" s="229">
        <f t="shared" si="5"/>
        <v>3964.0778897942218</v>
      </c>
      <c r="L49" s="229">
        <f>SUM($J$21:J49)</f>
        <v>548.31907023880922</v>
      </c>
      <c r="M49" s="229">
        <f>SUMSQ($J$21:J49)/C49</f>
        <v>10173219.657639183</v>
      </c>
      <c r="N49" s="229">
        <f>SUM($K$21:K49)/C49</f>
        <v>2553.1232324289795</v>
      </c>
      <c r="O49" s="229">
        <f>K49/D49*100</f>
        <v>5.2854371863922962</v>
      </c>
      <c r="P49" s="229">
        <f>AVERAGE($O$21:O49)</f>
        <v>4.3401225859956236</v>
      </c>
      <c r="Q49" s="231">
        <f>SUM($J$21:J49)/N49</f>
        <v>0.21476404400470389</v>
      </c>
      <c r="S49" s="253" t="s">
        <v>339</v>
      </c>
      <c r="T49" s="253">
        <v>47</v>
      </c>
      <c r="U49" s="253">
        <v>2764416666.666666</v>
      </c>
      <c r="V49" s="253"/>
      <c r="W49" s="253"/>
      <c r="X49" s="253"/>
      <c r="AC49" s="253" t="s">
        <v>339</v>
      </c>
      <c r="AD49" s="253">
        <v>12</v>
      </c>
      <c r="AE49" s="253">
        <v>4037692307.6923084</v>
      </c>
      <c r="AF49" s="253"/>
      <c r="AG49" s="253"/>
      <c r="AH49" s="253"/>
    </row>
    <row r="50" spans="1:37" ht="15.75" thickBot="1" x14ac:dyDescent="0.3">
      <c r="A50" s="226"/>
      <c r="B50" s="226" t="s">
        <v>332</v>
      </c>
      <c r="C50" s="226">
        <v>30</v>
      </c>
      <c r="D50" s="232">
        <f t="shared" si="11"/>
        <v>77000</v>
      </c>
      <c r="E50" s="227">
        <f t="shared" si="10"/>
        <v>79125</v>
      </c>
      <c r="F50" s="227">
        <f t="shared" si="8"/>
        <v>81063.89311043566</v>
      </c>
      <c r="G50" s="228">
        <f t="shared" si="3"/>
        <v>0.94986802441255436</v>
      </c>
      <c r="H50" s="229">
        <f>($T$52+C50*$T$53)*$T$63</f>
        <v>79832.961509716522</v>
      </c>
      <c r="I50" s="230"/>
      <c r="J50" s="229">
        <f>H50-D50</f>
        <v>2832.9615097165224</v>
      </c>
      <c r="K50" s="229">
        <f t="shared" si="5"/>
        <v>2832.9615097165224</v>
      </c>
      <c r="L50" s="229">
        <f>SUM($J$21:J50)</f>
        <v>3381.2805799553316</v>
      </c>
      <c r="M50" s="229">
        <f>SUMSQ($J$21:J50)/C50</f>
        <v>10101634.699569054</v>
      </c>
      <c r="N50" s="229">
        <f>SUM($K$21:K50)/C50</f>
        <v>2562.4511750052311</v>
      </c>
      <c r="O50" s="229">
        <f>K50/D50*100</f>
        <v>3.6791707918396392</v>
      </c>
      <c r="P50" s="229">
        <f>AVERAGE($O$21:O50)</f>
        <v>4.3180908595237586</v>
      </c>
      <c r="Q50" s="231">
        <f>SUM($J$21:J50)/N50</f>
        <v>1.3195492710015944</v>
      </c>
    </row>
    <row r="51" spans="1:37" x14ac:dyDescent="0.25">
      <c r="A51" s="226"/>
      <c r="B51" s="226" t="s">
        <v>333</v>
      </c>
      <c r="C51" s="226">
        <v>31</v>
      </c>
      <c r="D51" s="232">
        <f t="shared" si="11"/>
        <v>79000</v>
      </c>
      <c r="E51" s="227">
        <f t="shared" si="10"/>
        <v>79833.333333333328</v>
      </c>
      <c r="F51" s="227">
        <f t="shared" si="8"/>
        <v>81560.473657548122</v>
      </c>
      <c r="G51" s="228">
        <f t="shared" si="3"/>
        <v>0.96860643958127435</v>
      </c>
      <c r="H51" s="229">
        <f>($T$52+C51*$T$53)*$T$64</f>
        <v>81606.818171777617</v>
      </c>
      <c r="I51" s="230"/>
      <c r="J51" s="229">
        <f>H51-D51</f>
        <v>2606.818171777617</v>
      </c>
      <c r="K51" s="229">
        <f t="shared" si="5"/>
        <v>2606.818171777617</v>
      </c>
      <c r="L51" s="229">
        <f>SUM($J$21:J51)</f>
        <v>5988.0987517329486</v>
      </c>
      <c r="M51" s="229">
        <f>SUMSQ($J$21:J51)/C51</f>
        <v>9994985.2247671485</v>
      </c>
      <c r="N51" s="229">
        <f>SUM($K$21:K51)/C51</f>
        <v>2563.8823684495014</v>
      </c>
      <c r="O51" s="229">
        <f>K51/D51*100</f>
        <v>3.2997698376931859</v>
      </c>
      <c r="P51" s="229">
        <f>AVERAGE($O$21:O51)</f>
        <v>4.2852417943034178</v>
      </c>
      <c r="Q51" s="231">
        <f>SUM($J$21:J51)/N51</f>
        <v>2.3355590823592385</v>
      </c>
      <c r="S51" s="254"/>
      <c r="T51" s="254" t="s">
        <v>371</v>
      </c>
      <c r="U51" s="254" t="s">
        <v>361</v>
      </c>
      <c r="V51" s="254" t="s">
        <v>372</v>
      </c>
      <c r="W51" s="254" t="s">
        <v>373</v>
      </c>
      <c r="X51" s="254" t="s">
        <v>374</v>
      </c>
      <c r="Y51" s="254" t="s">
        <v>375</v>
      </c>
      <c r="Z51" s="254" t="s">
        <v>376</v>
      </c>
      <c r="AA51" s="254" t="s">
        <v>377</v>
      </c>
      <c r="AC51" s="254"/>
      <c r="AD51" s="254" t="s">
        <v>371</v>
      </c>
      <c r="AE51" s="254" t="s">
        <v>361</v>
      </c>
      <c r="AF51" s="254" t="s">
        <v>372</v>
      </c>
      <c r="AG51" s="254" t="s">
        <v>373</v>
      </c>
      <c r="AH51" s="254" t="s">
        <v>374</v>
      </c>
      <c r="AI51" s="254" t="s">
        <v>375</v>
      </c>
      <c r="AJ51" s="254" t="s">
        <v>376</v>
      </c>
      <c r="AK51" s="254" t="s">
        <v>377</v>
      </c>
    </row>
    <row r="52" spans="1:37" x14ac:dyDescent="0.25">
      <c r="A52" s="226"/>
      <c r="B52" s="226" t="s">
        <v>334</v>
      </c>
      <c r="C52" s="226">
        <v>32</v>
      </c>
      <c r="D52" s="232">
        <f t="shared" si="11"/>
        <v>81000</v>
      </c>
      <c r="E52" s="227">
        <f t="shared" si="10"/>
        <v>80791.666666666672</v>
      </c>
      <c r="F52" s="227">
        <f t="shared" si="8"/>
        <v>82057.054204660584</v>
      </c>
      <c r="G52" s="228">
        <f t="shared" si="3"/>
        <v>0.98711805810108466</v>
      </c>
      <c r="H52" s="229">
        <f>($T$52+C52*$T$53)*$T$65</f>
        <v>83663.476885026423</v>
      </c>
      <c r="I52" s="230"/>
      <c r="J52" s="229">
        <f>H52-D52</f>
        <v>2663.4768850264227</v>
      </c>
      <c r="K52" s="229">
        <f t="shared" si="5"/>
        <v>2663.4768850264227</v>
      </c>
      <c r="L52" s="229">
        <f>SUM($J$21:J52)</f>
        <v>8651.5756367593713</v>
      </c>
      <c r="M52" s="229">
        <f>SUMSQ($J$21:J52)/C52</f>
        <v>9904332.8464016151</v>
      </c>
      <c r="N52" s="229">
        <f>SUM($K$21:K52)/C52</f>
        <v>2566.9946970925303</v>
      </c>
      <c r="O52" s="229">
        <f>K52/D52*100</f>
        <v>3.2882430679338555</v>
      </c>
      <c r="P52" s="229">
        <f>AVERAGE($O$21:O52)</f>
        <v>4.2540855841043683</v>
      </c>
      <c r="Q52" s="231">
        <f>SUM($J$21:J52)/N52</f>
        <v>3.3703130148879756</v>
      </c>
      <c r="S52" s="252" t="s">
        <v>378</v>
      </c>
      <c r="T52" s="252">
        <v>66166.476697061793</v>
      </c>
      <c r="U52" s="252">
        <v>1331.3726901332648</v>
      </c>
      <c r="V52" s="252">
        <v>49.697937465157715</v>
      </c>
      <c r="W52" s="252">
        <v>1.2577137511601723E-41</v>
      </c>
      <c r="X52" s="252">
        <v>63486.562468571021</v>
      </c>
      <c r="Y52" s="252">
        <v>68846.390925552565</v>
      </c>
      <c r="Z52" s="252">
        <v>63486.562468571021</v>
      </c>
      <c r="AA52" s="252">
        <v>68846.390925552565</v>
      </c>
      <c r="AC52" s="252" t="s">
        <v>378</v>
      </c>
      <c r="AD52" s="252">
        <v>20019.230769230777</v>
      </c>
      <c r="AE52" s="252">
        <v>3176.4127411433628</v>
      </c>
      <c r="AF52" s="252">
        <v>6.3024652023101924</v>
      </c>
      <c r="AG52" s="252">
        <v>5.8173781921553242E-5</v>
      </c>
      <c r="AH52" s="252">
        <v>13027.993463648232</v>
      </c>
      <c r="AI52" s="252">
        <v>27010.468074813321</v>
      </c>
      <c r="AJ52" s="252">
        <v>13027.993463648232</v>
      </c>
      <c r="AK52" s="252">
        <v>27010.468074813321</v>
      </c>
    </row>
    <row r="53" spans="1:37" ht="15.75" thickBot="1" x14ac:dyDescent="0.3">
      <c r="A53" s="226"/>
      <c r="B53" s="226" t="s">
        <v>335</v>
      </c>
      <c r="C53" s="226">
        <v>33</v>
      </c>
      <c r="D53" s="232">
        <f t="shared" si="11"/>
        <v>83000</v>
      </c>
      <c r="E53" s="227">
        <f t="shared" si="10"/>
        <v>81750</v>
      </c>
      <c r="F53" s="227">
        <f t="shared" si="8"/>
        <v>82553.634751773046</v>
      </c>
      <c r="G53" s="228">
        <f t="shared" si="3"/>
        <v>1.0054069726859285</v>
      </c>
      <c r="H53" s="229">
        <f>($T$52+C53*$T$53)*$T$66</f>
        <v>83968.531980229745</v>
      </c>
      <c r="I53" s="230"/>
      <c r="J53" s="229">
        <f>H53-D53</f>
        <v>968.53198022974539</v>
      </c>
      <c r="K53" s="229">
        <f t="shared" si="5"/>
        <v>968.53198022974539</v>
      </c>
      <c r="L53" s="229">
        <f>SUM($J$21:J53)</f>
        <v>9620.1076169891167</v>
      </c>
      <c r="M53" s="229">
        <f>SUMSQ($J$21:J53)/C53</f>
        <v>9632627.4327751342</v>
      </c>
      <c r="N53" s="229">
        <f>SUM($K$21:K53)/C53</f>
        <v>2518.5564329451731</v>
      </c>
      <c r="O53" s="229">
        <f>K53/D53*100</f>
        <v>1.1669060002768017</v>
      </c>
      <c r="P53" s="229">
        <f>AVERAGE($O$21:O53)</f>
        <v>4.1605346876247458</v>
      </c>
      <c r="Q53" s="231">
        <f>SUM($J$21:J53)/N53</f>
        <v>3.8196911100139475</v>
      </c>
      <c r="S53" s="253" t="s">
        <v>379</v>
      </c>
      <c r="T53" s="253">
        <v>496.58054711246234</v>
      </c>
      <c r="U53" s="253">
        <v>34.102279890556538</v>
      </c>
      <c r="V53" s="253">
        <v>14.561505820318288</v>
      </c>
      <c r="W53" s="253">
        <v>7.6492871944362016E-19</v>
      </c>
      <c r="X53" s="253">
        <v>427.93621800764254</v>
      </c>
      <c r="Y53" s="253">
        <v>565.22487621728214</v>
      </c>
      <c r="Z53" s="253">
        <v>427.93621800764254</v>
      </c>
      <c r="AA53" s="253">
        <v>565.22487621728214</v>
      </c>
      <c r="AC53" s="253" t="s">
        <v>379</v>
      </c>
      <c r="AD53" s="253">
        <v>4519.2307692307686</v>
      </c>
      <c r="AE53" s="253">
        <v>400.19038925534869</v>
      </c>
      <c r="AF53" s="253">
        <v>11.292701900312734</v>
      </c>
      <c r="AG53" s="253">
        <v>2.1665250890965506E-7</v>
      </c>
      <c r="AH53" s="253">
        <v>3638.41766126845</v>
      </c>
      <c r="AI53" s="253">
        <v>5400.0438771930876</v>
      </c>
      <c r="AJ53" s="253">
        <v>3638.41766126845</v>
      </c>
      <c r="AK53" s="253">
        <v>5400.0438771930876</v>
      </c>
    </row>
    <row r="54" spans="1:37" x14ac:dyDescent="0.25">
      <c r="A54" s="226"/>
      <c r="B54" s="226" t="s">
        <v>336</v>
      </c>
      <c r="C54" s="226">
        <v>34</v>
      </c>
      <c r="D54" s="232">
        <f t="shared" si="11"/>
        <v>85000</v>
      </c>
      <c r="E54" s="227">
        <f t="shared" si="10"/>
        <v>82833.333333333328</v>
      </c>
      <c r="F54" s="227">
        <f t="shared" si="8"/>
        <v>83050.215298885509</v>
      </c>
      <c r="G54" s="228">
        <f t="shared" si="3"/>
        <v>1.0234771781638072</v>
      </c>
      <c r="H54" s="229">
        <f>($T$52+C54*$T$53)*$T$67</f>
        <v>84676.811209025385</v>
      </c>
      <c r="I54" s="230"/>
      <c r="J54" s="229">
        <f>H54-D54</f>
        <v>-323.18879097461468</v>
      </c>
      <c r="K54" s="229">
        <f t="shared" si="5"/>
        <v>323.18879097461468</v>
      </c>
      <c r="L54" s="229">
        <f>SUM($J$21:J54)</f>
        <v>9296.918826014502</v>
      </c>
      <c r="M54" s="229">
        <f>SUMSQ($J$21:J54)/C54</f>
        <v>9352386.9492997378</v>
      </c>
      <c r="N54" s="229">
        <f>SUM($K$21:K54)/C54</f>
        <v>2453.9867964166274</v>
      </c>
      <c r="O54" s="229">
        <f>K54/D54*100</f>
        <v>0.38022210702895842</v>
      </c>
      <c r="P54" s="229">
        <f>AVERAGE($O$21:O54)</f>
        <v>4.0493490234895759</v>
      </c>
      <c r="Q54" s="231">
        <f>SUM($J$21:J54)/N54</f>
        <v>3.7884958629728955</v>
      </c>
    </row>
    <row r="55" spans="1:37" x14ac:dyDescent="0.25">
      <c r="A55" s="226"/>
      <c r="B55" s="226" t="s">
        <v>337</v>
      </c>
      <c r="C55" s="226">
        <v>35</v>
      </c>
      <c r="D55" s="232">
        <f t="shared" si="11"/>
        <v>85000</v>
      </c>
      <c r="E55" s="227">
        <f t="shared" si="10"/>
        <v>83895.833333333328</v>
      </c>
      <c r="F55" s="227">
        <f t="shared" si="8"/>
        <v>83546.795845997971</v>
      </c>
      <c r="G55" s="228">
        <f t="shared" si="3"/>
        <v>1.0173938945148864</v>
      </c>
      <c r="H55" s="229">
        <f>($T$52+C55*$T$53)*$T$68</f>
        <v>84933.048368466611</v>
      </c>
      <c r="I55" s="230"/>
      <c r="J55" s="229">
        <f>H55-D55</f>
        <v>-66.951631533389445</v>
      </c>
      <c r="K55" s="229">
        <f t="shared" si="5"/>
        <v>66.951631533389445</v>
      </c>
      <c r="L55" s="229">
        <f>SUM($J$21:J55)</f>
        <v>9229.9671944811125</v>
      </c>
      <c r="M55" s="229">
        <f>SUMSQ($J$21:J55)/C55</f>
        <v>9085303.9656330291</v>
      </c>
      <c r="N55" s="229">
        <f>SUM($K$21:K55)/C55</f>
        <v>2385.7857917056776</v>
      </c>
      <c r="O55" s="229">
        <f>K55/D55*100</f>
        <v>7.8766625333399343E-2</v>
      </c>
      <c r="P55" s="229">
        <f>AVERAGE($O$21:O55)</f>
        <v>3.9359038121136849</v>
      </c>
      <c r="Q55" s="231">
        <f>SUM($J$21:J55)/N55</f>
        <v>3.8687325687702674</v>
      </c>
      <c r="S55" s="249" t="s">
        <v>380</v>
      </c>
      <c r="T55" t="s">
        <v>381</v>
      </c>
    </row>
    <row r="56" spans="1:37" x14ac:dyDescent="0.25">
      <c r="A56" s="226"/>
      <c r="B56" s="226" t="s">
        <v>338</v>
      </c>
      <c r="C56" s="226">
        <v>36</v>
      </c>
      <c r="D56" s="232">
        <f t="shared" si="11"/>
        <v>87000</v>
      </c>
      <c r="E56" s="227">
        <f t="shared" si="10"/>
        <v>84812.5</v>
      </c>
      <c r="F56" s="227">
        <f t="shared" si="8"/>
        <v>84043.376393110433</v>
      </c>
      <c r="G56" s="228">
        <f t="shared" si="3"/>
        <v>1.0351797337729514</v>
      </c>
      <c r="H56" s="229">
        <f>($T$52+C56*$T$53)*$T$69</f>
        <v>86060.325522730272</v>
      </c>
      <c r="I56" s="230"/>
      <c r="J56" s="229">
        <f>H56-D56</f>
        <v>-939.6744772697275</v>
      </c>
      <c r="K56" s="229">
        <f t="shared" si="5"/>
        <v>939.6744772697275</v>
      </c>
      <c r="L56" s="229">
        <f>SUM($J$21:J56)</f>
        <v>8290.292717211385</v>
      </c>
      <c r="M56" s="229">
        <f>SUMSQ($J$21:J56)/C56</f>
        <v>8857461.8588996716</v>
      </c>
      <c r="N56" s="229">
        <f>SUM($K$21:K56)/C56</f>
        <v>2345.6160329713457</v>
      </c>
      <c r="O56" s="229">
        <f>K56/D56*100</f>
        <v>1.080085606057158</v>
      </c>
      <c r="P56" s="229">
        <f>AVERAGE($O$21:O56)</f>
        <v>3.8565755286121148</v>
      </c>
      <c r="Q56" s="231">
        <f>SUM($J$21:J56)/N56</f>
        <v>3.5343775795689489</v>
      </c>
    </row>
    <row r="57" spans="1:37" x14ac:dyDescent="0.25">
      <c r="A57" s="226" t="s">
        <v>321</v>
      </c>
      <c r="B57" s="226" t="s">
        <v>323</v>
      </c>
      <c r="C57" s="226">
        <v>37</v>
      </c>
      <c r="D57" s="232">
        <f>F4</f>
        <v>91000</v>
      </c>
      <c r="E57" s="227">
        <f t="shared" si="10"/>
        <v>85625</v>
      </c>
      <c r="F57" s="227">
        <f t="shared" si="8"/>
        <v>84539.956940222895</v>
      </c>
      <c r="G57" s="228">
        <f t="shared" si="3"/>
        <v>1.0764140803187885</v>
      </c>
      <c r="H57" s="229">
        <f>($T$52+C57*$T$53)*$T$58</f>
        <v>85101.960880315237</v>
      </c>
      <c r="I57" s="230"/>
      <c r="J57" s="229">
        <f>H57-D57</f>
        <v>-5898.0391196847631</v>
      </c>
      <c r="K57" s="229">
        <f t="shared" si="5"/>
        <v>5898.0391196847631</v>
      </c>
      <c r="L57" s="229">
        <f>SUM($J$21:J57)</f>
        <v>2392.2535975266219</v>
      </c>
      <c r="M57" s="229">
        <f>SUMSQ($J$21:J57)/C57</f>
        <v>9558256.5507491883</v>
      </c>
      <c r="N57" s="229">
        <f>SUM($K$21:K57)/C57</f>
        <v>2441.6274677473839</v>
      </c>
      <c r="O57" s="229">
        <f>K57/D57*100</f>
        <v>6.4813616699832561</v>
      </c>
      <c r="P57" s="229">
        <f>AVERAGE($O$21:O57)</f>
        <v>3.9275156945951184</v>
      </c>
      <c r="Q57" s="231">
        <f>SUM($J$21:J57)/N57</f>
        <v>0.97977829506222192</v>
      </c>
      <c r="S57" s="233" t="s">
        <v>382</v>
      </c>
      <c r="T57" s="233" t="s">
        <v>383</v>
      </c>
      <c r="U57" s="249"/>
      <c r="V57" s="249"/>
      <c r="W57" s="249"/>
      <c r="X57" s="249"/>
      <c r="Y57" s="249"/>
      <c r="Z57" s="249"/>
      <c r="AA57" s="249"/>
    </row>
    <row r="58" spans="1:37" x14ac:dyDescent="0.25">
      <c r="A58" s="226"/>
      <c r="B58" s="226" t="s">
        <v>326</v>
      </c>
      <c r="C58" s="226">
        <v>38</v>
      </c>
      <c r="D58" s="232">
        <f t="shared" ref="D58:D68" si="12">F5</f>
        <v>87000</v>
      </c>
      <c r="E58" s="227">
        <f t="shared" si="10"/>
        <v>86458.333333333328</v>
      </c>
      <c r="F58" s="227">
        <f t="shared" si="8"/>
        <v>85036.537487335358</v>
      </c>
      <c r="G58" s="228">
        <f t="shared" si="3"/>
        <v>1.0230896338289535</v>
      </c>
      <c r="H58" s="229">
        <f>($T$52+C58*$T$53)*$T$59</f>
        <v>86230.103804679064</v>
      </c>
      <c r="I58" s="230"/>
      <c r="J58" s="229">
        <f>H58-D58</f>
        <v>-769.89619532093639</v>
      </c>
      <c r="K58" s="229">
        <f t="shared" si="5"/>
        <v>769.89619532093639</v>
      </c>
      <c r="L58" s="229">
        <f>SUM($J$21:J58)</f>
        <v>1622.3574022056855</v>
      </c>
      <c r="M58" s="229">
        <f>SUMSQ($J$21:J58)/C58</f>
        <v>9322321.9086655173</v>
      </c>
      <c r="N58" s="229">
        <f>SUM($K$21:K58)/C58</f>
        <v>2397.6345395256353</v>
      </c>
      <c r="O58" s="229">
        <f>K58/D58*100</f>
        <v>0.88493815554130628</v>
      </c>
      <c r="P58" s="229">
        <f>AVERAGE($O$21:O58)</f>
        <v>3.8474478646200181</v>
      </c>
      <c r="Q58" s="231">
        <f>SUM($J$21:J58)/N58</f>
        <v>0.67664916210569104</v>
      </c>
      <c r="S58" s="234" t="s">
        <v>323</v>
      </c>
      <c r="T58" s="257">
        <v>1.0066477907067037</v>
      </c>
    </row>
    <row r="59" spans="1:37" x14ac:dyDescent="0.25">
      <c r="A59" s="226"/>
      <c r="B59" s="226" t="s">
        <v>327</v>
      </c>
      <c r="C59" s="226">
        <v>39</v>
      </c>
      <c r="D59" s="232">
        <f t="shared" si="12"/>
        <v>85000</v>
      </c>
      <c r="E59" s="227">
        <f t="shared" si="10"/>
        <v>87208.333333333328</v>
      </c>
      <c r="F59" s="227">
        <f t="shared" si="8"/>
        <v>85533.11803444782</v>
      </c>
      <c r="G59" s="228">
        <f t="shared" si="3"/>
        <v>0.99376711563077691</v>
      </c>
      <c r="H59" s="229">
        <f>($T$52+C59*$T$53)*$T$60</f>
        <v>86354.190801051926</v>
      </c>
      <c r="I59" s="230"/>
      <c r="J59" s="229">
        <f>H59-D59</f>
        <v>1354.1908010519255</v>
      </c>
      <c r="K59" s="229">
        <f t="shared" si="5"/>
        <v>1354.1908010519255</v>
      </c>
      <c r="L59" s="229">
        <f>SUM($J$21:J59)</f>
        <v>2976.548203257611</v>
      </c>
      <c r="M59" s="229">
        <f>SUMSQ($J$21:J59)/C59</f>
        <v>9130309.3655113671</v>
      </c>
      <c r="N59" s="229">
        <f>SUM($K$21:K59)/C59</f>
        <v>2370.8795718724632</v>
      </c>
      <c r="O59" s="229">
        <f>K59/D59*100</f>
        <v>1.5931656482963832</v>
      </c>
      <c r="P59" s="229">
        <f>AVERAGE($O$21:O59)</f>
        <v>3.7896457565091555</v>
      </c>
      <c r="Q59" s="231">
        <f>SUM($J$21:J59)/N59</f>
        <v>1.2554615757673451</v>
      </c>
      <c r="S59" s="234" t="s">
        <v>326</v>
      </c>
      <c r="T59" s="257">
        <v>1.0140359232938132</v>
      </c>
    </row>
    <row r="60" spans="1:37" x14ac:dyDescent="0.25">
      <c r="A60" s="226"/>
      <c r="B60" s="226" t="s">
        <v>329</v>
      </c>
      <c r="C60" s="226">
        <v>40</v>
      </c>
      <c r="D60" s="232">
        <f t="shared" si="12"/>
        <v>86000</v>
      </c>
      <c r="E60" s="227">
        <f t="shared" si="10"/>
        <v>87625</v>
      </c>
      <c r="F60" s="227">
        <f t="shared" si="8"/>
        <v>86029.698581560282</v>
      </c>
      <c r="G60" s="228">
        <f t="shared" si="3"/>
        <v>0.99965478686953524</v>
      </c>
      <c r="H60" s="229">
        <f>($T$52+C60*$T$53)*$T$61</f>
        <v>85377.442633470782</v>
      </c>
      <c r="I60" s="230"/>
      <c r="J60" s="229">
        <f>H60-D60</f>
        <v>-622.55736652921769</v>
      </c>
      <c r="K60" s="229">
        <f t="shared" si="5"/>
        <v>622.55736652921769</v>
      </c>
      <c r="L60" s="229">
        <f>SUM($J$21:J60)</f>
        <v>2353.9908367283933</v>
      </c>
      <c r="M60" s="229">
        <f>SUMSQ($J$21:J60)/C60</f>
        <v>8911741.0732390769</v>
      </c>
      <c r="N60" s="229">
        <f>SUM($K$21:K60)/C60</f>
        <v>2327.171516738882</v>
      </c>
      <c r="O60" s="229">
        <f>K60/D60*100</f>
        <v>0.72390391456885772</v>
      </c>
      <c r="P60" s="229">
        <f>AVERAGE($O$21:O60)</f>
        <v>3.7130022104606484</v>
      </c>
      <c r="Q60" s="231">
        <f>SUM($J$21:J60)/N60</f>
        <v>1.0115244277426934</v>
      </c>
      <c r="S60" s="234" t="s">
        <v>327</v>
      </c>
      <c r="T60" s="257">
        <v>1.0095994719410724</v>
      </c>
    </row>
    <row r="61" spans="1:37" x14ac:dyDescent="0.25">
      <c r="A61" s="226"/>
      <c r="B61" s="226" t="s">
        <v>330</v>
      </c>
      <c r="C61" s="226">
        <v>41</v>
      </c>
      <c r="D61" s="232">
        <f t="shared" si="12"/>
        <v>86500</v>
      </c>
      <c r="E61" s="227">
        <f t="shared" si="10"/>
        <v>87833.333333333328</v>
      </c>
      <c r="F61" s="227">
        <f t="shared" si="8"/>
        <v>86526.279128672744</v>
      </c>
      <c r="G61" s="228">
        <f t="shared" si="3"/>
        <v>0.999696287313665</v>
      </c>
      <c r="H61" s="229">
        <f>($T$52+C61*$T$53)*$T$62</f>
        <v>84804.465077080749</v>
      </c>
      <c r="I61" s="230"/>
      <c r="J61" s="229">
        <f>H61-D61</f>
        <v>-1695.5349229192507</v>
      </c>
      <c r="K61" s="229">
        <f t="shared" si="5"/>
        <v>1695.5349229192507</v>
      </c>
      <c r="L61" s="229">
        <f>SUM($J$21:J61)</f>
        <v>658.45591380914266</v>
      </c>
      <c r="M61" s="229">
        <f>SUMSQ($J$21:J61)/C61</f>
        <v>8764499.5513268746</v>
      </c>
      <c r="N61" s="229">
        <f>SUM($K$21:K61)/C61</f>
        <v>2311.7657461579156</v>
      </c>
      <c r="O61" s="229">
        <f>K61/D61*100</f>
        <v>1.9601559802534689</v>
      </c>
      <c r="P61" s="229">
        <f>AVERAGE($O$21:O61)</f>
        <v>3.6702498633824243</v>
      </c>
      <c r="Q61" s="231">
        <f>SUM($J$21:J61)/N61</f>
        <v>0.28482812971144517</v>
      </c>
      <c r="S61" s="234" t="s">
        <v>329</v>
      </c>
      <c r="T61" s="257">
        <v>0.99241824673521162</v>
      </c>
    </row>
    <row r="62" spans="1:37" x14ac:dyDescent="0.25">
      <c r="A62" s="226"/>
      <c r="B62" s="226" t="s">
        <v>332</v>
      </c>
      <c r="C62" s="226">
        <v>42</v>
      </c>
      <c r="D62" s="232">
        <f t="shared" si="12"/>
        <v>87500</v>
      </c>
      <c r="E62" s="227">
        <f t="shared" si="10"/>
        <v>88166.666666666672</v>
      </c>
      <c r="F62" s="227">
        <f t="shared" si="8"/>
        <v>87022.859675785206</v>
      </c>
      <c r="G62" s="228">
        <f t="shared" si="3"/>
        <v>1.0054829308757773</v>
      </c>
      <c r="H62" s="229">
        <f>($T$52+C62*$T$53)*$T$63</f>
        <v>85701.442903783653</v>
      </c>
      <c r="I62" s="230"/>
      <c r="J62" s="229">
        <f>H62-D62</f>
        <v>-1798.5570962163474</v>
      </c>
      <c r="K62" s="229">
        <f t="shared" si="5"/>
        <v>1798.5570962163474</v>
      </c>
      <c r="L62" s="229">
        <f>SUM($J$21:J62)</f>
        <v>-1140.1011824072048</v>
      </c>
      <c r="M62" s="229">
        <f>SUMSQ($J$21:J62)/C62</f>
        <v>8632840.2198274303</v>
      </c>
      <c r="N62" s="229">
        <f>SUM($K$21:K62)/C62</f>
        <v>2299.5464925878782</v>
      </c>
      <c r="O62" s="229">
        <f>K62/D62*100</f>
        <v>2.0554938242472542</v>
      </c>
      <c r="P62" s="229">
        <f>AVERAGE($O$21:O62)</f>
        <v>3.631803291022063</v>
      </c>
      <c r="Q62" s="231">
        <f>SUM($J$21:J62)/N62</f>
        <v>-0.49579392549013024</v>
      </c>
      <c r="S62" s="234" t="s">
        <v>330</v>
      </c>
      <c r="T62" s="257">
        <v>0.9801006807535142</v>
      </c>
    </row>
    <row r="63" spans="1:37" x14ac:dyDescent="0.25">
      <c r="A63" s="226"/>
      <c r="B63" s="226" t="s">
        <v>333</v>
      </c>
      <c r="C63" s="226">
        <v>43</v>
      </c>
      <c r="D63" s="232">
        <f t="shared" si="12"/>
        <v>88000</v>
      </c>
      <c r="E63" s="227">
        <f t="shared" si="10"/>
        <v>88583.333333333328</v>
      </c>
      <c r="F63" s="227">
        <f t="shared" si="8"/>
        <v>87519.440222897669</v>
      </c>
      <c r="G63" s="228">
        <f t="shared" si="3"/>
        <v>1.0054908918050485</v>
      </c>
      <c r="H63" s="229">
        <f>($T$52+C63*$T$53)*$T$64</f>
        <v>87569.170757320477</v>
      </c>
      <c r="I63" s="230"/>
      <c r="J63" s="229">
        <f>H63-D63</f>
        <v>-430.8292426795233</v>
      </c>
      <c r="K63" s="229">
        <f t="shared" si="5"/>
        <v>430.8292426795233</v>
      </c>
      <c r="L63" s="229">
        <f>SUM($J$21:J63)</f>
        <v>-1570.9304250867281</v>
      </c>
      <c r="M63" s="229">
        <f>SUMSQ($J$21:J63)/C63</f>
        <v>8436393.0946302302</v>
      </c>
      <c r="N63" s="229">
        <f>SUM($K$21:K63)/C63</f>
        <v>2256.0879518923352</v>
      </c>
      <c r="O63" s="229">
        <f>K63/D63*100</f>
        <v>0.48957868486309469</v>
      </c>
      <c r="P63" s="229">
        <f>AVERAGE($O$21:O63)</f>
        <v>3.5587283001811567</v>
      </c>
      <c r="Q63" s="231">
        <f>SUM($J$21:J63)/N63</f>
        <v>-0.69630726220982708</v>
      </c>
      <c r="S63" s="234" t="s">
        <v>332</v>
      </c>
      <c r="T63" s="257">
        <v>0.98481529132776535</v>
      </c>
    </row>
    <row r="64" spans="1:37" x14ac:dyDescent="0.25">
      <c r="A64" s="226"/>
      <c r="B64" s="226" t="s">
        <v>334</v>
      </c>
      <c r="C64" s="226">
        <v>44</v>
      </c>
      <c r="D64" s="232">
        <f t="shared" si="12"/>
        <v>92000</v>
      </c>
      <c r="E64" s="227">
        <f t="shared" si="10"/>
        <v>88916.666666666672</v>
      </c>
      <c r="F64" s="227">
        <f t="shared" si="8"/>
        <v>88016.020770010131</v>
      </c>
      <c r="G64" s="228">
        <f t="shared" si="3"/>
        <v>1.0452642507027237</v>
      </c>
      <c r="H64" s="229">
        <f>($T$52+C64*$T$53)*$T$65</f>
        <v>89739.101538274714</v>
      </c>
      <c r="I64" s="230"/>
      <c r="J64" s="229">
        <f>H64-D64</f>
        <v>-2260.8984617252863</v>
      </c>
      <c r="K64" s="229">
        <f t="shared" si="5"/>
        <v>2260.8984617252863</v>
      </c>
      <c r="L64" s="229">
        <f>SUM($J$21:J64)</f>
        <v>-3831.8288868120144</v>
      </c>
      <c r="M64" s="229">
        <f>SUMSQ($J$21:J64)/C64</f>
        <v>8360831.0209848108</v>
      </c>
      <c r="N64" s="229">
        <f>SUM($K$21:K64)/C64</f>
        <v>2256.1972816612656</v>
      </c>
      <c r="O64" s="229">
        <f>K64/D64*100</f>
        <v>2.4574983279622677</v>
      </c>
      <c r="P64" s="229">
        <f>AVERAGE($O$21:O64)</f>
        <v>3.5337003462670911</v>
      </c>
      <c r="Q64" s="231">
        <f>SUM($J$21:J64)/N64</f>
        <v>-1.6983571950723175</v>
      </c>
      <c r="S64" s="234" t="s">
        <v>333</v>
      </c>
      <c r="T64" s="257">
        <v>1.000568222720531</v>
      </c>
    </row>
    <row r="65" spans="1:20" x14ac:dyDescent="0.25">
      <c r="A65" s="226"/>
      <c r="B65" s="226" t="s">
        <v>335</v>
      </c>
      <c r="C65" s="226">
        <v>45</v>
      </c>
      <c r="D65" s="232">
        <f t="shared" si="12"/>
        <v>90000</v>
      </c>
      <c r="E65" s="227">
        <f t="shared" si="10"/>
        <v>89291.666666666672</v>
      </c>
      <c r="F65" s="227">
        <f t="shared" si="8"/>
        <v>88512.601317122593</v>
      </c>
      <c r="G65" s="228">
        <f t="shared" si="3"/>
        <v>1.0168043720413138</v>
      </c>
      <c r="H65" s="229">
        <f>($T$52+C65*$T$53)*$T$66</f>
        <v>90029.630030196917</v>
      </c>
      <c r="I65" s="230"/>
      <c r="J65" s="229">
        <f>H65-D65</f>
        <v>29.630030196916778</v>
      </c>
      <c r="K65" s="229">
        <f t="shared" si="5"/>
        <v>29.630030196916778</v>
      </c>
      <c r="L65" s="229">
        <f>SUM($J$21:J65)</f>
        <v>-3802.1988566150976</v>
      </c>
      <c r="M65" s="229">
        <f>SUMSQ($J$21:J65)/C65</f>
        <v>8175054.2858226923</v>
      </c>
      <c r="N65" s="229">
        <f>SUM($K$21:K65)/C65</f>
        <v>2206.7180094065025</v>
      </c>
      <c r="O65" s="229">
        <f>K65/D65*100</f>
        <v>3.2922255774351976E-2</v>
      </c>
      <c r="P65" s="229">
        <f>AVERAGE($O$21:O65)</f>
        <v>3.4559052775894745</v>
      </c>
      <c r="Q65" s="231">
        <f>SUM($J$21:J65)/N65</f>
        <v>-1.7230107518983362</v>
      </c>
      <c r="S65" s="234" t="s">
        <v>334</v>
      </c>
      <c r="T65" s="257">
        <v>1.0195768992189169</v>
      </c>
    </row>
    <row r="66" spans="1:20" x14ac:dyDescent="0.25">
      <c r="A66" s="226"/>
      <c r="B66" s="226" t="s">
        <v>336</v>
      </c>
      <c r="C66" s="226">
        <v>46</v>
      </c>
      <c r="D66" s="232">
        <f t="shared" si="12"/>
        <v>88000</v>
      </c>
      <c r="E66" s="227">
        <f t="shared" si="10"/>
        <v>89708.333333333328</v>
      </c>
      <c r="F66" s="227">
        <f t="shared" si="8"/>
        <v>89009.181864235055</v>
      </c>
      <c r="G66" s="228">
        <f t="shared" si="3"/>
        <v>0.98866204763263243</v>
      </c>
      <c r="H66" s="229">
        <f>($T$52+C66*$T$53)*$T$67</f>
        <v>90752.488256207813</v>
      </c>
      <c r="I66" s="230"/>
      <c r="J66" s="229">
        <f>H66-D66</f>
        <v>2752.4882562078128</v>
      </c>
      <c r="K66" s="229">
        <f t="shared" si="5"/>
        <v>2752.4882562078128</v>
      </c>
      <c r="L66" s="229">
        <f>SUM($J$21:J66)</f>
        <v>-1049.7106004072848</v>
      </c>
      <c r="M66" s="229">
        <f>SUMSQ($J$21:J66)/C66</f>
        <v>8162035.5317952838</v>
      </c>
      <c r="N66" s="229">
        <f>SUM($K$21:K66)/C66</f>
        <v>2218.5825799891395</v>
      </c>
      <c r="O66" s="229">
        <f>K66/D66*100</f>
        <v>3.1278275638725144</v>
      </c>
      <c r="P66" s="229">
        <f>AVERAGE($O$21:O66)</f>
        <v>3.448773153378236</v>
      </c>
      <c r="Q66" s="231">
        <f>SUM($J$21:J66)/N66</f>
        <v>-0.4731447050361422</v>
      </c>
      <c r="S66" s="234" t="s">
        <v>335</v>
      </c>
      <c r="T66" s="257">
        <v>1.0171391269774019</v>
      </c>
    </row>
    <row r="67" spans="1:20" x14ac:dyDescent="0.25">
      <c r="A67" s="226"/>
      <c r="B67" s="226" t="s">
        <v>337</v>
      </c>
      <c r="C67" s="226">
        <v>47</v>
      </c>
      <c r="D67" s="232">
        <f t="shared" si="12"/>
        <v>87000</v>
      </c>
      <c r="E67" s="227">
        <f t="shared" si="10"/>
        <v>90020.833333333328</v>
      </c>
      <c r="F67" s="227">
        <f t="shared" si="8"/>
        <v>89505.762411347518</v>
      </c>
      <c r="G67" s="228">
        <f t="shared" si="3"/>
        <v>0.97200445710040861</v>
      </c>
      <c r="H67" s="229">
        <f>($T$52+C67*$T$53)*$T$68</f>
        <v>90990.889251482979</v>
      </c>
      <c r="I67" s="230"/>
      <c r="J67" s="229">
        <f>H67-D67</f>
        <v>3990.8892514829786</v>
      </c>
      <c r="K67" s="229">
        <f t="shared" si="5"/>
        <v>3990.8892514829786</v>
      </c>
      <c r="L67" s="229">
        <f>SUM($J$21:J67)</f>
        <v>2941.1786510756938</v>
      </c>
      <c r="M67" s="229">
        <f>SUMSQ($J$21:J67)/C67</f>
        <v>8327251.7336209668</v>
      </c>
      <c r="N67" s="229">
        <f>SUM($K$21:K67)/C67</f>
        <v>2256.2912325741149</v>
      </c>
      <c r="O67" s="229">
        <f>K67/D67*100</f>
        <v>4.5872290246930794</v>
      </c>
      <c r="P67" s="229">
        <f>AVERAGE($O$21:O67)</f>
        <v>3.4729956187253603</v>
      </c>
      <c r="Q67" s="231">
        <f>SUM($J$21:J67)/N67</f>
        <v>1.3035456631723101</v>
      </c>
      <c r="S67" s="234" t="s">
        <v>336</v>
      </c>
      <c r="T67" s="257">
        <v>1.0195856916720323</v>
      </c>
    </row>
    <row r="68" spans="1:20" x14ac:dyDescent="0.25">
      <c r="A68" s="226"/>
      <c r="B68" s="226" t="s">
        <v>338</v>
      </c>
      <c r="C68" s="226">
        <v>48</v>
      </c>
      <c r="D68" s="232">
        <f t="shared" si="12"/>
        <v>93000</v>
      </c>
      <c r="E68" s="227">
        <f t="shared" si="10"/>
        <v>90187.5</v>
      </c>
      <c r="F68" s="227">
        <f t="shared" si="8"/>
        <v>90002.34295845998</v>
      </c>
      <c r="G68" s="228">
        <f t="shared" si="3"/>
        <v>1.0333064333994457</v>
      </c>
      <c r="H68" s="229">
        <f>($T$52+C68*$T$53)*$T$69</f>
        <v>92162.300769349327</v>
      </c>
      <c r="I68" s="230"/>
      <c r="J68" s="229">
        <f>H68-D68</f>
        <v>-837.69923065067269</v>
      </c>
      <c r="K68" s="229">
        <f t="shared" si="5"/>
        <v>837.69923065067269</v>
      </c>
      <c r="L68" s="229">
        <f>SUM($J$21:J68)</f>
        <v>2103.4794204250211</v>
      </c>
      <c r="M68" s="229">
        <f>SUMSQ($J$21:J68)/C68</f>
        <v>8168386.9058587113</v>
      </c>
      <c r="N68" s="229">
        <f>SUM($K$21:K68)/C68</f>
        <v>2226.7372325340434</v>
      </c>
      <c r="O68" s="229">
        <f>K68/D68*100</f>
        <v>0.90075186091470183</v>
      </c>
      <c r="P68" s="229">
        <f>AVERAGE($O$21:O68)</f>
        <v>3.4194072071043049</v>
      </c>
      <c r="Q68" s="231">
        <f>SUM($J$21:J68)/N68</f>
        <v>0.94464644938426168</v>
      </c>
      <c r="S68" s="234" t="s">
        <v>337</v>
      </c>
      <c r="T68" s="257">
        <v>1.0165925276778289</v>
      </c>
    </row>
    <row r="69" spans="1:20" x14ac:dyDescent="0.25">
      <c r="A69" s="226" t="s">
        <v>322</v>
      </c>
      <c r="B69" s="226" t="s">
        <v>323</v>
      </c>
      <c r="C69" s="226">
        <v>49</v>
      </c>
      <c r="D69" s="235">
        <f>G4</f>
        <v>95000</v>
      </c>
      <c r="E69" s="227">
        <f t="shared" si="10"/>
        <v>90416.666666666672</v>
      </c>
      <c r="F69" s="227">
        <f t="shared" si="8"/>
        <v>90498.923505572457</v>
      </c>
      <c r="G69" s="228">
        <f t="shared" si="3"/>
        <v>1.0497362434830553</v>
      </c>
      <c r="H69" s="229">
        <f>($T$52+C69*$T$53)*$T$58</f>
        <v>91100.541408219491</v>
      </c>
      <c r="I69" s="230"/>
      <c r="J69" s="229">
        <f>H69-D69</f>
        <v>-3899.4585917805089</v>
      </c>
      <c r="K69" s="229">
        <f t="shared" si="5"/>
        <v>3899.4585917805089</v>
      </c>
      <c r="L69" s="229">
        <f>SUM($J$21:J69)</f>
        <v>-1795.9791713554878</v>
      </c>
      <c r="M69" s="229">
        <f>SUMSQ($J$21:J69)/C69</f>
        <v>8312007.1181679377</v>
      </c>
      <c r="N69" s="229">
        <f>SUM($K$21:K69)/C69</f>
        <v>2260.8744031309097</v>
      </c>
      <c r="O69" s="229">
        <f>K69/D69*100</f>
        <v>4.1046932545057988</v>
      </c>
      <c r="P69" s="229">
        <f>AVERAGE($O$21:O69)</f>
        <v>3.4333926366431111</v>
      </c>
      <c r="Q69" s="231">
        <f>SUM($J$21:J69)/N69</f>
        <v>-0.79437370287724762</v>
      </c>
      <c r="S69" s="234" t="s">
        <v>338</v>
      </c>
      <c r="T69" s="257">
        <v>1.0239989064716488</v>
      </c>
    </row>
    <row r="70" spans="1:20" x14ac:dyDescent="0.25">
      <c r="A70" s="226"/>
      <c r="B70" s="226" t="s">
        <v>326</v>
      </c>
      <c r="C70" s="226">
        <v>50</v>
      </c>
      <c r="D70" s="235">
        <f t="shared" ref="D70:D80" si="13">G5</f>
        <v>91000</v>
      </c>
      <c r="E70" s="227">
        <f t="shared" si="10"/>
        <v>90750</v>
      </c>
      <c r="F70" s="227">
        <f t="shared" si="8"/>
        <v>90995.504052684904</v>
      </c>
      <c r="G70" s="228">
        <f t="shared" si="3"/>
        <v>1.0000494084555265</v>
      </c>
      <c r="H70" s="229">
        <f>($T$52+C70*$T$53)*$T$59</f>
        <v>92272.709967650255</v>
      </c>
      <c r="I70" s="230"/>
      <c r="J70" s="229">
        <f>H70-D70</f>
        <v>1272.7099676502548</v>
      </c>
      <c r="K70" s="229">
        <f t="shared" si="5"/>
        <v>1272.7099676502548</v>
      </c>
      <c r="L70" s="229">
        <f>SUM($J$21:J70)</f>
        <v>-523.26920370523294</v>
      </c>
      <c r="M70" s="229">
        <f>SUMSQ($J$21:J70)/C70</f>
        <v>8178162.7890397059</v>
      </c>
      <c r="N70" s="229">
        <f>SUM($K$21:K70)/C70</f>
        <v>2241.1111144212969</v>
      </c>
      <c r="O70" s="229">
        <f>K70/D70*100</f>
        <v>1.398582382033247</v>
      </c>
      <c r="P70" s="229">
        <f>AVERAGE($O$21:O70)</f>
        <v>3.392696431550914</v>
      </c>
      <c r="Q70" s="231">
        <f>SUM($J$21:J70)/N70</f>
        <v>-0.23348650601840074</v>
      </c>
      <c r="S70" s="200" t="s">
        <v>384</v>
      </c>
      <c r="T70" s="256">
        <v>1.0070898982913696</v>
      </c>
    </row>
    <row r="71" spans="1:20" x14ac:dyDescent="0.25">
      <c r="A71" s="226"/>
      <c r="B71" s="226" t="s">
        <v>327</v>
      </c>
      <c r="C71" s="226">
        <v>51</v>
      </c>
      <c r="D71" s="235">
        <f t="shared" si="13"/>
        <v>90000</v>
      </c>
      <c r="E71" s="227">
        <f t="shared" si="10"/>
        <v>91041.666666666672</v>
      </c>
      <c r="F71" s="227">
        <f t="shared" si="8"/>
        <v>91492.084599797381</v>
      </c>
      <c r="G71" s="228">
        <f t="shared" si="3"/>
        <v>0.98369165369524558</v>
      </c>
      <c r="H71" s="229">
        <f>($T$52+C71*$T$53)*$T$60</f>
        <v>92370.360298743355</v>
      </c>
      <c r="I71" s="230"/>
      <c r="J71" s="229">
        <f>H71-D71</f>
        <v>2370.3602987433551</v>
      </c>
      <c r="K71" s="229">
        <f t="shared" si="5"/>
        <v>2370.3602987433551</v>
      </c>
      <c r="L71" s="229">
        <f>SUM($J$21:J71)</f>
        <v>1847.0910950381221</v>
      </c>
      <c r="M71" s="229">
        <f>SUMSQ($J$21:J71)/C71</f>
        <v>8127975.4391734106</v>
      </c>
      <c r="N71" s="229">
        <f>SUM($K$21:K71)/C71</f>
        <v>2243.6454121531019</v>
      </c>
      <c r="O71" s="229">
        <f>K71/D71*100</f>
        <v>2.6337336652703947</v>
      </c>
      <c r="P71" s="229">
        <f>AVERAGE($O$21:O71)</f>
        <v>3.3778148086826683</v>
      </c>
      <c r="Q71" s="231">
        <f>SUM($J$21:J71)/N71</f>
        <v>0.82325446125890789</v>
      </c>
    </row>
    <row r="72" spans="1:20" x14ac:dyDescent="0.25">
      <c r="A72" s="226"/>
      <c r="B72" s="226" t="s">
        <v>329</v>
      </c>
      <c r="C72" s="226">
        <v>52</v>
      </c>
      <c r="D72" s="235">
        <f t="shared" si="13"/>
        <v>91000</v>
      </c>
      <c r="E72" s="227">
        <f t="shared" si="10"/>
        <v>91333.333333333328</v>
      </c>
      <c r="F72" s="227">
        <f t="shared" si="8"/>
        <v>91988.665146909829</v>
      </c>
      <c r="G72" s="228">
        <f t="shared" si="3"/>
        <v>0.98925231553984516</v>
      </c>
      <c r="H72" s="229">
        <f>($T$52+C72*$T$53)*$T$61</f>
        <v>91291.229784608717</v>
      </c>
      <c r="I72" s="230"/>
      <c r="J72" s="229">
        <f>H72-D72</f>
        <v>291.22978460871673</v>
      </c>
      <c r="K72" s="229">
        <f t="shared" si="5"/>
        <v>291.22978460871673</v>
      </c>
      <c r="L72" s="229">
        <f>SUM($J$21:J72)</f>
        <v>2138.3208796468389</v>
      </c>
      <c r="M72" s="229">
        <f>SUMSQ($J$21:J72)/C72</f>
        <v>7973299.272793984</v>
      </c>
      <c r="N72" s="229">
        <f>SUM($K$21:K72)/C72</f>
        <v>2206.0989577772484</v>
      </c>
      <c r="O72" s="229">
        <f>K72/D72*100</f>
        <v>0.32003273033924917</v>
      </c>
      <c r="P72" s="229">
        <f>AVERAGE($O$21:O72)</f>
        <v>3.3190113071760643</v>
      </c>
      <c r="Q72" s="231">
        <f>SUM($J$21:J72)/N72</f>
        <v>0.96927695473883035</v>
      </c>
    </row>
    <row r="73" spans="1:20" x14ac:dyDescent="0.25">
      <c r="A73" s="226"/>
      <c r="B73" s="226" t="s">
        <v>330</v>
      </c>
      <c r="C73" s="226">
        <v>53</v>
      </c>
      <c r="D73" s="235">
        <f t="shared" si="13"/>
        <v>89000</v>
      </c>
      <c r="E73" s="227">
        <f t="shared" si="10"/>
        <v>91875</v>
      </c>
      <c r="F73" s="227">
        <f t="shared" si="8"/>
        <v>92485.245694022306</v>
      </c>
      <c r="G73" s="228">
        <f t="shared" si="3"/>
        <v>0.96231565729356583</v>
      </c>
      <c r="H73" s="229">
        <f>($T$52+C73*$T$53)*$T$62</f>
        <v>90644.852264367277</v>
      </c>
      <c r="I73" s="230"/>
      <c r="J73" s="229">
        <f>H73-D73</f>
        <v>1644.8522643672768</v>
      </c>
      <c r="K73" s="229">
        <f t="shared" si="5"/>
        <v>1644.8522643672768</v>
      </c>
      <c r="L73" s="229">
        <f>SUM($J$21:J73)</f>
        <v>3783.1731440141157</v>
      </c>
      <c r="M73" s="229">
        <f>SUMSQ($J$21:J73)/C73</f>
        <v>7873907.5689977612</v>
      </c>
      <c r="N73" s="229">
        <f>SUM($K$21:K73)/C73</f>
        <v>2195.5093975242298</v>
      </c>
      <c r="O73" s="229">
        <f>K73/D73*100</f>
        <v>1.8481486116486256</v>
      </c>
      <c r="P73" s="229">
        <f>AVERAGE($O$21:O73)</f>
        <v>3.291259180845358</v>
      </c>
      <c r="Q73" s="231">
        <f>SUM($J$21:J73)/N73</f>
        <v>1.7231414032115817</v>
      </c>
    </row>
    <row r="74" spans="1:20" x14ac:dyDescent="0.25">
      <c r="A74" s="226"/>
      <c r="B74" s="226" t="s">
        <v>332</v>
      </c>
      <c r="C74" s="226">
        <v>54</v>
      </c>
      <c r="D74" s="235">
        <f t="shared" si="13"/>
        <v>89000</v>
      </c>
      <c r="E74" s="227">
        <f t="shared" si="10"/>
        <v>92500</v>
      </c>
      <c r="F74" s="227">
        <f t="shared" si="8"/>
        <v>92981.826241134753</v>
      </c>
      <c r="G74" s="228">
        <f t="shared" si="3"/>
        <v>0.95717629560417028</v>
      </c>
      <c r="H74" s="229">
        <f>($T$52+C74*$T$53)*$T$63</f>
        <v>91569.924297850783</v>
      </c>
      <c r="I74" s="230"/>
      <c r="J74" s="229">
        <f>H74-D74</f>
        <v>2569.9242978507828</v>
      </c>
      <c r="K74" s="229">
        <f t="shared" si="5"/>
        <v>2569.9242978507828</v>
      </c>
      <c r="L74" s="229">
        <f>SUM($J$21:J74)</f>
        <v>6353.0974418648984</v>
      </c>
      <c r="M74" s="229">
        <f>SUMSQ($J$21:J74)/C74</f>
        <v>7850400.223214169</v>
      </c>
      <c r="N74" s="229">
        <f>SUM($K$21:K74)/C74</f>
        <v>2202.4430067895364</v>
      </c>
      <c r="O74" s="229">
        <f>K74/D74*100</f>
        <v>2.887555390843576</v>
      </c>
      <c r="P74" s="229">
        <f>AVERAGE($O$21:O74)</f>
        <v>3.2837831847342138</v>
      </c>
      <c r="Q74" s="231">
        <f>SUM($J$21:J74)/N74</f>
        <v>2.8845683735197762</v>
      </c>
    </row>
    <row r="75" spans="1:20" x14ac:dyDescent="0.25">
      <c r="A75" s="226"/>
      <c r="B75" s="226" t="s">
        <v>333</v>
      </c>
      <c r="C75" s="226">
        <v>55</v>
      </c>
      <c r="D75" s="235">
        <f t="shared" si="13"/>
        <v>92000</v>
      </c>
      <c r="E75" s="227"/>
      <c r="F75" s="227">
        <f t="shared" si="8"/>
        <v>93478.40678824723</v>
      </c>
      <c r="G75" s="228">
        <f t="shared" si="3"/>
        <v>0.98418451020890629</v>
      </c>
      <c r="H75" s="229">
        <f>($T$52+C75*$T$53)*$T$64</f>
        <v>93531.523342863351</v>
      </c>
      <c r="I75" s="230"/>
      <c r="J75" s="229">
        <f>H75-D75</f>
        <v>1531.523342863351</v>
      </c>
      <c r="K75" s="229">
        <f t="shared" si="5"/>
        <v>1531.523342863351</v>
      </c>
      <c r="L75" s="229">
        <f>SUM($J$21:J75)</f>
        <v>7884.6207847282494</v>
      </c>
      <c r="M75" s="229">
        <f>SUMSQ($J$21:J75)/C75</f>
        <v>7750312.287332736</v>
      </c>
      <c r="N75" s="229">
        <f>SUM($K$21:K75)/C75</f>
        <v>2190.2444674454241</v>
      </c>
      <c r="O75" s="229">
        <f>K75/D75*100</f>
        <v>1.6646992857210337</v>
      </c>
      <c r="P75" s="229">
        <f>AVERAGE($O$21:O75)</f>
        <v>3.2543452956612473</v>
      </c>
      <c r="Q75" s="231">
        <f>SUM($J$21:J75)/N75</f>
        <v>3.5998816122678856</v>
      </c>
    </row>
    <row r="76" spans="1:20" x14ac:dyDescent="0.25">
      <c r="A76" s="226"/>
      <c r="B76" s="226" t="s">
        <v>334</v>
      </c>
      <c r="C76" s="226">
        <v>56</v>
      </c>
      <c r="D76" s="235">
        <f t="shared" si="13"/>
        <v>96000</v>
      </c>
      <c r="E76" s="227"/>
      <c r="F76" s="227">
        <f t="shared" si="8"/>
        <v>93974.987335359678</v>
      </c>
      <c r="G76" s="228">
        <f t="shared" si="3"/>
        <v>1.0215484217881705</v>
      </c>
      <c r="H76" s="229">
        <f>($T$52+C76*$T$53)*$T$65</f>
        <v>95814.726191523005</v>
      </c>
      <c r="I76" s="230"/>
      <c r="J76" s="229">
        <f>H76-D76</f>
        <v>-185.27380847699533</v>
      </c>
      <c r="K76" s="229">
        <f t="shared" si="5"/>
        <v>185.27380847699533</v>
      </c>
      <c r="L76" s="229">
        <f>SUM($J$21:J76)</f>
        <v>7699.3469762512541</v>
      </c>
      <c r="M76" s="229">
        <f>SUMSQ($J$21:J76)/C76</f>
        <v>7612526.8247751445</v>
      </c>
      <c r="N76" s="229">
        <f>SUM($K$21:K76)/C76</f>
        <v>2154.441419963845</v>
      </c>
      <c r="O76" s="229">
        <f>K76/D76*100</f>
        <v>0.19299355049687014</v>
      </c>
      <c r="P76" s="229">
        <f>AVERAGE($O$21:O76)</f>
        <v>3.1996783002118834</v>
      </c>
      <c r="Q76" s="231">
        <f>SUM($J$21:J76)/N76</f>
        <v>3.5737091317063805</v>
      </c>
    </row>
    <row r="77" spans="1:20" x14ac:dyDescent="0.25">
      <c r="A77" s="226"/>
      <c r="B77" s="226" t="s">
        <v>335</v>
      </c>
      <c r="C77" s="226">
        <v>57</v>
      </c>
      <c r="D77" s="235">
        <f t="shared" si="13"/>
        <v>93000</v>
      </c>
      <c r="E77" s="227"/>
      <c r="F77" s="227">
        <f t="shared" si="8"/>
        <v>94471.567882472154</v>
      </c>
      <c r="G77" s="228">
        <f t="shared" si="3"/>
        <v>0.98442316650970729</v>
      </c>
      <c r="H77" s="229">
        <f>($T$52+C77*$T$53)*$T$66</f>
        <v>96090.728080164088</v>
      </c>
      <c r="I77" s="230"/>
      <c r="J77" s="229">
        <f>H77-D77</f>
        <v>3090.7280801640882</v>
      </c>
      <c r="K77" s="229">
        <f t="shared" si="5"/>
        <v>3090.7280801640882</v>
      </c>
      <c r="L77" s="229">
        <f>SUM($J$21:J77)</f>
        <v>10790.075056415342</v>
      </c>
      <c r="M77" s="229">
        <f>SUMSQ($J$21:J77)/C77</f>
        <v>7646563.1974197002</v>
      </c>
      <c r="N77" s="229">
        <f>SUM($K$21:K77)/C77</f>
        <v>2170.8675017217438</v>
      </c>
      <c r="O77" s="229">
        <f>K77/D77*100</f>
        <v>3.3233635270581594</v>
      </c>
      <c r="P77" s="229">
        <f>AVERAGE($O$21:O77)</f>
        <v>3.2018482164723441</v>
      </c>
      <c r="Q77" s="231">
        <f>SUM($J$21:J77)/N77</f>
        <v>4.9703978008135419</v>
      </c>
    </row>
    <row r="78" spans="1:20" x14ac:dyDescent="0.25">
      <c r="A78" s="226"/>
      <c r="B78" s="226" t="s">
        <v>336</v>
      </c>
      <c r="C78" s="226">
        <v>58</v>
      </c>
      <c r="D78" s="235">
        <f t="shared" si="13"/>
        <v>92000</v>
      </c>
      <c r="E78" s="227"/>
      <c r="F78" s="227">
        <f t="shared" si="8"/>
        <v>94968.148429584602</v>
      </c>
      <c r="G78" s="228">
        <f t="shared" si="3"/>
        <v>0.96874585343963637</v>
      </c>
      <c r="H78" s="229">
        <f>($T$52+C78*$T$53)*$T$67</f>
        <v>96828.16530339024</v>
      </c>
      <c r="I78" s="230"/>
      <c r="J78" s="229">
        <f>H78-D78</f>
        <v>4828.1653033902403</v>
      </c>
      <c r="K78" s="229">
        <f t="shared" si="5"/>
        <v>4828.1653033902403</v>
      </c>
      <c r="L78" s="229">
        <f>SUM($J$21:J78)</f>
        <v>15618.240359805583</v>
      </c>
      <c r="M78" s="229">
        <f>SUMSQ($J$21:J78)/C78</f>
        <v>7916642.8008583495</v>
      </c>
      <c r="N78" s="229">
        <f>SUM($K$21:K78)/C78</f>
        <v>2216.682981060856</v>
      </c>
      <c r="O78" s="229">
        <f>K78/D78*100</f>
        <v>5.248005764554609</v>
      </c>
      <c r="P78" s="229">
        <f>AVERAGE($O$21:O78)</f>
        <v>3.2371267948875557</v>
      </c>
      <c r="Q78" s="231">
        <f>SUM($J$21:J78)/N78</f>
        <v>7.0457708627018167</v>
      </c>
    </row>
    <row r="79" spans="1:20" x14ac:dyDescent="0.25">
      <c r="A79" s="226"/>
      <c r="B79" s="226" t="s">
        <v>337</v>
      </c>
      <c r="C79" s="226">
        <v>59</v>
      </c>
      <c r="D79" s="235">
        <f t="shared" si="13"/>
        <v>96000</v>
      </c>
      <c r="E79" s="227"/>
      <c r="F79" s="227">
        <f t="shared" si="8"/>
        <v>95464.728976697079</v>
      </c>
      <c r="G79" s="228">
        <f t="shared" si="3"/>
        <v>1.0056070030160937</v>
      </c>
      <c r="H79" s="229">
        <f>($T$52+C79*$T$53)*$T$68</f>
        <v>97048.730134499361</v>
      </c>
      <c r="I79" s="230"/>
      <c r="J79" s="229">
        <f>H79-D79</f>
        <v>1048.7301344993612</v>
      </c>
      <c r="K79" s="229">
        <f t="shared" si="5"/>
        <v>1048.7301344993612</v>
      </c>
      <c r="L79" s="229">
        <f>SUM($J$21:J79)</f>
        <v>16666.970494304944</v>
      </c>
      <c r="M79" s="229">
        <f>SUMSQ($J$21:J79)/C79</f>
        <v>7801103.6838100227</v>
      </c>
      <c r="N79" s="229">
        <f>SUM($K$21:K79)/C79</f>
        <v>2196.8871701021867</v>
      </c>
      <c r="O79" s="229">
        <f>K79/D79*100</f>
        <v>1.0924272234368344</v>
      </c>
      <c r="P79" s="229">
        <f>AVERAGE($O$21:O79)</f>
        <v>3.200775954693476</v>
      </c>
      <c r="Q79" s="231">
        <f>SUM($J$21:J79)/N79</f>
        <v>7.5866301743342106</v>
      </c>
    </row>
    <row r="80" spans="1:20" ht="15.75" thickBot="1" x14ac:dyDescent="0.3">
      <c r="A80" s="226"/>
      <c r="B80" s="236" t="s">
        <v>338</v>
      </c>
      <c r="C80" s="236">
        <v>60</v>
      </c>
      <c r="D80" s="235">
        <f t="shared" si="13"/>
        <v>99000</v>
      </c>
      <c r="E80" s="237"/>
      <c r="F80" s="227">
        <f t="shared" si="8"/>
        <v>95961.309523809527</v>
      </c>
      <c r="G80" s="238">
        <f t="shared" si="3"/>
        <v>1.03166578792296</v>
      </c>
      <c r="H80" s="229">
        <f>($T$52+C80*$T$53)*$T$69</f>
        <v>98264.276015968368</v>
      </c>
      <c r="I80" s="230"/>
      <c r="J80" s="239">
        <f>H80-D80</f>
        <v>-735.72398403163243</v>
      </c>
      <c r="K80" s="239">
        <f t="shared" si="5"/>
        <v>735.72398403163243</v>
      </c>
      <c r="L80" s="239">
        <f>SUM($J$21:J80)</f>
        <v>15931.246510273311</v>
      </c>
      <c r="M80" s="239">
        <f>SUMSQ($J$21:J80)/C80</f>
        <v>7680106.7854245128</v>
      </c>
      <c r="N80" s="229">
        <f>SUM($K$21:K80)/C80</f>
        <v>2172.534450334344</v>
      </c>
      <c r="O80" s="239">
        <f>K80/D80*100</f>
        <v>0.7431555394258913</v>
      </c>
      <c r="P80" s="239">
        <f>AVERAGE($O$21:O80)</f>
        <v>3.1598156144390162</v>
      </c>
      <c r="Q80" s="240">
        <f>SUM($J$21:J80)/N80</f>
        <v>7.3330236525462507</v>
      </c>
    </row>
    <row r="81" spans="1:17" ht="15.75" thickBot="1" x14ac:dyDescent="0.3">
      <c r="A81" s="241" t="s">
        <v>385</v>
      </c>
      <c r="B81" s="226" t="s">
        <v>323</v>
      </c>
      <c r="C81" s="242">
        <v>61</v>
      </c>
      <c r="F81" s="243" t="s">
        <v>386</v>
      </c>
      <c r="G81" s="208"/>
      <c r="H81" s="244">
        <f>($T$52+C81*$T$53)*$T$58</f>
        <v>97099.121936123731</v>
      </c>
      <c r="I81" s="230"/>
      <c r="J81" s="230"/>
      <c r="K81" s="230"/>
      <c r="L81" s="230"/>
      <c r="M81" s="245" t="s">
        <v>387</v>
      </c>
      <c r="N81" s="246">
        <f>N80*1.25</f>
        <v>2715.66806291793</v>
      </c>
      <c r="O81" s="230"/>
      <c r="P81" s="230"/>
      <c r="Q81" s="208"/>
    </row>
    <row r="82" spans="1:17" x14ac:dyDescent="0.25">
      <c r="A82" s="242"/>
      <c r="B82" s="226" t="s">
        <v>326</v>
      </c>
      <c r="C82" s="247">
        <v>62</v>
      </c>
      <c r="G82" s="208"/>
      <c r="H82" s="244">
        <f>($T$52+C82*$T$53)*$T$59</f>
        <v>98315.316130621446</v>
      </c>
      <c r="I82" s="230"/>
      <c r="J82" s="230"/>
      <c r="K82" s="230"/>
      <c r="L82" s="230"/>
      <c r="M82" s="230"/>
      <c r="N82" s="230"/>
      <c r="O82" s="230"/>
      <c r="P82" s="230"/>
      <c r="Q82" s="208"/>
    </row>
    <row r="83" spans="1:17" x14ac:dyDescent="0.25">
      <c r="A83" s="242"/>
      <c r="B83" s="226" t="s">
        <v>327</v>
      </c>
      <c r="C83" s="247">
        <v>63</v>
      </c>
      <c r="G83" s="208"/>
      <c r="H83" s="244">
        <f>($T$52+C83*$T$53)*$T$60</f>
        <v>98386.529796434756</v>
      </c>
      <c r="I83" s="230"/>
      <c r="J83" s="230"/>
      <c r="K83" s="230"/>
      <c r="L83" s="230"/>
      <c r="M83" s="230"/>
      <c r="N83" s="230"/>
      <c r="O83" s="230"/>
      <c r="P83" s="230"/>
      <c r="Q83" s="208"/>
    </row>
    <row r="84" spans="1:17" x14ac:dyDescent="0.25">
      <c r="A84" s="242"/>
      <c r="B84" s="226" t="s">
        <v>329</v>
      </c>
      <c r="C84" s="247">
        <v>64</v>
      </c>
      <c r="G84" s="208"/>
      <c r="H84" s="244">
        <f>($T$52+C84*$T$53)*$T$61</f>
        <v>97205.016935746666</v>
      </c>
      <c r="I84" s="230"/>
      <c r="J84" s="230"/>
      <c r="K84" s="230"/>
      <c r="L84" s="230"/>
      <c r="M84" s="230"/>
      <c r="N84" s="230"/>
      <c r="O84" s="230"/>
      <c r="P84" s="230"/>
      <c r="Q84" s="208"/>
    </row>
    <row r="85" spans="1:17" x14ac:dyDescent="0.25">
      <c r="A85" s="242"/>
      <c r="B85" s="226" t="s">
        <v>330</v>
      </c>
      <c r="C85" s="247">
        <v>65</v>
      </c>
      <c r="G85" s="208"/>
      <c r="H85" s="244">
        <f>($T$52+C85*$T$53)*$T$62</f>
        <v>96485.239451653804</v>
      </c>
      <c r="I85" s="230"/>
      <c r="J85" s="230"/>
      <c r="K85" s="230"/>
      <c r="L85" s="230"/>
      <c r="M85" s="230"/>
      <c r="N85" s="230"/>
      <c r="O85" s="230"/>
      <c r="P85" s="230"/>
      <c r="Q85" s="208"/>
    </row>
    <row r="86" spans="1:17" x14ac:dyDescent="0.25">
      <c r="A86" s="242"/>
      <c r="B86" s="226" t="s">
        <v>332</v>
      </c>
      <c r="C86" s="247">
        <v>66</v>
      </c>
      <c r="G86" s="208"/>
      <c r="H86" s="244">
        <f>($T$52+C86*$T$53)*$T$63</f>
        <v>97438.405691917913</v>
      </c>
      <c r="I86" s="230"/>
      <c r="J86" s="230"/>
      <c r="K86" s="230"/>
      <c r="L86" s="230"/>
      <c r="M86" s="230"/>
      <c r="N86" s="230"/>
      <c r="O86" s="230"/>
      <c r="P86" s="230"/>
      <c r="Q86" s="208"/>
    </row>
    <row r="87" spans="1:17" x14ac:dyDescent="0.25">
      <c r="A87" s="242"/>
      <c r="B87" s="226" t="s">
        <v>333</v>
      </c>
      <c r="C87" s="247">
        <v>67</v>
      </c>
      <c r="G87" s="208"/>
      <c r="H87" s="244">
        <f>($T$52+C87*$T$53)*$T$64</f>
        <v>99493.875928406211</v>
      </c>
      <c r="I87" s="230"/>
      <c r="J87" s="230"/>
      <c r="K87" s="230"/>
      <c r="L87" s="230"/>
      <c r="M87" s="230"/>
      <c r="N87" s="230"/>
      <c r="O87" s="230"/>
      <c r="P87" s="230"/>
      <c r="Q87" s="208"/>
    </row>
    <row r="88" spans="1:17" x14ac:dyDescent="0.25">
      <c r="A88" s="242"/>
      <c r="B88" s="226" t="s">
        <v>334</v>
      </c>
      <c r="C88" s="247">
        <v>68</v>
      </c>
      <c r="G88" s="208"/>
      <c r="H88" s="244">
        <f>($T$52+C88*$T$53)*$T$65</f>
        <v>101890.3508447713</v>
      </c>
      <c r="I88" s="230"/>
      <c r="J88" s="230"/>
      <c r="K88" s="230"/>
      <c r="L88" s="230"/>
      <c r="M88" s="230"/>
      <c r="N88" s="230"/>
      <c r="O88" s="230"/>
      <c r="P88" s="230"/>
      <c r="Q88" s="208"/>
    </row>
    <row r="89" spans="1:17" x14ac:dyDescent="0.25">
      <c r="A89" s="242"/>
      <c r="B89" s="226" t="s">
        <v>335</v>
      </c>
      <c r="C89" s="247">
        <v>69</v>
      </c>
      <c r="G89" s="208"/>
      <c r="H89" s="244">
        <f>($T$52+C89*$T$53)*$T$66</f>
        <v>102151.82613013126</v>
      </c>
      <c r="I89" s="230"/>
      <c r="J89" s="230"/>
      <c r="K89" s="230"/>
      <c r="L89" s="230"/>
      <c r="M89" s="230"/>
      <c r="N89" s="230"/>
      <c r="O89" s="230"/>
      <c r="P89" s="230"/>
      <c r="Q89" s="208"/>
    </row>
    <row r="90" spans="1:17" x14ac:dyDescent="0.25">
      <c r="A90" s="242"/>
      <c r="B90" s="226" t="s">
        <v>336</v>
      </c>
      <c r="C90" s="247">
        <v>70</v>
      </c>
      <c r="G90" s="208"/>
      <c r="H90" s="244">
        <f>($T$52+C90*$T$53)*$T$67</f>
        <v>102903.84235057267</v>
      </c>
      <c r="I90" s="230"/>
      <c r="J90" s="230"/>
      <c r="K90" s="230"/>
      <c r="L90" s="230"/>
      <c r="M90" s="230"/>
      <c r="N90" s="230"/>
      <c r="O90" s="230"/>
      <c r="P90" s="230"/>
      <c r="Q90" s="208"/>
    </row>
    <row r="91" spans="1:17" x14ac:dyDescent="0.25">
      <c r="A91" s="242"/>
      <c r="B91" s="226" t="s">
        <v>337</v>
      </c>
      <c r="C91" s="247">
        <v>71</v>
      </c>
      <c r="H91" s="244">
        <f>($T$52+C91*$T$53)*$T$68</f>
        <v>103106.57101751573</v>
      </c>
      <c r="I91" s="230"/>
      <c r="J91" s="230"/>
      <c r="K91" s="230"/>
      <c r="L91" s="230"/>
      <c r="M91" s="230"/>
      <c r="N91" s="230"/>
      <c r="O91" s="230"/>
      <c r="P91" s="230"/>
      <c r="Q91" s="208"/>
    </row>
    <row r="92" spans="1:17" x14ac:dyDescent="0.25">
      <c r="A92" s="242"/>
      <c r="B92" s="236" t="s">
        <v>338</v>
      </c>
      <c r="C92" s="248">
        <v>72</v>
      </c>
      <c r="H92" s="244">
        <f>($T$52+C92*$T$53)*$T$69</f>
        <v>104366.25126258742</v>
      </c>
      <c r="I92" s="230"/>
      <c r="J92" s="230"/>
      <c r="K92" s="230"/>
      <c r="L92" s="230"/>
      <c r="M92" s="230"/>
      <c r="N92" s="230"/>
      <c r="O92" s="230"/>
      <c r="P92" s="230"/>
      <c r="Q92" s="208"/>
    </row>
  </sheetData>
  <mergeCells count="1">
    <mergeCell ref="K8:N8"/>
  </mergeCells>
  <pageMargins left="0.7" right="0.7" top="0.75" bottom="0.75" header="0.3" footer="0.3"/>
  <pageSetup paperSize="9" orientation="portrait" horizontalDpi="200" verticalDpi="200" copies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060A-E900-4C6A-B789-4000492AE20C}">
  <dimension ref="A4:M39"/>
  <sheetViews>
    <sheetView topLeftCell="A16" workbookViewId="0">
      <selection activeCell="C34" sqref="C34"/>
    </sheetView>
  </sheetViews>
  <sheetFormatPr baseColWidth="10" defaultRowHeight="15" x14ac:dyDescent="0.25"/>
  <sheetData>
    <row r="4" spans="1:13" ht="15.75" thickBot="1" x14ac:dyDescent="0.3">
      <c r="C4" t="s">
        <v>473</v>
      </c>
      <c r="I4" s="270" t="s">
        <v>475</v>
      </c>
      <c r="J4" s="270" t="s">
        <v>476</v>
      </c>
      <c r="K4" t="s">
        <v>479</v>
      </c>
      <c r="L4" s="270" t="s">
        <v>480</v>
      </c>
    </row>
    <row r="5" spans="1:13" x14ac:dyDescent="0.25">
      <c r="A5" s="125"/>
      <c r="B5" s="97" t="s">
        <v>460</v>
      </c>
      <c r="C5" s="97"/>
      <c r="D5" s="97">
        <f>B7*B9*B10*(19.5)</f>
        <v>3276</v>
      </c>
      <c r="E5" s="97"/>
      <c r="F5" s="97"/>
      <c r="G5" s="98"/>
      <c r="I5" s="270"/>
      <c r="J5" s="270"/>
      <c r="K5" s="270"/>
    </row>
    <row r="6" spans="1:13" x14ac:dyDescent="0.25">
      <c r="A6" s="51"/>
      <c r="B6" s="11"/>
      <c r="C6" s="11"/>
      <c r="D6" s="11"/>
      <c r="E6" s="11"/>
      <c r="F6" s="11"/>
      <c r="G6" s="272"/>
      <c r="I6" s="273">
        <v>40</v>
      </c>
      <c r="J6" s="270">
        <v>26</v>
      </c>
      <c r="K6" s="270"/>
      <c r="L6">
        <f>I6*J6*J7</f>
        <v>6240</v>
      </c>
      <c r="M6" s="9"/>
    </row>
    <row r="7" spans="1:13" x14ac:dyDescent="0.25">
      <c r="A7" s="51"/>
      <c r="B7" s="11">
        <v>300</v>
      </c>
      <c r="C7" s="11"/>
      <c r="D7" s="11"/>
      <c r="E7" s="11"/>
      <c r="F7" s="11"/>
      <c r="G7" s="272"/>
      <c r="I7" s="270"/>
      <c r="J7" s="270">
        <v>6</v>
      </c>
      <c r="K7" s="270"/>
      <c r="M7" s="9"/>
    </row>
    <row r="8" spans="1:13" x14ac:dyDescent="0.25">
      <c r="A8" s="51"/>
      <c r="B8" s="11" t="s">
        <v>461</v>
      </c>
      <c r="C8" s="11"/>
      <c r="D8" s="11"/>
      <c r="E8" s="11"/>
      <c r="F8" s="11"/>
      <c r="G8" s="272"/>
      <c r="I8" s="270"/>
      <c r="J8" s="270"/>
      <c r="K8" s="270"/>
      <c r="M8" s="9"/>
    </row>
    <row r="9" spans="1:13" x14ac:dyDescent="0.25">
      <c r="A9" s="51"/>
      <c r="B9" s="11">
        <v>0.7</v>
      </c>
      <c r="C9" s="11"/>
      <c r="D9" s="11"/>
      <c r="E9" s="11" t="s">
        <v>463</v>
      </c>
      <c r="F9" s="11">
        <f>+D5/D13</f>
        <v>0.78373205741626795</v>
      </c>
      <c r="G9" s="272">
        <v>1</v>
      </c>
      <c r="I9" s="270"/>
      <c r="J9" s="270"/>
      <c r="K9" s="270"/>
      <c r="M9" s="9"/>
    </row>
    <row r="10" spans="1:13" x14ac:dyDescent="0.25">
      <c r="A10" s="51"/>
      <c r="B10" s="11">
        <v>0.8</v>
      </c>
      <c r="C10" s="11"/>
      <c r="D10" s="11"/>
      <c r="E10" s="11"/>
      <c r="F10" s="11"/>
      <c r="G10" s="272"/>
      <c r="I10" s="270"/>
      <c r="J10" s="270"/>
      <c r="K10" s="270"/>
      <c r="M10" s="9"/>
    </row>
    <row r="11" spans="1:13" x14ac:dyDescent="0.25">
      <c r="A11" s="51"/>
      <c r="B11" s="11"/>
      <c r="C11" s="11"/>
      <c r="D11" s="11"/>
      <c r="E11" s="11"/>
      <c r="F11" s="11"/>
      <c r="G11" s="272"/>
      <c r="I11" s="270"/>
      <c r="J11" s="270"/>
      <c r="K11" s="270"/>
      <c r="M11" s="9"/>
    </row>
    <row r="12" spans="1:13" x14ac:dyDescent="0.25">
      <c r="A12" s="51"/>
      <c r="B12" s="11"/>
      <c r="C12" s="11"/>
      <c r="D12" s="11"/>
      <c r="E12" s="11"/>
      <c r="F12" s="11"/>
      <c r="G12" s="272"/>
      <c r="I12" s="270"/>
      <c r="J12" s="270"/>
      <c r="K12" s="270"/>
      <c r="M12" s="9">
        <f>L6+L17</f>
        <v>93600</v>
      </c>
    </row>
    <row r="13" spans="1:13" x14ac:dyDescent="0.25">
      <c r="A13" s="51"/>
      <c r="B13" s="11" t="s">
        <v>462</v>
      </c>
      <c r="C13" s="11"/>
      <c r="D13" s="271">
        <v>4180</v>
      </c>
      <c r="E13" s="11"/>
      <c r="F13" s="11"/>
      <c r="G13" s="272"/>
      <c r="I13" s="270"/>
      <c r="J13" s="270"/>
      <c r="K13" s="270"/>
      <c r="M13" s="9"/>
    </row>
    <row r="14" spans="1:13" ht="15.75" thickBot="1" x14ac:dyDescent="0.3">
      <c r="A14" s="130"/>
      <c r="B14" s="101"/>
      <c r="C14" s="101"/>
      <c r="D14" s="101"/>
      <c r="E14" s="101"/>
      <c r="F14" s="101"/>
      <c r="G14" s="102"/>
      <c r="I14" s="270"/>
      <c r="J14" s="270"/>
      <c r="K14" s="270"/>
      <c r="M14" s="9"/>
    </row>
    <row r="15" spans="1:13" x14ac:dyDescent="0.25">
      <c r="I15" s="270"/>
      <c r="J15" s="270"/>
      <c r="K15" s="270"/>
      <c r="M15" s="9"/>
    </row>
    <row r="16" spans="1:13" x14ac:dyDescent="0.25">
      <c r="C16" t="s">
        <v>474</v>
      </c>
      <c r="I16" s="270"/>
      <c r="J16" s="270"/>
      <c r="K16" s="270"/>
      <c r="M16" s="9"/>
    </row>
    <row r="17" spans="1:13" ht="15.75" thickBot="1" x14ac:dyDescent="0.3">
      <c r="I17" s="273">
        <v>40</v>
      </c>
      <c r="J17" s="270">
        <v>26</v>
      </c>
      <c r="K17" s="270" t="s">
        <v>477</v>
      </c>
      <c r="L17">
        <f>I17*J17*J18*I18</f>
        <v>87360</v>
      </c>
      <c r="M17" s="9"/>
    </row>
    <row r="18" spans="1:13" x14ac:dyDescent="0.25">
      <c r="A18" s="125"/>
      <c r="B18" s="97" t="s">
        <v>460</v>
      </c>
      <c r="C18" s="97"/>
      <c r="D18" s="97">
        <f>B20*B22*B23*(C21)</f>
        <v>28560</v>
      </c>
      <c r="E18" s="97"/>
      <c r="F18" s="97"/>
      <c r="G18" s="98"/>
      <c r="I18" s="270">
        <f>G22</f>
        <v>7</v>
      </c>
      <c r="J18" s="270">
        <v>12</v>
      </c>
      <c r="K18" s="270" t="s">
        <v>478</v>
      </c>
    </row>
    <row r="19" spans="1:13" x14ac:dyDescent="0.25">
      <c r="A19" s="51"/>
      <c r="B19" s="11"/>
      <c r="C19" s="11"/>
      <c r="D19" s="11"/>
      <c r="E19" s="11"/>
      <c r="F19" s="11"/>
      <c r="G19" s="272"/>
      <c r="I19" s="270"/>
      <c r="J19" s="270"/>
      <c r="K19" s="270"/>
    </row>
    <row r="20" spans="1:13" x14ac:dyDescent="0.25">
      <c r="A20" s="51"/>
      <c r="B20" s="11">
        <v>300</v>
      </c>
      <c r="C20" s="11"/>
      <c r="D20" s="11"/>
      <c r="E20" s="11"/>
      <c r="F20" s="11"/>
      <c r="G20" s="272"/>
      <c r="I20" s="270"/>
      <c r="J20" s="270"/>
      <c r="K20" s="270"/>
    </row>
    <row r="21" spans="1:13" x14ac:dyDescent="0.25">
      <c r="A21" s="51"/>
      <c r="B21" s="11" t="s">
        <v>461</v>
      </c>
      <c r="C21" s="11">
        <v>170</v>
      </c>
      <c r="D21" s="11"/>
      <c r="E21" s="11"/>
      <c r="F21" s="11"/>
      <c r="G21" s="272"/>
      <c r="I21" s="270"/>
      <c r="J21" s="270"/>
      <c r="K21" s="270"/>
    </row>
    <row r="22" spans="1:13" x14ac:dyDescent="0.25">
      <c r="A22" s="51"/>
      <c r="B22" s="11">
        <v>0.7</v>
      </c>
      <c r="C22" s="11"/>
      <c r="D22" s="11"/>
      <c r="E22" s="11" t="s">
        <v>463</v>
      </c>
      <c r="F22" s="11">
        <f>+D18/D26</f>
        <v>6.8325358851674638</v>
      </c>
      <c r="G22" s="272">
        <v>7</v>
      </c>
      <c r="I22" s="270"/>
      <c r="J22" s="270"/>
      <c r="K22" s="270"/>
    </row>
    <row r="23" spans="1:13" x14ac:dyDescent="0.25">
      <c r="A23" s="51"/>
      <c r="B23" s="11">
        <v>0.8</v>
      </c>
      <c r="C23" s="11"/>
      <c r="D23" s="11"/>
      <c r="E23" s="11"/>
      <c r="F23" s="11"/>
      <c r="G23" s="272"/>
      <c r="I23" s="270"/>
      <c r="J23" s="270"/>
      <c r="K23" s="270"/>
    </row>
    <row r="24" spans="1:13" x14ac:dyDescent="0.25">
      <c r="A24" s="51"/>
      <c r="B24" s="11"/>
      <c r="C24" s="11"/>
      <c r="D24" s="11"/>
      <c r="E24" s="11"/>
      <c r="F24" s="11"/>
      <c r="G24" s="272"/>
      <c r="I24" s="270"/>
      <c r="J24" s="270"/>
      <c r="K24" s="270"/>
    </row>
    <row r="25" spans="1:13" x14ac:dyDescent="0.25">
      <c r="A25" s="51"/>
      <c r="B25" s="11"/>
      <c r="C25" s="11"/>
      <c r="D25" s="11"/>
      <c r="E25" s="11"/>
      <c r="F25" s="11"/>
      <c r="G25" s="272"/>
      <c r="I25" s="270"/>
    </row>
    <row r="26" spans="1:13" x14ac:dyDescent="0.25">
      <c r="A26" s="51"/>
      <c r="B26" s="11" t="s">
        <v>462</v>
      </c>
      <c r="C26" s="11"/>
      <c r="D26" s="271">
        <v>4180</v>
      </c>
      <c r="E26" s="11"/>
      <c r="F26" s="11"/>
      <c r="G26" s="272"/>
      <c r="I26" s="270"/>
    </row>
    <row r="27" spans="1:13" x14ac:dyDescent="0.25">
      <c r="A27" s="51"/>
      <c r="B27" s="11"/>
      <c r="C27" s="11"/>
      <c r="D27" s="11"/>
      <c r="E27" s="11"/>
      <c r="F27" s="11"/>
      <c r="G27" s="272"/>
    </row>
    <row r="28" spans="1:13" ht="15.75" thickBot="1" x14ac:dyDescent="0.3">
      <c r="A28" s="130"/>
      <c r="B28" s="101"/>
      <c r="C28" s="101"/>
      <c r="D28" s="101"/>
      <c r="E28" s="101"/>
      <c r="F28" s="101"/>
      <c r="G28" s="102"/>
    </row>
    <row r="29" spans="1:13" ht="15.75" thickBot="1" x14ac:dyDescent="0.3"/>
    <row r="30" spans="1:13" x14ac:dyDescent="0.25">
      <c r="B30" s="125" t="s">
        <v>488</v>
      </c>
      <c r="C30" s="97"/>
      <c r="D30" s="97">
        <f>B32*C33*B34*B35</f>
        <v>19040</v>
      </c>
      <c r="E30" s="97"/>
      <c r="F30" s="97"/>
      <c r="G30" s="98"/>
    </row>
    <row r="31" spans="1:13" x14ac:dyDescent="0.25">
      <c r="B31" s="51"/>
      <c r="C31" s="11"/>
      <c r="D31" s="11"/>
      <c r="E31" s="11"/>
      <c r="F31" s="11"/>
      <c r="G31" s="272"/>
    </row>
    <row r="32" spans="1:13" x14ac:dyDescent="0.25">
      <c r="B32" s="51">
        <v>200</v>
      </c>
      <c r="C32" s="11"/>
      <c r="D32" s="11"/>
      <c r="E32" s="11"/>
      <c r="F32" s="11"/>
      <c r="G32" s="272"/>
      <c r="I32" s="268">
        <v>100</v>
      </c>
      <c r="J32" s="270">
        <v>26</v>
      </c>
      <c r="K32" s="270" t="s">
        <v>477</v>
      </c>
      <c r="L32">
        <f>I32*J32*J33*I33</f>
        <v>93600</v>
      </c>
    </row>
    <row r="33" spans="2:11" x14ac:dyDescent="0.25">
      <c r="B33" s="51" t="s">
        <v>461</v>
      </c>
      <c r="C33" s="11">
        <v>170</v>
      </c>
      <c r="D33" s="11"/>
      <c r="E33" s="11"/>
      <c r="F33" s="11"/>
      <c r="G33" s="272"/>
      <c r="I33" s="270">
        <f>G34</f>
        <v>3</v>
      </c>
      <c r="J33" s="270">
        <v>12</v>
      </c>
      <c r="K33" s="270" t="s">
        <v>478</v>
      </c>
    </row>
    <row r="34" spans="2:11" x14ac:dyDescent="0.25">
      <c r="B34" s="51">
        <v>0.7</v>
      </c>
      <c r="C34" s="11"/>
      <c r="D34" s="11"/>
      <c r="E34" s="11" t="s">
        <v>463</v>
      </c>
      <c r="F34" s="11">
        <f>D30/D37</f>
        <v>1.5866666666666667</v>
      </c>
      <c r="G34" s="272">
        <v>3</v>
      </c>
    </row>
    <row r="35" spans="2:11" x14ac:dyDescent="0.25">
      <c r="B35" s="51">
        <v>0.8</v>
      </c>
      <c r="C35" s="11"/>
      <c r="D35" s="11"/>
      <c r="E35" s="11"/>
      <c r="F35" s="11"/>
      <c r="G35" s="272"/>
    </row>
    <row r="36" spans="2:11" x14ac:dyDescent="0.25">
      <c r="B36" s="51"/>
      <c r="C36" s="11"/>
      <c r="D36" s="11"/>
      <c r="E36" s="11"/>
      <c r="F36" s="11"/>
      <c r="G36" s="272"/>
    </row>
    <row r="37" spans="2:11" x14ac:dyDescent="0.25">
      <c r="B37" s="51" t="s">
        <v>462</v>
      </c>
      <c r="C37" s="11"/>
      <c r="D37" s="268">
        <v>12000</v>
      </c>
      <c r="E37" s="11"/>
      <c r="F37" s="11"/>
      <c r="G37" s="272"/>
    </row>
    <row r="38" spans="2:11" x14ac:dyDescent="0.25">
      <c r="B38" s="51"/>
      <c r="C38" s="11"/>
      <c r="D38" s="11"/>
      <c r="E38" s="11"/>
      <c r="F38" s="11"/>
      <c r="G38" s="272"/>
    </row>
    <row r="39" spans="2:11" ht="15.75" thickBot="1" x14ac:dyDescent="0.3">
      <c r="B39" s="130"/>
      <c r="C39" s="101"/>
      <c r="D39" s="101"/>
      <c r="E39" s="101"/>
      <c r="F39" s="101"/>
      <c r="G39" s="102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</vt:lpstr>
      <vt:lpstr>Datos del edificios</vt:lpstr>
      <vt:lpstr>Volumen producto</vt:lpstr>
      <vt:lpstr>Envíos camión</vt:lpstr>
      <vt:lpstr>Envíos container</vt:lpstr>
      <vt:lpstr>Previsiones demanda</vt:lpstr>
      <vt:lpstr>Calculos iluminacion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Nuñez</dc:creator>
  <cp:lastModifiedBy>CARLOS NUEZ</cp:lastModifiedBy>
  <dcterms:created xsi:type="dcterms:W3CDTF">2021-03-04T19:14:43Z</dcterms:created>
  <dcterms:modified xsi:type="dcterms:W3CDTF">2021-08-31T21:50:56Z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4b1752-a977-4927-b9e6-e48a43684aee_Enabled">
    <vt:lpwstr>true</vt:lpwstr>
  </property>
  <property fmtid="{D5CDD505-2E9C-101B-9397-08002B2CF9AE}" pid="3" name="MSIP_Label_624b1752-a977-4927-b9e6-e48a43684aee_SetDate">
    <vt:lpwstr>2021-08-21T08:48:16Z</vt:lpwstr>
  </property>
  <property fmtid="{D5CDD505-2E9C-101B-9397-08002B2CF9AE}" pid="4" name="MSIP_Label_624b1752-a977-4927-b9e6-e48a43684aee_Method">
    <vt:lpwstr>Privileged</vt:lpwstr>
  </property>
  <property fmtid="{D5CDD505-2E9C-101B-9397-08002B2CF9AE}" pid="5" name="MSIP_Label_624b1752-a977-4927-b9e6-e48a43684aee_Name">
    <vt:lpwstr>Public</vt:lpwstr>
  </property>
  <property fmtid="{D5CDD505-2E9C-101B-9397-08002B2CF9AE}" pid="6" name="MSIP_Label_624b1752-a977-4927-b9e6-e48a43684aee_SiteId">
    <vt:lpwstr>031a09bc-a2bf-44df-888e-4e09355b7a24</vt:lpwstr>
  </property>
  <property fmtid="{D5CDD505-2E9C-101B-9397-08002B2CF9AE}" pid="7" name="MSIP_Label_624b1752-a977-4927-b9e6-e48a43684aee_ActionId">
    <vt:lpwstr>5fbd6822-94a3-44cd-a278-0aa6df4de8cc</vt:lpwstr>
  </property>
  <property fmtid="{D5CDD505-2E9C-101B-9397-08002B2CF9AE}" pid="8" name="MSIP_Label_624b1752-a977-4927-b9e6-e48a43684aee_ContentBits">
    <vt:lpwstr>0</vt:lpwstr>
  </property>
</Properties>
</file>