
<file path=[Content_Types].xml><?xml version="1.0" encoding="utf-8"?>
<Types xmlns="http://schemas.openxmlformats.org/package/2006/content-types"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0.xml" ContentType="application/vnd.openxmlformats-officedocument.spreadsheetml.worksheet+xml"/>
  <Override PartName="/xl/worksheets/sheet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2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9.xml" ContentType="application/vnd.openxmlformats-officedocument.spreadsheetml.worksheet+xml"/>
  <Override PartName="/xl/worksheets/sheet15.xml" ContentType="application/vnd.openxmlformats-officedocument.spreadsheetml.worksheet+xml"/>
  <Override PartName="/xl/worksheets/sheet4.xml" ContentType="application/vnd.openxmlformats-officedocument.spreadsheetml.worksheet+xml"/>
  <Override PartName="/xl/worksheets/sheet14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8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defaultThemeVersion="164011" filterPrivacy="1"/>
  <bookViews>
    <workbookView xWindow="-12135" yWindow="7545" windowWidth="21600" windowHeight="11385" firstSheet="8" activeTab="8"/>
  </bookViews>
  <sheets>
    <sheet sheetId="10" name="Registro MED" state="visible" r:id="rId4"/>
    <sheet sheetId="5" name="Registro" state="visible" r:id="rId5"/>
    <sheet sheetId="16" name="Registro2" state="visible" r:id="rId6"/>
    <sheet sheetId="12" name="Hoja2" state="visible" r:id="rId7"/>
    <sheet sheetId="7" name="Buscar" state="visible" r:id="rId8"/>
    <sheet sheetId="6" name="Base de Datos" state="visible" r:id="rId9"/>
    <sheet sheetId="9" name="Prescripcion MED" state="visible" r:id="rId10"/>
    <sheet sheetId="15" name="Prescripcion EQUINA" state="visible" r:id="rId11"/>
    <sheet sheetId="4" name="Prescripcion" state="visible" r:id="rId12"/>
    <sheet sheetId="14" name="Calculadora Equina" state="visible" r:id="rId13"/>
    <sheet sheetId="11" name="CALCULADOR DOSIS MED" state="visible" r:id="rId14"/>
    <sheet sheetId="2" name="CALCULADOR DOSIS GOTAS ML" state="visible" r:id="rId15"/>
    <sheet sheetId="3" name="Tablas" state="visible" r:id="rId16"/>
    <sheet sheetId="8" name="Hoja1" state="visible" r:id="rId17"/>
    <sheet sheetId="13" name="Hoja3" state="visible" r:id="rId18"/>
  </sheets>
  <definedNames>
    <definedName name="Datos">'Base de Datos'!$A$3:$R$7</definedName>
    <definedName name="Especie">Tablas!$P$4:$P$5</definedName>
    <definedName name="Print_Area">'Prescripcion MED'!$A$1:$H$34</definedName>
    <definedName name="Sexo">Tablas!$Q$4:$Q$5</definedName>
  </definedNames>
  <calcPr calcId="171027"/>
</workbook>
</file>

<file path=xl/sharedStrings.xml><?xml version="1.0" encoding="utf-8"?>
<sst xmlns="http://schemas.openxmlformats.org/spreadsheetml/2006/main" count="649" uniqueCount="265">
  <si>
    <t>Médico</t>
  </si>
  <si>
    <t>Nombre MD.:</t>
  </si>
  <si>
    <t>James Perez</t>
  </si>
  <si>
    <t>No. Tarjeta Profesional:</t>
  </si>
  <si>
    <t/>
  </si>
  <si>
    <t>Direccion:</t>
  </si>
  <si>
    <t>Carrera 44 # 76-218</t>
  </si>
  <si>
    <t>Municipio:</t>
  </si>
  <si>
    <t>Barranquilla</t>
  </si>
  <si>
    <t>Telefono:</t>
  </si>
  <si>
    <t>Email:</t>
  </si>
  <si>
    <t>vitalpetsveterinaria@gmail.com</t>
  </si>
  <si>
    <t xml:space="preserve"> Paciente</t>
  </si>
  <si>
    <t>Cedula</t>
  </si>
  <si>
    <t>Nombre</t>
  </si>
  <si>
    <t>Patricia Duarte</t>
  </si>
  <si>
    <t>Fecha de nacimiento</t>
  </si>
  <si>
    <t>Telefono</t>
  </si>
  <si>
    <t>Direccion</t>
  </si>
  <si>
    <t>Calle 34</t>
  </si>
  <si>
    <t>Municipio</t>
  </si>
  <si>
    <t>Vijes</t>
  </si>
  <si>
    <t>Departamento</t>
  </si>
  <si>
    <t>Valle</t>
  </si>
  <si>
    <t>Consulta</t>
  </si>
  <si>
    <t>Diagnostico</t>
  </si>
  <si>
    <t>Insomnio</t>
  </si>
  <si>
    <t>Dosis</t>
  </si>
  <si>
    <t>Critica</t>
  </si>
  <si>
    <t>Presentación</t>
  </si>
  <si>
    <t>Fecha de prescripción</t>
  </si>
  <si>
    <t>No. Prescripcion</t>
  </si>
  <si>
    <t>No Historia Clinica</t>
  </si>
  <si>
    <t>Lugar pescripcion</t>
  </si>
  <si>
    <t>Nombre MD. Veterinario:</t>
  </si>
  <si>
    <t>Laura Alejandra Duarte</t>
  </si>
  <si>
    <t>Veterinario/Clinica</t>
  </si>
  <si>
    <t>Camilo A Artunduaga Mafla</t>
  </si>
  <si>
    <t>Carrera 100b #11a-99 214H</t>
  </si>
  <si>
    <t>Luis H. Ortiz</t>
  </si>
  <si>
    <t>Ubicación:</t>
  </si>
  <si>
    <t>Valle Del Cauca</t>
  </si>
  <si>
    <t xml:space="preserve">Calle 12A # 108-130 </t>
  </si>
  <si>
    <t>Calle10 #31-143</t>
  </si>
  <si>
    <t>Cali</t>
  </si>
  <si>
    <t>laura.duarte@klean-vet.com</t>
  </si>
  <si>
    <t>AGREGAR BARRIO</t>
  </si>
  <si>
    <t>Cedula:</t>
  </si>
  <si>
    <t>Camilo.Artunduaga@Klean-vet.com</t>
  </si>
  <si>
    <t>lhog88@gmail.com</t>
  </si>
  <si>
    <t xml:space="preserve"> Propietario</t>
  </si>
  <si>
    <t>Propietario</t>
  </si>
  <si>
    <t>Belkys Rivera</t>
  </si>
  <si>
    <t>Dirección</t>
  </si>
  <si>
    <t>Calle 39 N #2bN -65</t>
  </si>
  <si>
    <t>Valle del Cauca</t>
  </si>
  <si>
    <t>Email</t>
  </si>
  <si>
    <t>Jose Johnattan Nañez</t>
  </si>
  <si>
    <t>Mascota</t>
  </si>
  <si>
    <t>Paciente</t>
  </si>
  <si>
    <t>Willy</t>
  </si>
  <si>
    <t>Especie</t>
  </si>
  <si>
    <t>Canino</t>
  </si>
  <si>
    <t>Peso</t>
  </si>
  <si>
    <t>Edad</t>
  </si>
  <si>
    <t>Jose.nanez@klean-vet.com</t>
  </si>
  <si>
    <t>Raza</t>
  </si>
  <si>
    <t>Criollo</t>
  </si>
  <si>
    <t>Sexo</t>
  </si>
  <si>
    <t>Hembra</t>
  </si>
  <si>
    <t>Franco Calderon</t>
  </si>
  <si>
    <t>INFLAMACION</t>
  </si>
  <si>
    <t>Frasco (2%) 30 mL 600 mg</t>
  </si>
  <si>
    <t>Calle 11a # 70-35</t>
  </si>
  <si>
    <t>Unidades</t>
  </si>
  <si>
    <t>Valentina Valencia López</t>
  </si>
  <si>
    <t>Av. 9A Norte # 17 - 25 | KANAVII FARMA</t>
  </si>
  <si>
    <t>kanavii.lulos@gmail.com</t>
  </si>
  <si>
    <t>Johana Molina</t>
  </si>
  <si>
    <t>vitalpetesveterinaria@gmail,com</t>
  </si>
  <si>
    <t>Atlantico</t>
  </si>
  <si>
    <t>Jose Jonattan Nañez</t>
  </si>
  <si>
    <t>Cr 41 # 57 Sur - 60</t>
  </si>
  <si>
    <t>Cali, Valle del Cauca</t>
  </si>
  <si>
    <t>jose.nanez@klean-vet.com</t>
  </si>
  <si>
    <t>Andrea Olaya Silva</t>
  </si>
  <si>
    <t>Km2 Via Chia Cota Sector San Remito</t>
  </si>
  <si>
    <t xml:space="preserve">Vereda Cerca e Piedra / Chia </t>
  </si>
  <si>
    <t>Cundinamarca</t>
  </si>
  <si>
    <t>Equino</t>
  </si>
  <si>
    <t>Dulce Quijote</t>
  </si>
  <si>
    <t>Equino razas medianas</t>
  </si>
  <si>
    <t>Criollo colombiano</t>
  </si>
  <si>
    <t>Macho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</si>
  <si>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d</t>
  </si>
  <si>
    <t>laminitis</t>
  </si>
  <si>
    <t>Frasco (3%) 100 mL 3000 mg</t>
  </si>
  <si>
    <t>Jaime M Ortegón</t>
  </si>
  <si>
    <t>Carrera 17 No 145-10 Bogta DC</t>
  </si>
  <si>
    <t>Bogota</t>
  </si>
  <si>
    <t>jmopvet@yahoo.com</t>
  </si>
  <si>
    <t>Base de Datos</t>
  </si>
  <si>
    <t>Carlos Calderon</t>
  </si>
  <si>
    <t>Reina</t>
  </si>
  <si>
    <t>Felino</t>
  </si>
  <si>
    <t>Criolla</t>
  </si>
  <si>
    <t>COMPORTAMIENTO</t>
  </si>
  <si>
    <t>Frasco (2%) 15 mL 300 mg</t>
  </si>
  <si>
    <t>Frasco (1%) 30 mL 300 mg</t>
  </si>
  <si>
    <t>No. Prescripción</t>
  </si>
  <si>
    <t>M.D.</t>
  </si>
  <si>
    <t>No. Historia Clinica</t>
  </si>
  <si>
    <t>Nombre paciente:</t>
  </si>
  <si>
    <t>Telefonos:</t>
  </si>
  <si>
    <t>Fecha de Nacimiento:</t>
  </si>
  <si>
    <t>Edad:</t>
  </si>
  <si>
    <t>Departamento:</t>
  </si>
  <si>
    <t>Fecha de prescripción:</t>
  </si>
  <si>
    <t>Diagnostico:</t>
  </si>
  <si>
    <t>Vigencia:</t>
  </si>
  <si>
    <t>30 días</t>
  </si>
  <si>
    <t>Concentración</t>
  </si>
  <si>
    <t>Tratamiento</t>
  </si>
  <si>
    <t>Cant</t>
  </si>
  <si>
    <t>Tratamiento requiere un seguimiento continuo durante el inicio del tratamiento. Cualquier novedad debe reportar al médico tratante. La siguiente consulta debe ser a los 20 días del inicio del tratamiento.</t>
  </si>
  <si>
    <t>Uno (1)</t>
  </si>
  <si>
    <t>Indicaciones</t>
  </si>
  <si>
    <t>Patologia</t>
  </si>
  <si>
    <r>
      <rPr>
        <b/>
        <color rgb="FF000000"/>
        <family val="2"/>
        <sz val="9"/>
        <rFont val="Arial"/>
      </rPr>
      <t>Advertencia</t>
    </r>
  </si>
  <si>
    <t>Pacientes con historia de hipersensibilidad a los componentes del producto como son el cannabidiol (CBD) tetrahidrocannabinol (THC) o al aceite de ajonjolí. Advertencias y precauciones: Para mayor información revisar nuestro sitio web www.klean-med.com</t>
  </si>
  <si>
    <t>MD</t>
  </si>
  <si>
    <t>TP</t>
  </si>
  <si>
    <t>Identificación Propietario:</t>
  </si>
  <si>
    <t>Peso:</t>
  </si>
  <si>
    <t>Nombre Propietario:</t>
  </si>
  <si>
    <t>Especie:</t>
  </si>
  <si>
    <t>Raza:</t>
  </si>
  <si>
    <t>Sexo:</t>
  </si>
  <si>
    <t>Unidades:</t>
  </si>
  <si>
    <t>Tratamiento:</t>
  </si>
  <si>
    <t>CBD: 3.0% p/v, THC &lt; 0.05% p/v: Preparación magistral no psicoactivo con base en extracto de cannabis full spectrum con concentración de cannabidiol (CBD) de 20mg/mL y una concentración de tetrahidrocannabinol (THC) menor a 0.5mg/mL.</t>
  </si>
  <si>
    <t>Vía de administración oral. Tratamiento requiere un seguimiento continuo durante el inicio del tratamiento por su acudiente. Cualquier novedad debe reportar al veterinario. La siguiente consulta debe ser a los 20 días del inicio del tratamiento.</t>
  </si>
  <si>
    <t>1 vez al día</t>
  </si>
  <si>
    <t>Semana 1</t>
  </si>
  <si>
    <t>Semana 2</t>
  </si>
  <si>
    <t>Semana 3</t>
  </si>
  <si>
    <t>Semana 4</t>
  </si>
  <si>
    <r>
      <rPr>
        <color rgb="FF000000"/>
        <family val="2"/>
        <sz val="9"/>
        <rFont val="Arial"/>
      </rPr>
      <t>Pacientes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con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historia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de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hipersensibilidad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a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los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componentes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del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producto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como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son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el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cannabidiol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(CBD)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tetrahidrocannabinol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(THC)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o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al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aceite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de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ajonjolí.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Advertencias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y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precauciones: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Para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mayor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información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revisar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nuestro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sitio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web</t>
    </r>
    <r>
      <rPr>
        <color rgb="FF000000"/>
        <family val="2"/>
        <sz val="9"/>
        <rFont val="Arial"/>
      </rPr>
      <t xml:space="preserve"> </t>
    </r>
    <r>
      <rPr>
        <color rgb="FF000000"/>
        <family val="2"/>
        <sz val="9"/>
        <rFont val="Arial"/>
      </rPr>
      <t>www.klean-vet.com</t>
    </r>
  </si>
  <si>
    <t>Cédula</t>
  </si>
  <si>
    <t>2 veces al día.</t>
  </si>
  <si>
    <t>LAPCC-Ver-2022</t>
  </si>
  <si>
    <t>TABLA DE DOSIS PARA EQUINOS 2000 mg RAZAS MEDIAS criollo colombiano 300-600 kg</t>
  </si>
  <si>
    <t>TABLA DE DOSIS PARA EQUINOS 2000 mg RAZAS PEQUEÑAS PONIS 150-300 kg</t>
  </si>
  <si>
    <t>Equino razas pequeñas</t>
  </si>
  <si>
    <t>TABLA DE DOSIS PARA EQUINOS 2000 mg RAZAS GRANDES 500-850 kg</t>
  </si>
  <si>
    <t>Equino razas grandes</t>
  </si>
  <si>
    <t>PATOLOGIA</t>
  </si>
  <si>
    <t>semana 1</t>
  </si>
  <si>
    <t>semana 2</t>
  </si>
  <si>
    <t>semana 3</t>
  </si>
  <si>
    <t>semana 4</t>
  </si>
  <si>
    <t>DOLOR CRONICO</t>
  </si>
  <si>
    <t>TRASTORNOS GASTROINTESTINALES</t>
  </si>
  <si>
    <t>INAPETENCIA</t>
  </si>
  <si>
    <t>LAMINITIS</t>
  </si>
  <si>
    <t>DERMATITIS ATOPICA</t>
  </si>
  <si>
    <t>PATOLOGIAS ARTICULARES</t>
  </si>
  <si>
    <t>Favor dilienciar la siguinte información:</t>
  </si>
  <si>
    <t>Condicion</t>
  </si>
  <si>
    <t>Categoria</t>
  </si>
  <si>
    <t>mgs son lo mismo al dia aunque cambie la presentación</t>
  </si>
  <si>
    <t>Dosis por frasco para determinar gotas por mg</t>
  </si>
  <si>
    <t>Médico veterinario la posología recomedada por Klean Vet  es la siguiente:</t>
  </si>
  <si>
    <t>Concentracion</t>
  </si>
  <si>
    <t>Presentacion</t>
  </si>
  <si>
    <t>Dosis diaria</t>
  </si>
  <si>
    <t xml:space="preserve">Limite min del gotero </t>
  </si>
  <si>
    <t>Gotas por kilo</t>
  </si>
  <si>
    <t>Dosis gotas</t>
  </si>
  <si>
    <t>Gotas redondeadas</t>
  </si>
  <si>
    <t>mL por kilo</t>
  </si>
  <si>
    <t>Dosis mL</t>
  </si>
  <si>
    <t>Dosis al dia</t>
  </si>
  <si>
    <t>mgs al día</t>
  </si>
  <si>
    <t>Trigger</t>
  </si>
  <si>
    <t>Valor</t>
  </si>
  <si>
    <t>Factor divisor</t>
  </si>
  <si>
    <t>Gotas redoneadas</t>
  </si>
  <si>
    <t>Dosis mL Redondeadas</t>
  </si>
  <si>
    <t>Se necesita pasar a gotas?</t>
  </si>
  <si>
    <t>Gotas</t>
  </si>
  <si>
    <t>mL</t>
  </si>
  <si>
    <t>DOSIFICACION DE CADA SEMANA</t>
  </si>
  <si>
    <t>CONDICION</t>
  </si>
  <si>
    <t>mg/kg</t>
  </si>
  <si>
    <t>mL/kg</t>
  </si>
  <si>
    <t>ANSIEDAD</t>
  </si>
  <si>
    <t>CANCER</t>
  </si>
  <si>
    <t>Dosis Total</t>
  </si>
  <si>
    <t>EMESIS</t>
  </si>
  <si>
    <t>1/2 Dosis</t>
  </si>
  <si>
    <t>1/3 Dosis</t>
  </si>
  <si>
    <t>total mg frasco</t>
  </si>
  <si>
    <t>mg en cada mL</t>
  </si>
  <si>
    <t>CONDICIONES GERIATRICAS</t>
  </si>
  <si>
    <t>1/4 Dosis</t>
  </si>
  <si>
    <t>Frasco (1%) 15 mL 150 mg</t>
  </si>
  <si>
    <t>ALERGIA</t>
  </si>
  <si>
    <t>ARTRITIS</t>
  </si>
  <si>
    <t>CONDICIONES NEURODEGENERATIVAS</t>
  </si>
  <si>
    <t>CONVULSIONES</t>
  </si>
  <si>
    <t>Concetracion</t>
  </si>
  <si>
    <t xml:space="preserve">DOLOR </t>
  </si>
  <si>
    <t>1%</t>
  </si>
  <si>
    <t>CBD: 1.0% p/v, THC &lt; 0.05% p/v: Preparación magistral no psicoactivo con base en extracto de cannabis full spectrum con concentración de cannabidiol (CBD) de 10mg/mL y una concentración de tetrahidrocannabinol (THC) menor a 0.5mg/mL.</t>
  </si>
  <si>
    <t>ENF. RENAL</t>
  </si>
  <si>
    <t>2%</t>
  </si>
  <si>
    <t>CBD: 2.0% p/v, THC &lt; 0.05% p/v: Preparación magistral no psicoactivo con base en extracto de cannabis full spectrum con concentración de cannabidiol (CBD) de 20mg/mL y una concentración de tetrahidrocannabinol (THC) menor a 0.5mg/mL.</t>
  </si>
  <si>
    <t>EPILEPSIA</t>
  </si>
  <si>
    <t>DISFUNCION COGNITIVA</t>
  </si>
  <si>
    <t>SALUD CARDIOVASCULAR</t>
  </si>
  <si>
    <t>SISTEMA INMUNOLOGICO</t>
  </si>
  <si>
    <t>TRASTORNO GASTORINTESTINAL</t>
  </si>
  <si>
    <t>TRASTORNO DE MOVILIDAD</t>
  </si>
  <si>
    <t>ESTRÉS</t>
  </si>
  <si>
    <t>Dosis normal</t>
  </si>
  <si>
    <t>Dosis Critica</t>
  </si>
  <si>
    <t>Ansiedad</t>
  </si>
  <si>
    <t>Paciente debe tomar vía oral 0.25mL dos (2) veces al día x diez (10) días. Puede aumentar a 0.5mL dos (2) veces al día de ser necesario después del día diez (10) y/o el día veinte (20). Si la concentración es de 10mg/mL. El Paciente debe tomar vía oral 0.5mL dos (2) veces al día x treinta (30) días. puede subir hasta 0.75mL al día.</t>
  </si>
  <si>
    <t>C1</t>
  </si>
  <si>
    <t>C2</t>
  </si>
  <si>
    <t>Dos (2) veces al dia</t>
  </si>
  <si>
    <t>Dolor</t>
  </si>
  <si>
    <t>Paciente debe tomar vía oral 0.5mL dos (2) veces al día x treinta (30) días.</t>
  </si>
  <si>
    <t>Paciente debe tomar vía oral 0.5mL una (1) hora antes de dormir x diez (10) días. Según sea necesario aumentar a 0.75mL una (1) hora antes de dormir x diez (10) días. Según sea necesario aumentar a 1.0mL una (1) hora antes de dormir x diez (10) días. Si es concentración de 10mg/mL. Paciente debe tomar vía oral 1.0mL antes de acostarse x treinta (30) días.</t>
  </si>
  <si>
    <t>Una (1) vez al dia</t>
  </si>
  <si>
    <t>TEPT – Trastorno Estrés Postraumático</t>
  </si>
  <si>
    <t>Paciente debe tomar vía oral 0.25mL dos (2) veces al día x diez (10) días. Aumentar a 0.5mL dos (2) veces al día x diez (10) días. Según sea necesario cambiar concentración a 20mg/mL y aumentar hasta 1.25mL dos (2) veces al día.</t>
  </si>
  <si>
    <t>Cefalea/Migraña</t>
  </si>
  <si>
    <t>Paciente debe tomar vía oral 0.5mL dos (2) veces al día x diez (10) días. Luego aumentar a 1.0 mL dos veces al día x 20 días.</t>
  </si>
  <si>
    <t>EPOC/Asma</t>
  </si>
  <si>
    <t>Paciente debe tomar vía oral 0.75mL una (1) vez al día x siete (7) días. Luego aumentar a 1.0mL una (1) vez al día x siete (7) días luego 1.25mL una (1) vez al día x quince (15) días.</t>
  </si>
  <si>
    <t>Sindrome agotamiento extremo</t>
  </si>
  <si>
    <t>Paciente debe tomar vía oral 0.5mL una (1) vez al día x diez (10) días, luego aumentar ar 0.75mL una (1) vez al día x diez (10) días y luego aumentar a 1.0mL una (1) vez al día.</t>
  </si>
  <si>
    <t>Cáncer/Cuidado paliativo</t>
  </si>
  <si>
    <t>Paciente debe tomar vía oral 1.0mL una (1) vez al día x treinta (30) días.</t>
  </si>
  <si>
    <t>Adicciones</t>
  </si>
  <si>
    <t>Paciente debe tomar vía oral 0.5mL una (1) vez al día x diez (10) días, luego aumentar a 1.0mL una (1) vez al día x 10 días y luego aumentar a 1.5mL una (1) vez al día.</t>
  </si>
  <si>
    <t>Epilepsia adultos</t>
  </si>
  <si>
    <t>Paciente debe tomar vía oral 0.5mL una (1) vez al día x diez (10) días, luego aumentar a 1.0mL una (1) vez al día x diez (10) días y luego aumentar a 1.5mL una (1) vez al día.</t>
  </si>
  <si>
    <t>x</t>
  </si>
  <si>
    <t>Neuropatía</t>
  </si>
  <si>
    <t>Normal</t>
  </si>
  <si>
    <t>Dolor Crónico</t>
  </si>
  <si>
    <t>Imsomnio</t>
  </si>
  <si>
    <t>Falta de apetito</t>
  </si>
  <si>
    <t>Intestino irritable</t>
  </si>
  <si>
    <t>CBD: 1.0% p/v, THC &lt; 0.05% p/v -Preparación magistral no psicoactivo con base en extracto de cannabis full spectrum con concentración de cannabidiol (CBD) de 10mg/mL y una concentración de tetrahidrocannabinol (THC) menor a 0.5mg/mL.</t>
  </si>
  <si>
    <t xml:space="preserve">Frasco de 30mL contiene 300mg (10mg/mL) </t>
  </si>
  <si>
    <t>CBD: 20% p/v, THC &lt; 0.1% p/v - Preparación magistral no psicoactivo con base en extracto de cannabis full spectrum con concentración de cannabidiol (CBD) de 20mg/mL y una concentración de tetrahidrocannabinol (THC) menor a 1mg/mL.</t>
  </si>
  <si>
    <t xml:space="preserve">Frasco de 30mL contiene 600mg (20mg/mL) </t>
  </si>
  <si>
    <t>C3</t>
  </si>
  <si>
    <t>THC: 1.0% p/v, CBD &lt; 0.05% p/v - Preparación magistral psicoactiva con base en extracto de cannabis full spectrum, con concentraciones de cannabidiol (CBD) menor al 5mg/ml y tetrahidrocannabinol (THC) de 10mg/mL.</t>
  </si>
  <si>
    <t>C4</t>
  </si>
  <si>
    <t>THC: 2.0% p/v, CBD &lt; 0.1% p/v - Preparación magistral psicoactiva con base en extracto de cannabis full spectrum, con concentraciones de cannabidiol (CBD) menor al 1mg/ml y tetrahidrocannabinol (THC) de 20mg/mL.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</si>
</sst>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color theme="1"/>
      <family val="2"/>
      <scheme val="minor"/>
      <sz val="11"/>
      <name val="Calibri"/>
    </font>
    <font>
      <b/>
      <color theme="0"/>
      <family val="1"/>
      <sz val="14"/>
      <name val="Georgia Pro"/>
    </font>
    <font>
      <b/>
      <color theme="1"/>
      <family val="2"/>
      <scheme val="minor"/>
      <sz val="12"/>
      <name val="Calibri"/>
    </font>
    <font>
      <color theme="1"/>
      <family val="2"/>
      <scheme val="minor"/>
      <sz val="12"/>
      <name val="Calibri"/>
    </font>
    <font>
      <u/>
      <color theme="10"/>
      <family val="2"/>
      <scheme val="minor"/>
      <sz val="11"/>
      <name val="Calibri"/>
    </font>
    <font>
      <b/>
      <color theme="0"/>
      <family val="1"/>
      <sz val="12"/>
      <name val="Georgia Pro"/>
    </font>
    <font>
      <b/>
      <color theme="0"/>
      <family val="2"/>
      <scheme val="minor"/>
      <sz val="12"/>
      <name val="Calibri"/>
    </font>
    <font>
      <b/>
      <color theme="1"/>
      <family val="1"/>
      <sz val="14"/>
      <name val="Georgia Pro"/>
    </font>
    <font>
      <b/>
      <color theme="1"/>
      <family val="2"/>
      <scheme val="minor"/>
      <sz val="18"/>
      <name val="Calibri"/>
    </font>
    <font>
      <b/>
      <color theme="1"/>
      <family val="2"/>
      <scheme val="minor"/>
      <sz val="11"/>
      <name val="Calibri"/>
    </font>
    <font>
      <b/>
      <color theme="0"/>
      <family val="2"/>
      <scheme val="minor"/>
      <sz val="11"/>
      <name val="Calibri"/>
    </font>
    <font>
      <color theme="1"/>
      <family val="2"/>
      <scheme val="minor"/>
      <sz val="18"/>
      <name val="Calibri"/>
    </font>
    <font>
      <color theme="1"/>
      <sz val="11"/>
      <name val="Gotica"/>
    </font>
    <font>
      <b/>
      <color rgb="FF000000"/>
      <family val="2"/>
      <sz val="9"/>
      <name val="Arial"/>
    </font>
    <font>
      <color rgb="FF000000"/>
      <family val="2"/>
      <sz val="9"/>
      <name val="Arial"/>
    </font>
    <font>
      <b/>
      <color rgb="FF1E1E1E"/>
      <family val="2"/>
      <sz val="12"/>
      <name val="Segoe UI"/>
    </font>
    <font>
      <color theme="1"/>
      <family val="5"/>
      <sz val="11"/>
      <name val="Blackadder ITC"/>
    </font>
    <font>
      <color rgb="FF000000"/>
      <family val="2"/>
      <scheme val="minor"/>
      <sz val="11"/>
      <name val="Calibri"/>
    </font>
    <font>
      <color rgb="FF000000"/>
      <family val="2"/>
      <scheme val="minor"/>
      <sz val="10"/>
      <name val="Calibri"/>
    </font>
    <font>
      <b/>
      <color rgb="FF000000"/>
      <family val="2"/>
      <scheme val="minor"/>
      <sz val="10"/>
      <name val="Calibri"/>
    </font>
    <font>
      <color theme="1"/>
      <family val="5"/>
      <sz val="14"/>
      <name val="Blackadder ITC"/>
    </font>
    <font>
      <b/>
      <family val="2"/>
      <sz val="12"/>
      <name val="Arial Narrow"/>
    </font>
    <font>
      <b/>
      <family val="2"/>
      <sz val="18"/>
      <name val="Arial Narrow"/>
    </font>
    <font>
      <b/>
      <color theme="1"/>
      <family val="2"/>
      <sz val="20"/>
      <name val="Arial Narrow"/>
    </font>
    <font>
      <family val="2"/>
      <sz val="12"/>
      <name val="Arial Narrow"/>
    </font>
    <font>
      <color theme="0"/>
      <family val="2"/>
      <scheme val="minor"/>
      <sz val="11"/>
      <name val="Calibri"/>
    </font>
    <font>
      <color theme="0"/>
      <family val="2"/>
      <scheme val="minor"/>
      <sz val="12"/>
      <name val="Calibri"/>
    </font>
    <font>
      <color theme="0" tint="-0.249977111117893"/>
      <family val="2"/>
      <scheme val="minor"/>
      <sz val="11"/>
      <name val="Calibri"/>
    </font>
    <font>
      <color rgb="FFFF0000"/>
      <family val="2"/>
      <scheme val="minor"/>
      <sz val="11"/>
      <name val="Calibri"/>
    </font>
    <font>
      <color theme="1"/>
      <family val="2"/>
      <scheme val="minor"/>
      <sz val="14"/>
      <name val="Calibri"/>
    </font>
    <font>
      <b/>
      <color theme="1"/>
      <family val="2"/>
      <scheme val="minor"/>
      <sz val="14"/>
      <name val="Calibri"/>
    </font>
    <font>
      <b/>
      <color theme="1"/>
      <family val="2"/>
      <sz val="14"/>
      <name val="Arial Narrow"/>
    </font>
    <font>
      <color theme="1"/>
      <family val="2"/>
      <sz val="12"/>
      <name val="Arial Narrow"/>
    </font>
    <font>
      <color rgb="FF2F5597"/>
      <family val="2"/>
      <sz val="12"/>
      <name val="Arial Narrow"/>
    </font>
    <font>
      <color theme="5" tint="-0.249977111117893"/>
      <family val="2"/>
      <scheme val="minor"/>
      <sz val="11"/>
      <name val="Calibri"/>
    </font>
    <font>
      <color rgb="FF222222"/>
      <family val="2"/>
      <sz val="10"/>
      <name val="Source Sans Pro"/>
    </font>
  </fonts>
  <fills count="19">
    <fill>
      <patternFill patternType="none"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7"/>
        <bgColor theme="7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9" tint="0.3999755851924192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EEEEEE"/>
      </left>
      <right style="medium">
        <color rgb="FFEEEEEE"/>
      </right>
      <top style="medium">
        <color rgb="FFDDDDDD"/>
      </top>
      <bottom style="medium">
        <color rgb="FFEEEEEE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EEEEEE"/>
      </left>
      <right/>
      <top/>
      <bottom/>
      <diagonal/>
    </border>
    <border>
      <left style="medium">
        <color rgb="FFEEEEEE"/>
      </left>
      <right style="medium">
        <color rgb="FFEEEEEE"/>
      </right>
      <top style="medium">
        <color rgb="FFEEEEEE"/>
      </top>
      <bottom style="medium">
        <color rgb="FFEEEEEE"/>
      </bottom>
      <diagonal/>
    </border>
    <border>
      <left style="medium">
        <color rgb="FFEEEEEE"/>
      </left>
      <right style="medium">
        <color rgb="FFEEEEEE"/>
      </right>
      <top style="medium">
        <color rgb="FFEEEEEE"/>
      </top>
      <bottom style="medium">
        <color rgb="FFDDDDDD"/>
      </bottom>
      <diagonal/>
    </border>
    <border>
      <left style="medium">
        <color rgb="FFEEEEEE"/>
      </left>
      <right style="medium">
        <color rgb="FFDDDDDD"/>
      </right>
      <top style="medium">
        <color rgb="FFEEEEEE"/>
      </top>
      <bottom style="medium">
        <color rgb="FFDDDDDD"/>
      </bottom>
      <diagonal/>
    </border>
    <border>
      <left style="medium">
        <color rgb="FFDDDDDD"/>
      </left>
      <right style="medium">
        <color rgb="FFEEEEEE"/>
      </right>
      <top style="medium">
        <color rgb="FFDDDDDD"/>
      </top>
      <bottom style="medium">
        <color rgb="FFEEEEEE"/>
      </bottom>
      <diagonal/>
    </border>
    <border>
      <left style="medium">
        <color rgb="FFDDDDDD"/>
      </left>
      <right style="medium">
        <color rgb="FFEEEEEE"/>
      </right>
      <top style="medium">
        <color rgb="FFDDDDDD"/>
      </top>
      <bottom style="medium">
        <color rgb="FFDDDDDD"/>
      </bottom>
      <diagonal/>
    </border>
  </borders>
  <cellStyleXfs count="1">
    <xf numFmtId="0" fontId="0" fillId="0" borderId="0"/>
  </cellStyleXfs>
  <cellXfs count="22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1" fillId="3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4" borderId="3" xfId="0" applyFont="1" applyFill="1" applyBorder="1"/>
    <xf numFmtId="0" fontId="3" fillId="4" borderId="4" xfId="0" applyFont="1" applyFill="1" applyBorder="1" applyAlignment="1">
      <alignment horizontal="center" vertical="center"/>
    </xf>
    <xf numFmtId="0" fontId="2" fillId="4" borderId="5" xfId="0" applyFont="1" applyFill="1" applyBorder="1"/>
    <xf numFmtId="0" fontId="3" fillId="4" borderId="6" xfId="0" applyFont="1" applyFill="1" applyBorder="1" applyAlignment="1">
      <alignment horizontal="center" vertical="center"/>
    </xf>
    <xf numFmtId="0" fontId="2" fillId="4" borderId="7" xfId="0" applyFont="1" applyFill="1" applyBorder="1"/>
    <xf numFmtId="0" fontId="4" fillId="0" borderId="8" xfId="0" applyFont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3" fillId="4" borderId="4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14" fontId="0" fillId="2" borderId="0" xfId="0" applyNumberFormat="1" applyFill="1"/>
    <xf numFmtId="0" fontId="3" fillId="4" borderId="3" xfId="0" applyFont="1" applyFill="1" applyBorder="1"/>
    <xf numFmtId="0" fontId="3" fillId="4" borderId="5" xfId="0" applyFont="1" applyFill="1" applyBorder="1"/>
    <xf numFmtId="0" fontId="3" fillId="4" borderId="9" xfId="0" applyFont="1" applyFill="1" applyBorder="1" applyAlignment="1">
      <alignment horizontal="center" vertical="center"/>
    </xf>
    <xf numFmtId="0" fontId="3" fillId="4" borderId="7" xfId="0" applyFont="1" applyFill="1" applyBorder="1"/>
    <xf numFmtId="0" fontId="2" fillId="2" borderId="10" xfId="0" applyFont="1" applyFill="1" applyBorder="1"/>
    <xf numFmtId="14" fontId="3" fillId="2" borderId="10" xfId="0" applyNumberFormat="1" applyFont="1" applyFill="1" applyBorder="1" applyAlignment="1">
      <alignment horizontal="right" vertical="center"/>
    </xf>
    <xf numFmtId="0" fontId="3" fillId="2" borderId="10" xfId="0" applyFont="1" applyFill="1" applyBorder="1" applyAlignment="1">
      <alignment horizontal="right" vertical="center"/>
    </xf>
    <xf numFmtId="0" fontId="3" fillId="2" borderId="0" xfId="0" applyFont="1" applyFill="1"/>
    <xf numFmtId="0" fontId="3" fillId="2" borderId="0" xfId="0" applyFont="1" applyFill="1" applyAlignment="1">
      <alignment horizontal="left"/>
    </xf>
    <xf numFmtId="0" fontId="3" fillId="2" borderId="0" xfId="0" applyFont="1" applyFill="1" applyAlignment="1">
      <alignment horizontal="center"/>
    </xf>
    <xf numFmtId="0" fontId="3" fillId="4" borderId="1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left" vertical="center"/>
    </xf>
    <xf numFmtId="0" fontId="5" fillId="5" borderId="2" xfId="0" applyFont="1" applyFill="1" applyBorder="1" applyAlignment="1">
      <alignment horizontal="left" vertical="center"/>
    </xf>
    <xf numFmtId="1" fontId="3" fillId="4" borderId="11" xfId="0" applyNumberFormat="1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/>
    </xf>
    <xf numFmtId="0" fontId="3" fillId="6" borderId="0" xfId="0" applyFont="1" applyFill="1" applyAlignment="1">
      <alignment horizontal="center"/>
    </xf>
    <xf numFmtId="3" fontId="3" fillId="4" borderId="11" xfId="0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3" fontId="3" fillId="0" borderId="11" xfId="0" applyNumberFormat="1" applyFont="1" applyBorder="1" applyAlignment="1">
      <alignment horizontal="center" vertical="center"/>
    </xf>
    <xf numFmtId="14" fontId="3" fillId="2" borderId="0" xfId="0" applyNumberFormat="1" applyFont="1" applyFill="1"/>
    <xf numFmtId="0" fontId="2" fillId="4" borderId="3" xfId="0" applyFont="1" applyFill="1" applyBorder="1" applyAlignment="1">
      <alignment horizontal="left"/>
    </xf>
    <xf numFmtId="0" fontId="3" fillId="4" borderId="13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left"/>
    </xf>
    <xf numFmtId="0" fontId="2" fillId="4" borderId="7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2" borderId="0" xfId="0" applyFont="1" applyFill="1" applyAlignment="1">
      <alignment horizontal="left"/>
    </xf>
    <xf numFmtId="0" fontId="7" fillId="7" borderId="1" xfId="0" applyFont="1" applyFill="1" applyBorder="1" applyAlignment="1">
      <alignment horizontal="left" vertical="center"/>
    </xf>
    <xf numFmtId="0" fontId="1" fillId="7" borderId="2" xfId="0" applyFont="1" applyFill="1" applyBorder="1" applyAlignment="1">
      <alignment horizontal="left" vertical="center"/>
    </xf>
    <xf numFmtId="0" fontId="2" fillId="3" borderId="3" xfId="0" applyFont="1" applyFill="1" applyBorder="1"/>
    <xf numFmtId="0" fontId="3" fillId="3" borderId="11" xfId="0" applyFont="1" applyFill="1" applyBorder="1" applyAlignment="1">
      <alignment horizontal="center" vertical="center"/>
    </xf>
    <xf numFmtId="0" fontId="2" fillId="3" borderId="5" xfId="0" applyFont="1" applyFill="1" applyBorder="1"/>
    <xf numFmtId="0" fontId="3" fillId="3" borderId="12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/>
    </xf>
    <xf numFmtId="0" fontId="2" fillId="3" borderId="7" xfId="0" applyFont="1" applyFill="1" applyBorder="1"/>
    <xf numFmtId="3" fontId="3" fillId="3" borderId="11" xfId="0" applyNumberFormat="1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left" vertical="center"/>
    </xf>
    <xf numFmtId="0" fontId="8" fillId="7" borderId="2" xfId="0" applyFont="1" applyFill="1" applyBorder="1" applyAlignment="1">
      <alignment horizontal="left" vertical="center"/>
    </xf>
    <xf numFmtId="3" fontId="0" fillId="2" borderId="0" xfId="0" applyNumberFormat="1" applyFill="1"/>
    <xf numFmtId="0" fontId="2" fillId="3" borderId="3" xfId="0" applyFont="1" applyFill="1" applyBorder="1" applyAlignment="1">
      <alignment horizontal="left"/>
    </xf>
    <xf numFmtId="0" fontId="3" fillId="3" borderId="1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left"/>
    </xf>
    <xf numFmtId="0" fontId="2" fillId="3" borderId="7" xfId="0" applyFont="1" applyFill="1" applyBorder="1" applyAlignment="1">
      <alignment horizontal="left"/>
    </xf>
    <xf numFmtId="0" fontId="2" fillId="3" borderId="3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left"/>
    </xf>
    <xf numFmtId="0" fontId="1" fillId="5" borderId="1" xfId="0" applyFont="1" applyFill="1" applyBorder="1" applyAlignment="1">
      <alignment horizontal="left" vertical="center"/>
    </xf>
    <xf numFmtId="0" fontId="1" fillId="5" borderId="2" xfId="0" applyFont="1" applyFill="1" applyBorder="1" applyAlignment="1">
      <alignment horizontal="left" vertical="center"/>
    </xf>
    <xf numFmtId="0" fontId="10" fillId="8" borderId="14" xfId="0" applyFont="1" applyFill="1" applyBorder="1"/>
    <xf numFmtId="0" fontId="10" fillId="8" borderId="15" xfId="0" applyFont="1" applyFill="1" applyBorder="1"/>
    <xf numFmtId="0" fontId="10" fillId="8" borderId="16" xfId="0" applyFont="1" applyFill="1" applyBorder="1"/>
    <xf numFmtId="0" fontId="11" fillId="0" borderId="0" xfId="0" applyFont="1" applyAlignment="1">
      <alignment horizontal="center" wrapText="1"/>
    </xf>
    <xf numFmtId="0" fontId="12" fillId="0" borderId="0" xfId="0" applyFont="1"/>
    <xf numFmtId="0" fontId="12" fillId="0" borderId="17" xfId="0" applyFont="1" applyBorder="1"/>
    <xf numFmtId="0" fontId="0" fillId="0" borderId="17" xfId="0" applyBorder="1"/>
    <xf numFmtId="0" fontId="13" fillId="0" borderId="0" xfId="0" applyFont="1" applyAlignment="1">
      <alignment vertical="top"/>
    </xf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 wrapText="1"/>
    </xf>
    <xf numFmtId="0" fontId="13" fillId="0" borderId="0" xfId="0" applyFont="1" applyAlignment="1">
      <alignment horizontal="left" vertical="top"/>
    </xf>
    <xf numFmtId="0" fontId="9" fillId="0" borderId="0" xfId="0" applyFont="1"/>
    <xf numFmtId="0" fontId="15" fillId="0" borderId="0" xfId="0" applyFont="1"/>
    <xf numFmtId="14" fontId="14" fillId="0" borderId="0" xfId="0" applyNumberFormat="1" applyFont="1" applyAlignment="1">
      <alignment horizontal="left" vertical="top" wrapText="1"/>
    </xf>
    <xf numFmtId="0" fontId="13" fillId="0" borderId="10" xfId="0" applyFont="1" applyBorder="1" applyAlignment="1">
      <alignment horizontal="center" vertical="top"/>
    </xf>
    <xf numFmtId="0" fontId="13" fillId="0" borderId="10" xfId="0" applyFont="1" applyBorder="1" applyAlignment="1">
      <alignment vertical="top"/>
    </xf>
    <xf numFmtId="0" fontId="14" fillId="0" borderId="10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18" xfId="0" applyFont="1" applyBorder="1" applyAlignment="1">
      <alignment horizontal="left" vertical="top"/>
    </xf>
    <xf numFmtId="0" fontId="13" fillId="0" borderId="19" xfId="0" applyFont="1" applyBorder="1" applyAlignment="1">
      <alignment horizontal="left" vertical="top"/>
    </xf>
    <xf numFmtId="14" fontId="14" fillId="0" borderId="18" xfId="0" applyNumberFormat="1" applyFont="1" applyBorder="1" applyAlignment="1">
      <alignment horizontal="left" vertical="top" wrapText="1"/>
    </xf>
    <xf numFmtId="0" fontId="14" fillId="0" borderId="19" xfId="0" applyFont="1" applyBorder="1" applyAlignment="1">
      <alignment horizontal="left" vertical="top" wrapText="1"/>
    </xf>
    <xf numFmtId="0" fontId="14" fillId="0" borderId="18" xfId="0" applyFont="1" applyBorder="1" applyAlignment="1">
      <alignment vertical="top"/>
    </xf>
    <xf numFmtId="0" fontId="14" fillId="0" borderId="20" xfId="0" applyFont="1" applyBorder="1" applyAlignment="1">
      <alignment vertical="top"/>
    </xf>
    <xf numFmtId="0" fontId="14" fillId="0" borderId="19" xfId="0" applyFont="1" applyBorder="1" applyAlignment="1">
      <alignment vertical="top"/>
    </xf>
    <xf numFmtId="0" fontId="0" fillId="4" borderId="18" xfId="0" applyFill="1" applyBorder="1" applyAlignment="1">
      <alignment horizontal="left" vertical="center" wrapText="1"/>
    </xf>
    <xf numFmtId="0" fontId="0" fillId="4" borderId="20" xfId="0" applyFill="1" applyBorder="1" applyAlignment="1">
      <alignment horizontal="left" vertical="center" wrapText="1"/>
    </xf>
    <xf numFmtId="0" fontId="0" fillId="4" borderId="19" xfId="0" applyFill="1" applyBorder="1" applyAlignment="1">
      <alignment horizontal="left" vertical="center" wrapText="1"/>
    </xf>
    <xf numFmtId="0" fontId="14" fillId="0" borderId="0" xfId="0" applyFont="1" applyAlignment="1">
      <alignment vertical="top"/>
    </xf>
    <xf numFmtId="0" fontId="13" fillId="0" borderId="10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top" wrapText="1"/>
    </xf>
    <xf numFmtId="0" fontId="16" fillId="0" borderId="17" xfId="0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 wrapText="1"/>
    </xf>
    <xf numFmtId="0" fontId="0" fillId="0" borderId="21" xfId="0" applyBorder="1" applyAlignment="1">
      <alignment horizontal="center" wrapText="1"/>
    </xf>
    <xf numFmtId="0" fontId="0" fillId="0" borderId="17" xfId="0" applyBorder="1" applyAlignment="1">
      <alignment vertical="center"/>
    </xf>
    <xf numFmtId="0" fontId="17" fillId="0" borderId="0" xfId="0" applyFont="1" applyAlignment="1">
      <alignment horizontal="left" vertical="top"/>
    </xf>
    <xf numFmtId="0" fontId="17" fillId="0" borderId="0" xfId="0" applyFont="1" applyAlignment="1">
      <alignment horizontal="left" vertical="top" wrapText="1"/>
    </xf>
    <xf numFmtId="0" fontId="13" fillId="0" borderId="0" xfId="0" applyFont="1" applyAlignment="1">
      <alignment horizontal="left" vertical="top" wrapText="1"/>
    </xf>
    <xf numFmtId="3" fontId="17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14" fontId="17" fillId="0" borderId="0" xfId="0" applyNumberFormat="1" applyFont="1" applyAlignment="1">
      <alignment horizontal="left" vertical="center" wrapText="1"/>
    </xf>
    <xf numFmtId="0" fontId="0" fillId="0" borderId="0" xfId="0" applyAlignment="1">
      <alignment vertical="center"/>
    </xf>
    <xf numFmtId="0" fontId="9" fillId="0" borderId="0" xfId="0" applyFont="1" applyAlignment="1">
      <alignment horizontal="left" vertical="center"/>
    </xf>
    <xf numFmtId="0" fontId="17" fillId="0" borderId="17" xfId="0" applyFont="1" applyBorder="1" applyAlignment="1">
      <alignment vertical="center" wrapText="1"/>
    </xf>
    <xf numFmtId="0" fontId="13" fillId="0" borderId="0" xfId="0" applyFont="1" applyAlignment="1">
      <alignment vertical="center"/>
    </xf>
    <xf numFmtId="0" fontId="0" fillId="0" borderId="17" xfId="0" applyBorder="1" applyAlignment="1">
      <alignment horizontal="left" vertical="center"/>
    </xf>
    <xf numFmtId="0" fontId="18" fillId="0" borderId="10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/>
    </xf>
    <xf numFmtId="0" fontId="13" fillId="0" borderId="18" xfId="0" applyFont="1" applyBorder="1" applyAlignment="1">
      <alignment horizontal="left" vertical="center"/>
    </xf>
    <xf numFmtId="0" fontId="13" fillId="0" borderId="19" xfId="0" applyFont="1" applyBorder="1" applyAlignment="1">
      <alignment horizontal="left" vertical="center"/>
    </xf>
    <xf numFmtId="0" fontId="14" fillId="0" borderId="18" xfId="0" applyFont="1" applyBorder="1" applyAlignment="1">
      <alignment horizontal="center" vertical="center" wrapText="1"/>
    </xf>
    <xf numFmtId="0" fontId="14" fillId="0" borderId="19" xfId="0" applyFont="1" applyBorder="1" applyAlignment="1">
      <alignment horizontal="center" vertical="center" wrapText="1"/>
    </xf>
    <xf numFmtId="0" fontId="13" fillId="0" borderId="10" xfId="0" applyFont="1" applyBorder="1" applyAlignment="1">
      <alignment vertical="center"/>
    </xf>
    <xf numFmtId="0" fontId="14" fillId="0" borderId="10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3" fontId="0" fillId="0" borderId="0" xfId="0" applyNumberFormat="1" applyAlignment="1">
      <alignment horizontal="left"/>
    </xf>
    <xf numFmtId="0" fontId="0" fillId="0" borderId="17" xfId="0" applyBorder="1" applyAlignment="1">
      <alignment horizontal="left" wrapText="1"/>
    </xf>
    <xf numFmtId="0" fontId="0" fillId="6" borderId="0" xfId="0" applyFill="1"/>
    <xf numFmtId="0" fontId="21" fillId="9" borderId="1" xfId="0" applyFont="1" applyFill="1" applyBorder="1" applyAlignment="1">
      <alignment horizontal="center" vertical="center" wrapText="1"/>
    </xf>
    <xf numFmtId="0" fontId="21" fillId="9" borderId="22" xfId="0" applyFont="1" applyFill="1" applyBorder="1" applyAlignment="1">
      <alignment horizontal="center" vertical="center" wrapText="1"/>
    </xf>
    <xf numFmtId="0" fontId="21" fillId="9" borderId="2" xfId="0" applyFont="1" applyFill="1" applyBorder="1" applyAlignment="1">
      <alignment horizontal="center" vertical="center" wrapText="1"/>
    </xf>
    <xf numFmtId="0" fontId="21" fillId="9" borderId="0" xfId="0" applyFont="1" applyFill="1" applyAlignment="1">
      <alignment horizontal="center" vertical="center" wrapText="1"/>
    </xf>
    <xf numFmtId="0" fontId="21" fillId="10" borderId="1" xfId="0" applyFont="1" applyFill="1" applyBorder="1" applyAlignment="1">
      <alignment horizontal="center" vertical="center" wrapText="1"/>
    </xf>
    <xf numFmtId="0" fontId="21" fillId="10" borderId="22" xfId="0" applyFont="1" applyFill="1" applyBorder="1" applyAlignment="1">
      <alignment horizontal="center" vertical="center" wrapText="1"/>
    </xf>
    <xf numFmtId="0" fontId="22" fillId="9" borderId="23" xfId="0" applyFont="1" applyFill="1" applyBorder="1" applyAlignment="1">
      <alignment horizontal="center" vertical="center" wrapText="1"/>
    </xf>
    <xf numFmtId="0" fontId="23" fillId="11" borderId="23" xfId="0" applyFont="1" applyFill="1" applyBorder="1" applyAlignment="1">
      <alignment horizontal="center"/>
    </xf>
    <xf numFmtId="0" fontId="23" fillId="11" borderId="0" xfId="0" applyFont="1" applyFill="1" applyAlignment="1">
      <alignment horizontal="center"/>
    </xf>
    <xf numFmtId="0" fontId="23" fillId="10" borderId="23" xfId="0" applyFont="1" applyFill="1" applyBorder="1" applyAlignment="1">
      <alignment horizontal="center"/>
    </xf>
    <xf numFmtId="0" fontId="23" fillId="10" borderId="0" xfId="0" applyFont="1" applyFill="1" applyAlignment="1">
      <alignment horizontal="center"/>
    </xf>
    <xf numFmtId="0" fontId="24" fillId="9" borderId="10" xfId="0" applyFont="1" applyFill="1" applyBorder="1" applyAlignment="1">
      <alignment horizontal="center" vertical="center" wrapText="1"/>
    </xf>
    <xf numFmtId="0" fontId="0" fillId="12" borderId="10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25" fillId="4" borderId="0" xfId="0" applyFont="1" applyFill="1"/>
    <xf numFmtId="0" fontId="0" fillId="4" borderId="0" xfId="0" applyFill="1"/>
    <xf numFmtId="0" fontId="6" fillId="13" borderId="24" xfId="0" applyFont="1" applyFill="1" applyBorder="1" applyAlignment="1">
      <alignment horizontal="center" wrapText="1"/>
    </xf>
    <xf numFmtId="0" fontId="6" fillId="13" borderId="25" xfId="0" applyFont="1" applyFill="1" applyBorder="1" applyAlignment="1">
      <alignment horizontal="center" wrapText="1"/>
    </xf>
    <xf numFmtId="0" fontId="26" fillId="13" borderId="25" xfId="0" applyFont="1" applyFill="1" applyBorder="1"/>
    <xf numFmtId="0" fontId="26" fillId="13" borderId="26" xfId="0" applyFont="1" applyFill="1" applyBorder="1" applyAlignment="1">
      <alignment horizontal="center"/>
    </xf>
    <xf numFmtId="0" fontId="26" fillId="13" borderId="13" xfId="0" applyFont="1" applyFill="1" applyBorder="1" applyAlignment="1">
      <alignment horizontal="center"/>
    </xf>
    <xf numFmtId="0" fontId="0" fillId="3" borderId="27" xfId="0" applyFill="1" applyBorder="1" applyAlignment="1">
      <alignment horizontal="center" wrapText="1"/>
    </xf>
    <xf numFmtId="0" fontId="0" fillId="3" borderId="2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12" xfId="0" applyFill="1" applyBorder="1"/>
    <xf numFmtId="0" fontId="9" fillId="4" borderId="0" xfId="0" applyFont="1" applyFill="1" applyAlignment="1">
      <alignment horizontal="left" vertical="center"/>
    </xf>
    <xf numFmtId="0" fontId="0" fillId="4" borderId="3" xfId="0" applyFill="1" applyBorder="1" applyAlignment="1">
      <alignment horizontal="left" wrapText="1"/>
    </xf>
    <xf numFmtId="0" fontId="0" fillId="4" borderId="30" xfId="0" applyFill="1" applyBorder="1" applyAlignment="1">
      <alignment horizontal="left" wrapText="1"/>
    </xf>
    <xf numFmtId="0" fontId="0" fillId="4" borderId="9" xfId="0" applyFill="1" applyBorder="1" applyAlignment="1">
      <alignment horizontal="left" wrapText="1"/>
    </xf>
    <xf numFmtId="0" fontId="0" fillId="4" borderId="1" xfId="0" applyFill="1" applyBorder="1" applyAlignment="1">
      <alignment vertical="center" wrapText="1"/>
    </xf>
    <xf numFmtId="0" fontId="0" fillId="4" borderId="22" xfId="0" applyFill="1" applyBorder="1" applyAlignment="1">
      <alignment vertical="center" wrapText="1"/>
    </xf>
    <xf numFmtId="0" fontId="0" fillId="4" borderId="2" xfId="0" applyFill="1" applyBorder="1" applyAlignment="1">
      <alignment vertical="center" wrapText="1"/>
    </xf>
    <xf numFmtId="0" fontId="0" fillId="4" borderId="3" xfId="0" applyFill="1" applyBorder="1" applyAlignment="1">
      <alignment wrapText="1"/>
    </xf>
    <xf numFmtId="0" fontId="0" fillId="4" borderId="30" xfId="0" applyFill="1" applyBorder="1" applyAlignment="1">
      <alignment wrapText="1"/>
    </xf>
    <xf numFmtId="0" fontId="0" fillId="4" borderId="9" xfId="0" applyFill="1" applyBorder="1" applyAlignment="1">
      <alignment wrapText="1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14" borderId="0" xfId="0" applyFill="1" applyAlignment="1">
      <alignment horizontal="center"/>
    </xf>
    <xf numFmtId="0" fontId="27" fillId="0" borderId="0" xfId="0" applyFont="1" applyAlignment="1">
      <alignment horizontal="center"/>
    </xf>
    <xf numFmtId="0" fontId="9" fillId="14" borderId="0" xfId="0" applyFont="1" applyFill="1" applyAlignment="1">
      <alignment horizontal="center" wrapText="1"/>
    </xf>
    <xf numFmtId="0" fontId="9" fillId="0" borderId="0" xfId="0" applyFont="1" applyAlignment="1">
      <alignment horizontal="center" wrapText="1"/>
    </xf>
    <xf numFmtId="0" fontId="6" fillId="15" borderId="24" xfId="0" applyFont="1" applyFill="1" applyBorder="1" applyAlignment="1">
      <alignment horizontal="center" wrapText="1"/>
    </xf>
    <xf numFmtId="0" fontId="6" fillId="15" borderId="25" xfId="0" applyFont="1" applyFill="1" applyBorder="1" applyAlignment="1">
      <alignment horizontal="center" wrapText="1"/>
    </xf>
    <xf numFmtId="0" fontId="26" fillId="15" borderId="25" xfId="0" applyFont="1" applyFill="1" applyBorder="1"/>
    <xf numFmtId="0" fontId="26" fillId="15" borderId="26" xfId="0" applyFont="1" applyFill="1" applyBorder="1" applyAlignment="1">
      <alignment horizontal="center"/>
    </xf>
    <xf numFmtId="0" fontId="26" fillId="15" borderId="13" xfId="0" applyFont="1" applyFill="1" applyBorder="1" applyAlignment="1">
      <alignment horizontal="center"/>
    </xf>
    <xf numFmtId="0" fontId="0" fillId="16" borderId="27" xfId="0" applyFill="1" applyBorder="1" applyAlignment="1">
      <alignment horizontal="center" wrapText="1"/>
    </xf>
    <xf numFmtId="0" fontId="0" fillId="16" borderId="28" xfId="0" applyFill="1" applyBorder="1" applyAlignment="1">
      <alignment horizontal="center"/>
    </xf>
    <xf numFmtId="0" fontId="0" fillId="16" borderId="29" xfId="0" applyFill="1" applyBorder="1" applyAlignment="1">
      <alignment horizontal="center"/>
    </xf>
    <xf numFmtId="0" fontId="0" fillId="16" borderId="12" xfId="0" applyFill="1" applyBorder="1"/>
    <xf numFmtId="0" fontId="0" fillId="4" borderId="3" xfId="0" applyFill="1" applyBorder="1" applyAlignment="1">
      <alignment horizontal="center" wrapText="1"/>
    </xf>
    <xf numFmtId="0" fontId="0" fillId="4" borderId="30" xfId="0" applyFill="1" applyBorder="1" applyAlignment="1">
      <alignment horizontal="center" wrapText="1"/>
    </xf>
    <xf numFmtId="0" fontId="0" fillId="4" borderId="9" xfId="0" applyFill="1" applyBorder="1" applyAlignment="1">
      <alignment horizontal="center" wrapText="1"/>
    </xf>
    <xf numFmtId="0" fontId="2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0" fillId="0" borderId="17" xfId="0" applyFont="1" applyBorder="1" applyAlignment="1">
      <alignment horizontal="center"/>
    </xf>
    <xf numFmtId="0" fontId="30" fillId="0" borderId="10" xfId="0" applyFont="1" applyBorder="1" applyAlignment="1">
      <alignment horizontal="center"/>
    </xf>
    <xf numFmtId="0" fontId="31" fillId="11" borderId="10" xfId="0" applyFont="1" applyFill="1" applyBorder="1" applyAlignment="1">
      <alignment horizontal="center"/>
    </xf>
    <xf numFmtId="0" fontId="24" fillId="9" borderId="12" xfId="0" applyFont="1" applyFill="1" applyBorder="1" applyAlignment="1">
      <alignment horizontal="center" vertical="center" wrapText="1"/>
    </xf>
    <xf numFmtId="0" fontId="32" fillId="0" borderId="8" xfId="0" applyFont="1" applyBorder="1" applyAlignment="1">
      <alignment vertical="center" wrapText="1"/>
    </xf>
    <xf numFmtId="0" fontId="33" fillId="0" borderId="8" xfId="0" applyFont="1" applyBorder="1" applyAlignment="1">
      <alignment horizontal="center" vertical="center" wrapText="1"/>
    </xf>
    <xf numFmtId="0" fontId="0" fillId="4" borderId="10" xfId="0" applyFill="1" applyBorder="1"/>
    <xf numFmtId="0" fontId="0" fillId="10" borderId="0" xfId="0" applyFill="1"/>
    <xf numFmtId="16" fontId="0" fillId="0" borderId="0" xfId="0" applyNumberFormat="1"/>
    <xf numFmtId="0" fontId="0" fillId="17" borderId="0" xfId="0" applyFill="1"/>
    <xf numFmtId="0" fontId="0" fillId="18" borderId="0" xfId="0" applyFill="1"/>
    <xf numFmtId="1" fontId="0" fillId="0" borderId="0" xfId="0" applyNumberFormat="1" applyAlignment="1">
      <alignment horizontal="center"/>
    </xf>
    <xf numFmtId="0" fontId="34" fillId="4" borderId="10" xfId="0" applyFont="1" applyFill="1" applyBorder="1"/>
    <xf numFmtId="49" fontId="0" fillId="0" borderId="0" xfId="0" applyNumberFormat="1"/>
    <xf numFmtId="0" fontId="35" fillId="0" borderId="0" xfId="0" applyFont="1" applyAlignment="1">
      <alignment horizontal="center" vertical="top" wrapText="1"/>
    </xf>
    <xf numFmtId="0" fontId="35" fillId="0" borderId="31" xfId="0" applyFont="1" applyBorder="1" applyAlignment="1">
      <alignment vertical="top" wrapText="1"/>
    </xf>
    <xf numFmtId="0" fontId="35" fillId="0" borderId="31" xfId="0" applyFont="1" applyBorder="1" applyAlignment="1">
      <alignment vertical="center" wrapText="1"/>
    </xf>
    <xf numFmtId="0" fontId="0" fillId="0" borderId="32" xfId="0" applyBorder="1" applyAlignment="1">
      <alignment vertical="center"/>
    </xf>
    <xf numFmtId="0" fontId="35" fillId="0" borderId="33" xfId="0" applyFont="1" applyBorder="1" applyAlignment="1">
      <alignment vertical="top" wrapText="1"/>
    </xf>
    <xf numFmtId="0" fontId="35" fillId="0" borderId="34" xfId="0" applyFont="1" applyBorder="1" applyAlignment="1">
      <alignment vertical="top" wrapText="1"/>
    </xf>
    <xf numFmtId="0" fontId="35" fillId="0" borderId="34" xfId="0" applyFont="1" applyBorder="1" applyAlignment="1">
      <alignment vertical="center" wrapText="1"/>
    </xf>
    <xf numFmtId="0" fontId="35" fillId="0" borderId="35" xfId="0" applyFont="1" applyBorder="1" applyAlignment="1">
      <alignment vertical="top" wrapText="1"/>
    </xf>
    <xf numFmtId="0" fontId="35" fillId="0" borderId="35" xfId="0" applyFont="1" applyBorder="1" applyAlignment="1">
      <alignment vertical="center" wrapText="1"/>
    </xf>
    <xf numFmtId="0" fontId="35" fillId="0" borderId="36" xfId="0" applyFont="1" applyBorder="1" applyAlignment="1">
      <alignment vertical="center" wrapText="1"/>
    </xf>
    <xf numFmtId="0" fontId="35" fillId="0" borderId="0" xfId="0" applyFont="1" applyAlignment="1">
      <alignment vertical="top" wrapText="1"/>
    </xf>
    <xf numFmtId="0" fontId="4" fillId="0" borderId="0" xfId="0" applyFont="1" applyAlignment="1">
      <alignment horizontal="center" vertical="center" wrapText="1"/>
    </xf>
    <xf numFmtId="0" fontId="35" fillId="0" borderId="37" xfId="0" applyFont="1" applyBorder="1" applyAlignment="1">
      <alignment vertical="top" wrapText="1"/>
    </xf>
    <xf numFmtId="9" fontId="35" fillId="0" borderId="31" xfId="0" applyNumberFormat="1" applyFont="1" applyBorder="1" applyAlignment="1">
      <alignment vertical="center" wrapText="1"/>
    </xf>
    <xf numFmtId="0" fontId="0" fillId="0" borderId="32" xfId="0" applyBorder="1"/>
    <xf numFmtId="9" fontId="35" fillId="0" borderId="35" xfId="0" applyNumberFormat="1" applyFont="1" applyBorder="1" applyAlignment="1">
      <alignment vertical="top" wrapText="1"/>
    </xf>
    <xf numFmtId="0" fontId="35" fillId="0" borderId="36" xfId="0" applyFont="1" applyBorder="1" applyAlignment="1">
      <alignment vertical="top" wrapText="1"/>
    </xf>
    <xf numFmtId="0" fontId="35" fillId="0" borderId="38" xfId="0" applyFont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16.xml"/><Relationship Id="rId7" Type="http://schemas.openxmlformats.org/officeDocument/2006/relationships/worksheet" Target="worksheets/sheet12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5.xml"/><Relationship Id="rId12" Type="http://schemas.openxmlformats.org/officeDocument/2006/relationships/worksheet" Target="worksheets/sheet4.xml"/><Relationship Id="rId13" Type="http://schemas.openxmlformats.org/officeDocument/2006/relationships/worksheet" Target="worksheets/sheet14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2.xml"/><Relationship Id="rId16" Type="http://schemas.openxmlformats.org/officeDocument/2006/relationships/worksheet" Target="worksheets/sheet3.xml"/><Relationship Id="rId17" Type="http://schemas.openxmlformats.org/officeDocument/2006/relationships/worksheet" Target="worksheets/sheet8.xml"/><Relationship Id="rId18" Type="http://schemas.openxmlformats.org/officeDocument/2006/relationships/worksheet" Target="worksheets/sheet13.xml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3.jpeg"/><Relationship Id="rId2" Type="http://schemas.openxmlformats.org/officeDocument/2006/relationships/image" Target="../media/image1.png"/><Relationship Id="rId3" Type="http://schemas.openxmlformats.org/officeDocument/2006/relationships/image" Target="../media/image4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5.png"/><Relationship Id="rId2" Type="http://schemas.openxmlformats.org/officeDocument/2006/relationships/image" Target="../media/image1.png"/><Relationship Id="rId3" Type="http://schemas.openxmlformats.org/officeDocument/2006/relationships/image" Target="../media/image4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5.png"/><Relationship Id="rId2" Type="http://schemas.openxmlformats.org/officeDocument/2006/relationships/image" Target="../media/image1.png"/><Relationship Id="rId3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234089</xdr:colOff>
      <xdr:row>0</xdr:row>
      <xdr:rowOff>32288</xdr:rowOff>
    </xdr:from>
    <xdr:to>
      <xdr:col>7</xdr:col>
      <xdr:colOff>745814</xdr:colOff>
      <xdr:row>2</xdr:row>
      <xdr:rowOff>47804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</xdr:col>
      <xdr:colOff>642940</xdr:colOff>
      <xdr:row>32</xdr:row>
      <xdr:rowOff>23815</xdr:rowOff>
    </xdr:from>
    <xdr:to>
      <xdr:col>2</xdr:col>
      <xdr:colOff>119066</xdr:colOff>
      <xdr:row>33</xdr:row>
      <xdr:rowOff>16419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3</xdr:col>
      <xdr:colOff>742628</xdr:colOff>
      <xdr:row>32</xdr:row>
      <xdr:rowOff>40361</xdr:rowOff>
    </xdr:from>
    <xdr:to>
      <xdr:col>4</xdr:col>
      <xdr:colOff>11437</xdr:colOff>
      <xdr:row>33</xdr:row>
      <xdr:rowOff>8072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321468</xdr:colOff>
      <xdr:row>0</xdr:row>
      <xdr:rowOff>83344</xdr:rowOff>
    </xdr:from>
    <xdr:to>
      <xdr:col>7</xdr:col>
      <xdr:colOff>326869</xdr:colOff>
      <xdr:row>1</xdr:row>
      <xdr:rowOff>142875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388762</xdr:colOff>
      <xdr:row>29</xdr:row>
      <xdr:rowOff>47494</xdr:rowOff>
    </xdr:from>
    <xdr:to>
      <xdr:col>1</xdr:col>
      <xdr:colOff>47495</xdr:colOff>
      <xdr:row>29</xdr:row>
      <xdr:rowOff>230598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</xdr:col>
      <xdr:colOff>764691</xdr:colOff>
      <xdr:row>2</xdr:row>
      <xdr:rowOff>34800</xdr:rowOff>
    </xdr:from>
    <xdr:to>
      <xdr:col>1</xdr:col>
      <xdr:colOff>994072</xdr:colOff>
      <xdr:row>2</xdr:row>
      <xdr:rowOff>196240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321468</xdr:colOff>
      <xdr:row>0</xdr:row>
      <xdr:rowOff>83344</xdr:rowOff>
    </xdr:from>
    <xdr:to>
      <xdr:col>7</xdr:col>
      <xdr:colOff>326869</xdr:colOff>
      <xdr:row>1</xdr:row>
      <xdr:rowOff>142875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</xdr:col>
      <xdr:colOff>759179</xdr:colOff>
      <xdr:row>28</xdr:row>
      <xdr:rowOff>15744</xdr:rowOff>
    </xdr:from>
    <xdr:to>
      <xdr:col>2</xdr:col>
      <xdr:colOff>68662</xdr:colOff>
      <xdr:row>29</xdr:row>
      <xdr:rowOff>8348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2</xdr:col>
      <xdr:colOff>108524</xdr:colOff>
      <xdr:row>1</xdr:row>
      <xdr:rowOff>24217</xdr:rowOff>
    </xdr:from>
    <xdr:to>
      <xdr:col>2</xdr:col>
      <xdr:colOff>337905</xdr:colOff>
      <xdr:row>1</xdr:row>
      <xdr:rowOff>185657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name="Tabla2" displayName="Tabla2" ref="A3:R7" totalsRowShown="1" headerRowCount="0">
  <autoFilter ref="A3:R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name="Cedula"/>
    <tableColumn id="2" name="Propietario"/>
    <tableColumn id="3" name="Telefono"/>
    <tableColumn id="4" name="Direccion"/>
    <tableColumn id="5" name="Municipio"/>
    <tableColumn id="6" name="Departamento"/>
    <tableColumn id="7" name="Paciente"/>
    <tableColumn id="8" name="Especie"/>
    <tableColumn id="9" name="Peso"/>
    <tableColumn id="10" name="Edad"/>
    <tableColumn id="11" name="Raza"/>
    <tableColumn id="12" name="Sexo"/>
    <tableColumn id="13" name="Fecha de prescripción"/>
    <tableColumn id="14" name="No. Prescripcion"/>
    <tableColumn id="15" name="Diagnostico"/>
    <tableColumn id="16" name="Presentación"/>
    <tableColumn id="17" name="No Historia Clinica"/>
    <tableColumn id="18" name="Lugar pescripcion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image" Target="../media/image6.png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hyperlink" Target="mailto:laura.duarte@klean-vet.com" TargetMode="External"/><Relationship Id="rId2" Type="http://schemas.openxmlformats.org/officeDocument/2006/relationships/hyperlink" Target="mailto:Camilo.Artunduaga@Klean-vet.com" TargetMode="External"/><Relationship Id="rId3" Type="http://schemas.openxmlformats.org/officeDocument/2006/relationships/hyperlink" Target="mailto:lhog88@gmail.com" TargetMode="External"/><Relationship Id="rId4" Type="http://schemas.openxmlformats.org/officeDocument/2006/relationships/hyperlink" Target="mailto:Jose.nanez@klean-vet.com" TargetMode="External"/><Relationship Id="rId5" Type="http://schemas.openxmlformats.org/officeDocument/2006/relationships/hyperlink" Target="mailto:kanavii.lulos@gmail.com" TargetMode="External"/><Relationship Id="rId6" Type="http://schemas.openxmlformats.org/officeDocument/2006/relationships/hyperlink" Target="mailto:vitalpetesveterinaria@gmail,com" TargetMode="Externa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hyperlink" Target="https://klean-med.com/condiciones/ansiedad/" TargetMode="External"/><Relationship Id="rId2" Type="http://schemas.openxmlformats.org/officeDocument/2006/relationships/hyperlink" Target="https://klean-med.com/condiciones/neuropatia/" TargetMode="External"/><Relationship Id="rId3" Type="http://schemas.openxmlformats.org/officeDocument/2006/relationships/hyperlink" Target="https://klean-med.com/condiciones/dolor-cronico/" TargetMode="External"/><Relationship Id="rId4" Type="http://schemas.openxmlformats.org/officeDocument/2006/relationships/hyperlink" Target="https://klean-med.com/condiciones/insomnio/" TargetMode="External"/><Relationship Id="rId5" Type="http://schemas.openxmlformats.org/officeDocument/2006/relationships/hyperlink" Target="https://klean-med.com/condiciones/falta-de-apetito/" TargetMode="External"/><Relationship Id="rId6" Type="http://schemas.openxmlformats.org/officeDocument/2006/relationships/hyperlink" Target="https://klean-med.com/condiciones/sindrome-del-intestino-irritable/" TargetMode="Externa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image" Target="../media/image2.png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hyperlink" Target="mailto:vitalpetsveterinaria@gmail.com" TargetMode="External"/></Relationships>
</file>

<file path=xl/worksheets/_rels/sheet12.xml.rels><?xml version="1.0" encoding="UTF-8" standalone="yes"?>
<Relationships xmlns="http://schemas.openxmlformats.org/package/2006/relationships"><Relationship Id="rId1" Type="http://schemas.openxmlformats.org/officeDocument/2006/relationships/hyperlink" Target="mailto:jmopvet@yahoo.com" TargetMode="External"/></Relationships>
</file>

<file path=xl/worksheets/_rels/sheet1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image" Target="../media/image2.png"/></Relationships>
</file>

<file path=xl/worksheets/_rels/sheet16.xml.rels><?xml version="1.0" encoding="UTF-8" standalone="yes"?>
<Relationships xmlns="http://schemas.openxmlformats.org/package/2006/relationships"><Relationship Id="rId1" Type="http://schemas.openxmlformats.org/officeDocument/2006/relationships/hyperlink" Target="mailto:jose.nanez@klean-vet.com" TargetMode="External"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0"/>
  <sheetViews>
    <sheetView workbookViewId="0" zoomScale="80" zoomScaleNormal="80">
      <selection activeCell="H21" sqref="H21"/>
    </sheetView>
  </sheetViews>
  <sheetFormatPr defaultRowHeight="15" outlineLevelRow="0" outlineLevelCol="0" x14ac:dyDescent="0"/>
  <cols>
    <col min="1" max="1" width="8" style="151" customWidth="1"/>
    <col min="2" max="2" width="12.5703125" customWidth="1"/>
    <col min="3" max="3" width="69.140625" customWidth="1"/>
    <col min="4" max="4" width="12.5703125" customWidth="1"/>
    <col min="5" max="5" width="16.28515625" customWidth="1"/>
    <col min="6" max="6" width="24.85546875" customWidth="1"/>
    <col min="7" max="7" width="15.85546875" customWidth="1"/>
    <col min="8" max="8" width="13" customWidth="1"/>
    <col min="9" max="9" width="12.140625" customWidth="1"/>
    <col min="10" max="10" width="13.5703125" customWidth="1"/>
    <col min="11" max="11" width="13" customWidth="1"/>
    <col min="12" max="12" width="11.140625" customWidth="1"/>
    <col min="13" max="13" width="33.7109375" customWidth="1"/>
    <col min="14" max="14" width="19.42578125" customWidth="1"/>
  </cols>
  <sheetData>
    <row r="1" spans="1:1" s="152" customFormat="1" x14ac:dyDescent="0.25">
      <c r="A1" s="151"/>
    </row>
    <row r="2" spans="1:3" s="152" customFormat="1" x14ac:dyDescent="0.25">
      <c r="A2" s="151"/>
      <c r="C2" s="152" t="s">
        <v>167</v>
      </c>
    </row>
    <row r="3" spans="1:1" s="152" customFormat="1" x14ac:dyDescent="0.25">
      <c r="A3" s="151"/>
    </row>
    <row r="4" spans="1:5" s="152" customFormat="1" x14ac:dyDescent="0.25">
      <c r="A4" s="151"/>
      <c r="C4" s="152" t="s">
        <v>168</v>
      </c>
      <c r="D4" s="152" t="s">
        <v>63</v>
      </c>
      <c r="E4" s="152" t="s">
        <v>27</v>
      </c>
    </row>
    <row r="5" ht="15.75" customHeight="1" spans="2:13" x14ac:dyDescent="0.25">
      <c r="B5" s="152"/>
      <c r="C5" s="152"/>
      <c r="D5" s="152"/>
      <c r="E5" s="152"/>
      <c r="F5" s="152"/>
      <c r="G5" s="152"/>
      <c r="H5" s="152"/>
      <c r="I5" s="152"/>
      <c r="J5" s="152"/>
      <c r="K5" s="152"/>
      <c r="L5" s="152"/>
      <c r="M5" s="152"/>
    </row>
    <row r="6" ht="15.75" customHeight="1" spans="2:13" x14ac:dyDescent="0.25">
      <c r="B6" s="152"/>
      <c r="C6" s="180" t="s">
        <v>168</v>
      </c>
      <c r="D6" s="181" t="s">
        <v>63</v>
      </c>
      <c r="E6" s="182" t="s">
        <v>182</v>
      </c>
      <c r="F6" s="183" t="s">
        <v>29</v>
      </c>
      <c r="G6" s="183" t="s">
        <v>121</v>
      </c>
      <c r="H6" s="184" t="s">
        <v>183</v>
      </c>
      <c r="I6" s="152"/>
      <c r="J6" s="152" t="s">
        <v>170</v>
      </c>
      <c r="K6" s="152"/>
      <c r="L6" s="152"/>
      <c r="M6" s="152"/>
    </row>
    <row r="7" ht="15.75" customHeight="1" spans="2:13" x14ac:dyDescent="0.25">
      <c r="B7" s="152"/>
      <c r="C7" s="185" t="str">
        <f>+Registro!C31</f>
        <v>INFLAMACION</v>
      </c>
      <c r="D7" s="186">
        <f>+Registro!C24</f>
        <v>20</v>
      </c>
      <c r="E7" s="186">
        <v>2</v>
      </c>
      <c r="F7" s="187" t="str">
        <f>+Registro!C32</f>
        <v>Frasco (2%) 30 mL 600 mg</v>
      </c>
      <c r="G7" s="187" t="str">
        <f>+IF(VLOOKUP(F7,Tablas!L8:N11,3,FALSE)=10,"1%","2%")</f>
        <v>2%</v>
      </c>
      <c r="H7" s="188">
        <f>+VLOOKUP(C7,Tablas!A4:B25,2,FALSE)*D7</f>
        <v>15</v>
      </c>
      <c r="I7" s="152"/>
      <c r="J7" s="152" t="s">
        <v>171</v>
      </c>
      <c r="K7" s="152"/>
      <c r="L7" s="152"/>
      <c r="M7" s="152"/>
    </row>
    <row r="8" spans="2:13" x14ac:dyDescent="0.25">
      <c r="B8" s="152"/>
      <c r="C8" s="152"/>
      <c r="D8" s="152"/>
      <c r="E8" s="152"/>
      <c r="F8" s="152"/>
      <c r="G8" s="152" t="str">
        <f>+G7</f>
        <v>2%</v>
      </c>
      <c r="H8" s="152"/>
      <c r="I8" s="152"/>
      <c r="J8" s="152"/>
      <c r="K8" s="152"/>
      <c r="L8" s="152"/>
      <c r="M8" s="152"/>
    </row>
    <row r="9" ht="15.75" customHeight="1" spans="2:13" x14ac:dyDescent="0.25">
      <c r="B9" s="152"/>
      <c r="C9" s="162" t="s">
        <v>172</v>
      </c>
      <c r="D9" s="162"/>
      <c r="E9" s="162"/>
      <c r="F9" s="152"/>
      <c r="G9" s="152"/>
      <c r="H9" s="152"/>
      <c r="I9" s="152"/>
      <c r="J9" s="152"/>
      <c r="K9" s="152"/>
      <c r="L9" s="152"/>
      <c r="M9" s="152"/>
    </row>
    <row r="10" ht="30" customHeight="1" spans="2:13" x14ac:dyDescent="0.25">
      <c r="B10" s="152"/>
      <c r="C10" s="169" t="str">
        <f>CONCATENATE("Prescribir ",L16," mgs al día.",(IF(D16=TRUE,CONCATENATE("  Durante la primera semana administrar ",I16," ","gota ",$E$7," veces al dia."),CONCATENATE(" Durante la primera semana administrar ",K16/$E$7," ","mL ",$E$7," veces al dia."))))</f>
        <v>Prescribir 15 mgs al día.  Durante la primera semana administrar 6 gota 2 veces al dia.</v>
      </c>
      <c r="D10" s="170"/>
      <c r="E10" s="171"/>
      <c r="F10" s="152"/>
      <c r="G10" s="152"/>
      <c r="H10" s="152"/>
      <c r="I10" s="152"/>
      <c r="J10" s="152"/>
      <c r="K10" s="152"/>
      <c r="L10" s="152"/>
      <c r="M10" s="152"/>
    </row>
    <row r="11" ht="30" customHeight="1" spans="2:13" x14ac:dyDescent="0.25">
      <c r="B11" s="152"/>
      <c r="C11" s="169" t="str">
        <f>CONCATENATE("Suministrar ",L17," mgs al día.",(IF(D17=TRUE,CONCATENATE("  Durante la segunda semana administrar ",I17," ","gota ",$E$7," veces al dia."),CONCATENATE(" Durante la segunda semana administrar ",K17/$E$7," ","mL ",$E$7," veces al dia."))))</f>
        <v>Suministrar 15 mgs al día.  Durante la segunda semana administrar 6 gota 2 veces al dia.</v>
      </c>
      <c r="D11" s="170"/>
      <c r="E11" s="171"/>
      <c r="F11" s="152"/>
      <c r="G11" s="152"/>
      <c r="I11" s="152"/>
      <c r="J11" s="152"/>
      <c r="K11" s="152"/>
      <c r="L11" s="152"/>
      <c r="M11" s="152"/>
    </row>
    <row r="12" ht="30" customHeight="1" spans="2:13" x14ac:dyDescent="0.25">
      <c r="B12" s="152"/>
      <c r="C12" s="189" t="str">
        <f>CONCATENATE("Suministrar ",L18," mgs al día.",(IF(D18=TRUE,CONCATENATE("  Durante la tercera semana administrar ",I18," ","gota ",$E$7," veces al dia."),CONCATENATE(" Durante la tercera semana administrar ",K18/$E$7," ","mL ",$E$7," veces al dia."))))</f>
        <v>Suministrar 5 mgs al día.  Durante la tercera semana administrar 2 gota 2 veces al dia.</v>
      </c>
      <c r="D12" s="190"/>
      <c r="E12" s="191"/>
      <c r="F12" s="152"/>
      <c r="G12" s="152"/>
      <c r="H12" s="152"/>
      <c r="I12" s="152"/>
      <c r="J12" s="152"/>
      <c r="K12" s="152"/>
      <c r="L12" s="152"/>
      <c r="M12" s="152"/>
    </row>
    <row r="13" ht="30" customHeight="1" spans="2:13" x14ac:dyDescent="0.25">
      <c r="B13" s="152"/>
      <c r="C13" s="189" t="str">
        <f>CONCATENATE("Suministrar ",L19," mgs al día.",(IF(D19=TRUE,CONCATENATE("  Durante la cuarta semana administrar ",I19," ","gota ",$E$7," veces al dia."),CONCATENATE(" Durante la cuarta semana administrar ",K19/$E$7," ","mL ",$E$7," veces al dia."))))</f>
        <v>Suministrar 5 mgs al día.  Durante la cuarta semana administrar 2 gota 2 veces al dia.</v>
      </c>
      <c r="D13" s="190"/>
      <c r="E13" s="191"/>
      <c r="F13" s="152"/>
      <c r="G13" s="152"/>
      <c r="H13" s="152"/>
      <c r="I13" s="152"/>
      <c r="J13" s="152"/>
      <c r="K13" s="152"/>
      <c r="L13" s="152"/>
      <c r="M13" s="152"/>
    </row>
    <row r="15" ht="30" customHeight="1" spans="3:12" x14ac:dyDescent="0.25">
      <c r="C15" s="172" t="s">
        <v>184</v>
      </c>
      <c r="D15" s="172" t="s">
        <v>185</v>
      </c>
      <c r="E15" s="172"/>
      <c r="F15" s="172" t="s">
        <v>186</v>
      </c>
      <c r="G15" s="172"/>
      <c r="H15" s="173" t="s">
        <v>178</v>
      </c>
      <c r="I15" s="173" t="s">
        <v>187</v>
      </c>
      <c r="J15" s="172" t="s">
        <v>181</v>
      </c>
      <c r="K15" s="173" t="s">
        <v>188</v>
      </c>
      <c r="L15" t="s">
        <v>183</v>
      </c>
    </row>
    <row r="16" spans="3:12" x14ac:dyDescent="0.25">
      <c r="C16" s="174" t="s">
        <v>189</v>
      </c>
      <c r="D16" s="175" t="b">
        <f>+IF($H$25/F16&lt;$C$25,TRUE,FALSE)</f>
        <v>1</v>
      </c>
      <c r="E16" s="175" t="s">
        <v>143</v>
      </c>
      <c r="F16" s="176">
        <f>VLOOKUP($C$7,Tablas!$A$4:$G$25,4,FALSE)</f>
        <v>1</v>
      </c>
      <c r="G16" s="175" t="str">
        <f>IF(D16=FALSE," dosis son mL"," dosis en gotas")</f>
        <v> dosis en gotas</v>
      </c>
      <c r="H16" s="175">
        <f>+$E$25/F16</f>
        <v>5.625</v>
      </c>
      <c r="I16" s="175">
        <f>+IF(H16&gt;=1,ROUND(H16,0),1)</f>
        <v>6</v>
      </c>
      <c r="J16" s="175">
        <f>+D7*G25/F16</f>
        <v>0.75</v>
      </c>
      <c r="K16">
        <f>MROUND(J16,0.25)</f>
        <v>0.75</v>
      </c>
      <c r="L16">
        <f>+H7/F16</f>
        <v>15</v>
      </c>
    </row>
    <row r="17" spans="3:12" x14ac:dyDescent="0.25">
      <c r="C17" s="174" t="s">
        <v>189</v>
      </c>
      <c r="D17" s="175" t="b">
        <f>+IF($H$25/F17&lt;$C$25,TRUE,FALSE)</f>
        <v>1</v>
      </c>
      <c r="E17" s="175" t="s">
        <v>144</v>
      </c>
      <c r="F17" s="176">
        <v>1</v>
      </c>
      <c r="G17" s="175" t="str">
        <f>IF(D17=FALSE," dosis son mL"," dosis en gotas")</f>
        <v> dosis en gotas</v>
      </c>
      <c r="H17" s="175">
        <f>+$E$25/F17</f>
        <v>5.625</v>
      </c>
      <c r="I17" s="175">
        <f>+IF(H17&gt;=1,ROUND(H17,0),1)</f>
        <v>6</v>
      </c>
      <c r="J17" s="175">
        <f>+$D$7*$G$25/F17</f>
        <v>0.75</v>
      </c>
      <c r="K17">
        <f>MROUND(J17,0.25)</f>
        <v>0.75</v>
      </c>
      <c r="L17">
        <f>+ROUNDUP($H$7/F17,2)</f>
        <v>15</v>
      </c>
    </row>
    <row r="18" spans="3:12" x14ac:dyDescent="0.25">
      <c r="C18" s="174" t="s">
        <v>189</v>
      </c>
      <c r="D18" s="175" t="b">
        <f>+IF($H$25/F18&lt;$C$25,TRUE,FALSE)</f>
        <v>1</v>
      </c>
      <c r="E18" s="175" t="s">
        <v>145</v>
      </c>
      <c r="F18" s="176">
        <f>VLOOKUP($C$7,Tablas!$A$4:$G$25,6,FALSE)</f>
        <v>3</v>
      </c>
      <c r="G18" s="175" t="str">
        <f>IF(D18=FALSE," dosis son mL"," dosis en gotas")</f>
        <v> dosis en gotas</v>
      </c>
      <c r="H18" s="175">
        <f>+$E$25/F18</f>
        <v>1.875</v>
      </c>
      <c r="I18" s="175">
        <f>+IF(H18&gt;=1,ROUND(H18,0),1)</f>
        <v>2</v>
      </c>
      <c r="J18" s="175">
        <f>+$D$7*$G$25/F18</f>
        <v>0.25</v>
      </c>
      <c r="K18">
        <f>MROUND(J18,0.25)</f>
        <v>0.25</v>
      </c>
      <c r="L18">
        <f>+ROUNDUP($H$7/F18,2)</f>
        <v>5</v>
      </c>
    </row>
    <row r="19" spans="3:12" x14ac:dyDescent="0.25">
      <c r="C19" s="174" t="s">
        <v>189</v>
      </c>
      <c r="D19" s="175" t="b">
        <f>+IF($H$25/F19&lt;$C$25,TRUE,FALSE)</f>
        <v>1</v>
      </c>
      <c r="E19" s="175" t="s">
        <v>146</v>
      </c>
      <c r="F19" s="176">
        <f>VLOOKUP($C$7,Tablas!$A$4:$G$25,7,FALSE)</f>
        <v>3</v>
      </c>
      <c r="G19" s="175" t="str">
        <f>IF(D19=FALSE," dosis son mL"," dosis en gotas")</f>
        <v> dosis en gotas</v>
      </c>
      <c r="H19" s="175">
        <f>+$E$25/F19</f>
        <v>1.875</v>
      </c>
      <c r="I19" s="175">
        <f>+IF(H19&gt;=1,ROUND(H19,0),1)</f>
        <v>2</v>
      </c>
      <c r="J19" s="175">
        <f>+$D$7*$G$25/F19</f>
        <v>0.25</v>
      </c>
      <c r="K19">
        <f>MROUND(J19,0.25)</f>
        <v>0.25</v>
      </c>
      <c r="L19">
        <f>+ROUNDUP($H$7/F19,2)</f>
        <v>5</v>
      </c>
    </row>
    <row r="20" spans="5:6" x14ac:dyDescent="0.25">
      <c r="E20" s="192" t="s">
        <v>190</v>
      </c>
      <c r="F20" s="192" t="s">
        <v>191</v>
      </c>
    </row>
    <row r="21" spans="5:6" x14ac:dyDescent="0.25">
      <c r="E21" s="192">
        <v>30</v>
      </c>
      <c r="F21" s="192">
        <v>9</v>
      </c>
    </row>
    <row r="22" spans="5:6" x14ac:dyDescent="0.25">
      <c r="E22" s="192">
        <v>7</v>
      </c>
      <c r="F22" s="192">
        <f>+E22*F21/E21</f>
        <v>2.1</v>
      </c>
    </row>
    <row r="24" ht="30" customHeight="1" spans="3:8" x14ac:dyDescent="0.25">
      <c r="C24" s="178" t="s">
        <v>176</v>
      </c>
      <c r="D24" s="178" t="s">
        <v>177</v>
      </c>
      <c r="E24" s="179" t="s">
        <v>178</v>
      </c>
      <c r="F24" s="179" t="s">
        <v>179</v>
      </c>
      <c r="G24" s="178" t="s">
        <v>180</v>
      </c>
      <c r="H24" s="179" t="s">
        <v>181</v>
      </c>
    </row>
    <row r="25" spans="3:12" x14ac:dyDescent="0.25">
      <c r="C25" s="176">
        <v>0.25</v>
      </c>
      <c r="D25" s="176">
        <v>30</v>
      </c>
      <c r="E25" s="175">
        <f>+H25*D25</f>
        <v>5.625</v>
      </c>
      <c r="F25" s="175">
        <f>+IF(E25&gt;=1,ROUND(E25,0),1)</f>
        <v>6</v>
      </c>
      <c r="G25" s="176">
        <f>IF(G7="1%",VLOOKUP($C$7,Tablas!$A$4:$G$25,3,FALSE),VLOOKUP($C$7,Tablas!$A$4:$G$25,3,FALSE)/2)</f>
        <v>0.0375</v>
      </c>
      <c r="H25" s="175">
        <f>+IF(AND(G7="1%",E7=1),G25*D7,IF(OR(AND(G7="2%",E7=1),AND(G7="1%",E7=2)),G25*D7/2,G25*D7/4))</f>
        <v>0.1875</v>
      </c>
      <c r="L25">
        <v>1</v>
      </c>
    </row>
    <row r="26" spans="12:12" x14ac:dyDescent="0.25">
      <c r="L26">
        <v>2</v>
      </c>
    </row>
    <row r="27" spans="12:12" x14ac:dyDescent="0.25">
      <c r="L27">
        <v>3</v>
      </c>
    </row>
    <row r="28" spans="8:12" x14ac:dyDescent="0.25">
      <c r="H28">
        <f>+IF(AND(G7=TRUE,E7=1),G25*D7,IF(OR(AND(G7="2%",E7=1,G7="1%",E7=2)),G25*D7/2,G25*D7/4))</f>
        <v>0.1875</v>
      </c>
      <c r="L28">
        <v>4</v>
      </c>
    </row>
    <row r="29" spans="8:12" x14ac:dyDescent="0.25">
      <c r="H29">
        <f>+IF(OR(AND(G7="2%",E7=1,G7="1%",E7=2)),G25*D7/2,G25*D7/4)</f>
        <v>0.1875</v>
      </c>
      <c r="L29">
        <v>5</v>
      </c>
    </row>
    <row r="30" spans="12:12" x14ac:dyDescent="0.25">
      <c r="L30">
        <v>6</v>
      </c>
    </row>
  </sheetData>
  <mergeCells count="3">
    <mergeCell ref="C9:E9"/>
    <mergeCell ref="C12:E12"/>
    <mergeCell ref="C13:E13"/>
  </mergeCells>
  <pageMargins left="0.7" right="0.7" top="0.75" bottom="0.75" header="0.3" footer="0.3"/>
  <pageSetup paperSize="9" orientation="portrait" horizontalDpi="203" verticalDpi="203" scale="100" fitToWidth="1" fitToHeight="1" firstPageNumber="1" useFirstPageNumber="1" copies="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Q25"/>
  <sheetViews>
    <sheetView workbookViewId="0" zoomScale="80" zoomScaleNormal="80">
      <selection activeCell="D8" sqref="D8"/>
    </sheetView>
  </sheetViews>
  <sheetFormatPr defaultRowHeight="15" outlineLevelRow="0" outlineLevelCol="0" x14ac:dyDescent="0"/>
  <cols>
    <col min="1" max="2" width="20.5703125" style="175" customWidth="1"/>
    <col min="3" max="3" width="11.42578125" style="175" customWidth="1"/>
    <col min="4" max="4" width="15.5703125" customWidth="1"/>
    <col min="5" max="7" width="17.5703125" customWidth="1"/>
    <col min="12" max="12" width="25" customWidth="1"/>
    <col min="13" max="13" width="15.28515625" style="175" customWidth="1"/>
    <col min="14" max="14" width="14.7109375" customWidth="1"/>
    <col min="16" max="16" width="21.28515625" customWidth="1"/>
  </cols>
  <sheetData>
    <row r="2" ht="18.75" customHeight="1" spans="1:7" x14ac:dyDescent="0.25">
      <c r="A2" s="193"/>
      <c r="B2" s="193"/>
      <c r="C2" s="193"/>
      <c r="D2" s="194" t="s">
        <v>192</v>
      </c>
      <c r="E2" s="194"/>
      <c r="F2" s="194"/>
      <c r="G2" s="194"/>
    </row>
    <row r="3" ht="25.5" customHeight="1" spans="1:17" x14ac:dyDescent="0.25">
      <c r="A3" s="195" t="s">
        <v>193</v>
      </c>
      <c r="B3" s="195" t="s">
        <v>194</v>
      </c>
      <c r="C3" s="195" t="s">
        <v>195</v>
      </c>
      <c r="D3" s="196" t="s">
        <v>157</v>
      </c>
      <c r="E3" s="196" t="s">
        <v>158</v>
      </c>
      <c r="F3" s="196" t="s">
        <v>159</v>
      </c>
      <c r="G3" s="196" t="s">
        <v>160</v>
      </c>
      <c r="J3" s="144"/>
      <c r="L3" t="s">
        <v>182</v>
      </c>
      <c r="P3" t="s">
        <v>61</v>
      </c>
      <c r="Q3" t="s">
        <v>68</v>
      </c>
    </row>
    <row r="4" ht="16.5" customHeight="1" spans="1:17" x14ac:dyDescent="0.25">
      <c r="A4" s="197" t="s">
        <v>196</v>
      </c>
      <c r="B4" s="198">
        <v>1</v>
      </c>
      <c r="C4" s="199">
        <v>0.1</v>
      </c>
      <c r="D4" s="200">
        <v>1</v>
      </c>
      <c r="E4" s="200">
        <v>2</v>
      </c>
      <c r="F4" s="200">
        <v>2</v>
      </c>
      <c r="G4" s="200">
        <v>4</v>
      </c>
      <c r="L4">
        <v>1</v>
      </c>
      <c r="P4" t="s">
        <v>104</v>
      </c>
      <c r="Q4" t="s">
        <v>93</v>
      </c>
    </row>
    <row r="5" ht="16.5" customHeight="1" spans="1:17" x14ac:dyDescent="0.25">
      <c r="A5" s="197" t="s">
        <v>197</v>
      </c>
      <c r="B5" s="198">
        <v>1</v>
      </c>
      <c r="C5" s="199">
        <v>0.1</v>
      </c>
      <c r="D5" s="200">
        <v>1</v>
      </c>
      <c r="E5" s="200">
        <v>2</v>
      </c>
      <c r="F5" s="200">
        <v>2</v>
      </c>
      <c r="G5" s="200">
        <v>2</v>
      </c>
      <c r="I5">
        <v>1</v>
      </c>
      <c r="J5" s="201" t="s">
        <v>198</v>
      </c>
      <c r="L5">
        <v>2</v>
      </c>
      <c r="P5" t="s">
        <v>62</v>
      </c>
      <c r="Q5" t="s">
        <v>69</v>
      </c>
    </row>
    <row r="6" ht="16.5" customHeight="1" spans="1:16" x14ac:dyDescent="0.25">
      <c r="A6" s="197" t="s">
        <v>199</v>
      </c>
      <c r="B6" s="198">
        <v>0.5</v>
      </c>
      <c r="C6" s="199">
        <v>0.05</v>
      </c>
      <c r="D6" s="200">
        <v>1</v>
      </c>
      <c r="E6" s="200">
        <v>1</v>
      </c>
      <c r="F6" s="200">
        <v>1</v>
      </c>
      <c r="G6" s="200">
        <v>1</v>
      </c>
      <c r="I6">
        <v>2</v>
      </c>
      <c r="J6" s="202" t="s">
        <v>200</v>
      </c>
      <c r="P6" t="s">
        <v>91</v>
      </c>
    </row>
    <row r="7" ht="16.5" customHeight="1" spans="1:16" x14ac:dyDescent="0.25">
      <c r="A7" s="197" t="s">
        <v>163</v>
      </c>
      <c r="B7" s="198">
        <v>0.25</v>
      </c>
      <c r="C7" s="199">
        <v>0.025</v>
      </c>
      <c r="D7" s="200">
        <v>1</v>
      </c>
      <c r="E7" s="200">
        <v>3</v>
      </c>
      <c r="F7" s="200">
        <v>3</v>
      </c>
      <c r="G7" s="200">
        <v>3</v>
      </c>
      <c r="I7">
        <v>3</v>
      </c>
      <c r="J7" s="203" t="s">
        <v>201</v>
      </c>
      <c r="L7" t="s">
        <v>174</v>
      </c>
      <c r="M7" s="175" t="s">
        <v>202</v>
      </c>
      <c r="N7" t="s">
        <v>203</v>
      </c>
      <c r="P7" t="s">
        <v>153</v>
      </c>
    </row>
    <row r="8" ht="32.25" customHeight="1" spans="1:16" x14ac:dyDescent="0.25">
      <c r="A8" s="197" t="s">
        <v>204</v>
      </c>
      <c r="B8" s="198">
        <v>0.5</v>
      </c>
      <c r="C8" s="199">
        <v>0.05</v>
      </c>
      <c r="D8" s="200">
        <v>1</v>
      </c>
      <c r="E8" s="200">
        <v>1</v>
      </c>
      <c r="F8" s="200">
        <v>1</v>
      </c>
      <c r="G8" s="200">
        <v>1</v>
      </c>
      <c r="I8">
        <v>4</v>
      </c>
      <c r="J8" s="204" t="s">
        <v>205</v>
      </c>
      <c r="L8" t="s">
        <v>206</v>
      </c>
      <c r="M8" s="175">
        <v>150</v>
      </c>
      <c r="N8" s="205">
        <v>10</v>
      </c>
      <c r="P8" t="s">
        <v>155</v>
      </c>
    </row>
    <row r="9" ht="16.5" customHeight="1" spans="1:14" x14ac:dyDescent="0.25">
      <c r="A9" s="197" t="s">
        <v>207</v>
      </c>
      <c r="B9" s="198">
        <v>0.25</v>
      </c>
      <c r="C9" s="199">
        <v>0.025</v>
      </c>
      <c r="D9" s="200">
        <v>1</v>
      </c>
      <c r="E9" s="206">
        <v>1</v>
      </c>
      <c r="F9" s="206">
        <v>2</v>
      </c>
      <c r="G9" s="206">
        <v>2</v>
      </c>
      <c r="L9" t="s">
        <v>107</v>
      </c>
      <c r="M9" s="175">
        <v>300</v>
      </c>
      <c r="N9" s="205">
        <v>20</v>
      </c>
    </row>
    <row r="10" ht="16.5" customHeight="1" spans="1:14" x14ac:dyDescent="0.25">
      <c r="A10" s="197" t="s">
        <v>208</v>
      </c>
      <c r="B10" s="198">
        <v>0.75</v>
      </c>
      <c r="C10" s="199">
        <v>0.075</v>
      </c>
      <c r="D10" s="200">
        <v>1</v>
      </c>
      <c r="E10" s="200">
        <v>3</v>
      </c>
      <c r="F10" s="200">
        <v>3</v>
      </c>
      <c r="G10" s="200">
        <v>3</v>
      </c>
      <c r="L10" t="s">
        <v>108</v>
      </c>
      <c r="M10" s="175">
        <v>300</v>
      </c>
      <c r="N10" s="205">
        <v>10</v>
      </c>
    </row>
    <row r="11" ht="16.5" customHeight="1" spans="1:14" x14ac:dyDescent="0.25">
      <c r="A11" s="197" t="s">
        <v>106</v>
      </c>
      <c r="B11" s="198">
        <v>1</v>
      </c>
      <c r="C11" s="199">
        <v>0.1</v>
      </c>
      <c r="D11" s="200">
        <v>1</v>
      </c>
      <c r="E11" s="200">
        <v>1</v>
      </c>
      <c r="F11" s="200">
        <v>4</v>
      </c>
      <c r="G11" s="200">
        <v>4</v>
      </c>
      <c r="L11" t="s">
        <v>72</v>
      </c>
      <c r="M11" s="175">
        <v>600</v>
      </c>
      <c r="N11" s="205">
        <v>20</v>
      </c>
    </row>
    <row r="12" ht="48" customHeight="1" spans="1:7" x14ac:dyDescent="0.25">
      <c r="A12" s="197" t="s">
        <v>209</v>
      </c>
      <c r="B12" s="198">
        <v>0.75</v>
      </c>
      <c r="C12" s="199">
        <v>0.075</v>
      </c>
      <c r="D12" s="200">
        <v>1</v>
      </c>
      <c r="E12" s="200">
        <v>1</v>
      </c>
      <c r="F12" s="200">
        <v>1</v>
      </c>
      <c r="G12" s="200">
        <v>1</v>
      </c>
    </row>
    <row r="13" ht="16.5" customHeight="1" spans="1:7" x14ac:dyDescent="0.25">
      <c r="A13" s="197" t="s">
        <v>210</v>
      </c>
      <c r="B13" s="198">
        <v>1</v>
      </c>
      <c r="C13" s="199">
        <v>0.1</v>
      </c>
      <c r="D13" s="200">
        <v>1</v>
      </c>
      <c r="E13" s="200">
        <v>2</v>
      </c>
      <c r="F13" s="200">
        <v>2</v>
      </c>
      <c r="G13" s="200">
        <v>2</v>
      </c>
    </row>
    <row r="14" ht="32.25" customHeight="1" spans="1:12" x14ac:dyDescent="0.25">
      <c r="A14" s="197" t="s">
        <v>166</v>
      </c>
      <c r="B14" s="198">
        <v>0.75</v>
      </c>
      <c r="C14" s="199">
        <v>0.075</v>
      </c>
      <c r="D14" s="200">
        <v>1</v>
      </c>
      <c r="E14" s="200">
        <v>3</v>
      </c>
      <c r="F14" s="200">
        <v>3</v>
      </c>
      <c r="G14" s="200">
        <v>3</v>
      </c>
      <c r="L14" t="s">
        <v>211</v>
      </c>
    </row>
    <row r="15" ht="102" customHeight="1" spans="1:15" x14ac:dyDescent="0.25">
      <c r="A15" s="197" t="s">
        <v>212</v>
      </c>
      <c r="B15" s="198">
        <v>0.75</v>
      </c>
      <c r="C15" s="199">
        <v>0.075</v>
      </c>
      <c r="D15" s="200">
        <v>1</v>
      </c>
      <c r="E15" s="200">
        <v>3</v>
      </c>
      <c r="F15" s="200">
        <v>3</v>
      </c>
      <c r="G15" s="200">
        <v>3</v>
      </c>
      <c r="L15" s="207" t="s">
        <v>213</v>
      </c>
      <c r="M15" s="174" t="s">
        <v>214</v>
      </c>
      <c r="N15" s="174"/>
      <c r="O15" s="174"/>
    </row>
    <row r="16" ht="71.25" customHeight="1" spans="1:15" x14ac:dyDescent="0.25">
      <c r="A16" s="197" t="s">
        <v>215</v>
      </c>
      <c r="B16" s="198">
        <v>0.25</v>
      </c>
      <c r="C16" s="199">
        <v>0.025</v>
      </c>
      <c r="D16" s="200">
        <v>1</v>
      </c>
      <c r="E16" s="206">
        <v>2</v>
      </c>
      <c r="F16" s="206">
        <v>2</v>
      </c>
      <c r="G16" s="206">
        <v>2</v>
      </c>
      <c r="L16" s="207" t="s">
        <v>216</v>
      </c>
      <c r="M16" s="208" t="s">
        <v>217</v>
      </c>
      <c r="N16" s="208"/>
      <c r="O16" s="208"/>
    </row>
    <row r="17" ht="16.5" customHeight="1" spans="1:7" x14ac:dyDescent="0.25">
      <c r="A17" s="197" t="s">
        <v>218</v>
      </c>
      <c r="B17" s="198">
        <v>1</v>
      </c>
      <c r="C17" s="199">
        <v>0.1</v>
      </c>
      <c r="D17" s="200">
        <v>1</v>
      </c>
      <c r="E17" s="200">
        <v>2</v>
      </c>
      <c r="F17" s="200">
        <v>2</v>
      </c>
      <c r="G17" s="200">
        <v>2</v>
      </c>
    </row>
    <row r="18" ht="16.5" customHeight="1" spans="1:7" x14ac:dyDescent="0.25">
      <c r="A18" s="197" t="s">
        <v>71</v>
      </c>
      <c r="B18" s="198">
        <v>0.75</v>
      </c>
      <c r="C18" s="199">
        <v>0.075</v>
      </c>
      <c r="D18" s="200">
        <v>1</v>
      </c>
      <c r="E18" s="200">
        <v>3</v>
      </c>
      <c r="F18" s="200">
        <v>3</v>
      </c>
      <c r="G18" s="200">
        <v>3</v>
      </c>
    </row>
    <row r="19" ht="32.25" customHeight="1" spans="1:7" x14ac:dyDescent="0.25">
      <c r="A19" s="197" t="s">
        <v>219</v>
      </c>
      <c r="B19" s="198">
        <v>0.5</v>
      </c>
      <c r="C19" s="199">
        <v>0.05</v>
      </c>
      <c r="D19" s="200">
        <v>1</v>
      </c>
      <c r="E19" s="206">
        <v>1</v>
      </c>
      <c r="F19" s="206">
        <v>1</v>
      </c>
      <c r="G19" s="206">
        <v>1</v>
      </c>
    </row>
    <row r="20" ht="16.5" customHeight="1" spans="1:7" x14ac:dyDescent="0.25">
      <c r="A20" s="197" t="s">
        <v>199</v>
      </c>
      <c r="B20" s="198">
        <v>0.5</v>
      </c>
      <c r="C20" s="199">
        <v>0.05</v>
      </c>
      <c r="D20" s="200">
        <v>1</v>
      </c>
      <c r="E20" s="200">
        <v>1</v>
      </c>
      <c r="F20" s="200">
        <v>1</v>
      </c>
      <c r="G20" s="200">
        <v>1</v>
      </c>
    </row>
    <row r="21" ht="32.25" customHeight="1" spans="1:7" x14ac:dyDescent="0.25">
      <c r="A21" s="197" t="s">
        <v>220</v>
      </c>
      <c r="B21" s="198">
        <v>0.25</v>
      </c>
      <c r="C21" s="199">
        <v>0.025</v>
      </c>
      <c r="D21" s="200">
        <v>1</v>
      </c>
      <c r="E21" s="206">
        <v>3</v>
      </c>
      <c r="F21" s="206">
        <v>3</v>
      </c>
      <c r="G21" s="206">
        <v>3</v>
      </c>
    </row>
    <row r="22" ht="32.25" customHeight="1" spans="1:7" x14ac:dyDescent="0.25">
      <c r="A22" s="197" t="s">
        <v>221</v>
      </c>
      <c r="B22" s="198">
        <v>0.75</v>
      </c>
      <c r="C22" s="199">
        <v>0.075</v>
      </c>
      <c r="D22" s="200">
        <v>1</v>
      </c>
      <c r="E22" s="200">
        <v>3</v>
      </c>
      <c r="F22" s="200">
        <v>3</v>
      </c>
      <c r="G22" s="200">
        <v>3</v>
      </c>
    </row>
    <row r="23" ht="32.25" customHeight="1" spans="1:7" x14ac:dyDescent="0.25">
      <c r="A23" s="197" t="s">
        <v>222</v>
      </c>
      <c r="B23" s="198">
        <v>0.75</v>
      </c>
      <c r="C23" s="199">
        <v>0.075</v>
      </c>
      <c r="D23" s="200">
        <v>1</v>
      </c>
      <c r="E23" s="200">
        <v>3</v>
      </c>
      <c r="F23" s="200">
        <v>3</v>
      </c>
      <c r="G23" s="200">
        <v>3</v>
      </c>
    </row>
    <row r="24" ht="32.25" customHeight="1" spans="1:7" x14ac:dyDescent="0.25">
      <c r="A24" s="197" t="s">
        <v>223</v>
      </c>
      <c r="B24" s="198">
        <v>0.75</v>
      </c>
      <c r="C24" s="199">
        <v>0.075</v>
      </c>
      <c r="D24" s="200">
        <v>1</v>
      </c>
      <c r="E24" s="200">
        <v>3</v>
      </c>
      <c r="F24" s="200">
        <v>3</v>
      </c>
      <c r="G24" s="200">
        <v>3</v>
      </c>
    </row>
    <row r="25" ht="16.5" customHeight="1" spans="1:7" x14ac:dyDescent="0.25">
      <c r="A25" s="197" t="s">
        <v>224</v>
      </c>
      <c r="B25" s="198">
        <v>0.5</v>
      </c>
      <c r="C25" s="199">
        <v>0.05</v>
      </c>
      <c r="D25" s="200">
        <v>1</v>
      </c>
      <c r="E25" s="200">
        <v>1</v>
      </c>
      <c r="F25" s="200">
        <v>1</v>
      </c>
      <c r="G25" s="200">
        <v>1</v>
      </c>
    </row>
  </sheetData>
  <mergeCells count="3">
    <mergeCell ref="D2:G2"/>
    <mergeCell ref="M15:O15"/>
    <mergeCell ref="M16:O16"/>
  </mergeCells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0"/>
  <sheetViews>
    <sheetView workbookViewId="0" showGridLines="0" zoomScale="90" zoomScaleNormal="90">
      <selection activeCell="D17" sqref="D17"/>
    </sheetView>
  </sheetViews>
  <sheetFormatPr defaultRowHeight="15" outlineLevelRow="0" outlineLevelCol="0" x14ac:dyDescent="0"/>
  <cols>
    <col min="1" max="1" width="10" customWidth="1"/>
    <col min="2" max="2" width="15.28515625" customWidth="1"/>
    <col min="3" max="3" width="10.140625" customWidth="1"/>
    <col min="4" max="4" width="13" customWidth="1"/>
    <col min="5" max="5" width="8.85546875" customWidth="1"/>
    <col min="6" max="6" width="9.42578125" customWidth="1"/>
    <col min="7" max="7" width="19.28515625" customWidth="1"/>
    <col min="9" max="9" width="16.7109375" customWidth="1"/>
  </cols>
  <sheetData>
    <row r="1" spans="1:1" x14ac:dyDescent="0.25">
      <c r="A1" s="71" t="str">
        <f>+Registro!C4</f>
        <v>Camilo A Artunduaga Mafla</v>
      </c>
    </row>
    <row r="2" spans="1:1" x14ac:dyDescent="0.25">
      <c r="A2" s="71" t="str">
        <f>+Registro!C6</f>
        <v>Calle 12A # 108-130 </v>
      </c>
    </row>
    <row r="3" ht="17.25" customHeight="1" spans="1:8" x14ac:dyDescent="0.25">
      <c r="A3" s="72" t="str">
        <f>+Registro!C7</f>
        <v>Cali</v>
      </c>
      <c r="B3" s="73"/>
      <c r="C3" s="102" t="str">
        <f>+Registro!C9</f>
        <v>Camilo.Artunduaga@Klean-vet.com</v>
      </c>
      <c r="D3" s="102"/>
      <c r="E3" s="73"/>
      <c r="F3" s="73"/>
      <c r="G3" s="73"/>
      <c r="H3" s="73"/>
    </row>
    <row r="5" ht="15" customHeight="1" spans="5:8" x14ac:dyDescent="0.25">
      <c r="E5" s="74" t="s">
        <v>109</v>
      </c>
      <c r="F5" s="74"/>
      <c r="G5" s="103" t="str">
        <f>_xlfn.CONCAT(YEAR(C13)," -",Registro!C38)</f>
        <v>2023 -21465</v>
      </c>
      <c r="H5" s="103"/>
    </row>
    <row r="6" ht="30.75" customHeight="1" spans="2:8" x14ac:dyDescent="0.25">
      <c r="B6" s="77" t="s">
        <v>110</v>
      </c>
      <c r="C6" s="104" t="str">
        <f>+Registro!C4</f>
        <v>Camilo A Artunduaga Mafla</v>
      </c>
      <c r="D6" s="104"/>
      <c r="E6" s="74" t="s">
        <v>111</v>
      </c>
      <c r="G6" s="103" t="str">
        <f>_xlfn.CONCAT("HC-"," ",Registro!C39)</f>
        <v>HC- 21465</v>
      </c>
      <c r="H6" s="103"/>
    </row>
    <row r="7" ht="27" customHeight="1" spans="2:8" x14ac:dyDescent="0.25">
      <c r="B7" s="105" t="s">
        <v>112</v>
      </c>
      <c r="C7" s="104" t="str">
        <f>+Registro!C22</f>
        <v>Willy</v>
      </c>
      <c r="D7" s="104"/>
      <c r="E7" s="105" t="s">
        <v>132</v>
      </c>
      <c r="F7" s="105"/>
      <c r="G7" s="107">
        <f>+Registro!C13</f>
        <v>1144059057</v>
      </c>
      <c r="H7" s="107"/>
    </row>
    <row r="8" spans="2:8" x14ac:dyDescent="0.25">
      <c r="B8" s="77" t="s">
        <v>133</v>
      </c>
      <c r="C8" s="104">
        <f>+Registro!C24</f>
        <v>20</v>
      </c>
      <c r="D8" s="104"/>
      <c r="E8" s="77" t="s">
        <v>134</v>
      </c>
      <c r="F8" s="77"/>
      <c r="G8" s="103" t="str">
        <f>+Registro!C14</f>
        <v>Camilo A Artunduaga Mafla</v>
      </c>
      <c r="H8" s="103"/>
    </row>
    <row r="9" spans="2:8" x14ac:dyDescent="0.25">
      <c r="B9" s="77"/>
      <c r="C9" s="104"/>
      <c r="D9" s="104"/>
      <c r="E9" s="77" t="s">
        <v>10</v>
      </c>
      <c r="F9" s="77"/>
      <c r="G9" s="103" t="str">
        <f>+Registro!C19</f>
        <v>Camilo.Artunduaga@Klean-vet.com</v>
      </c>
      <c r="H9" s="103"/>
    </row>
    <row r="10" spans="2:8" x14ac:dyDescent="0.25">
      <c r="B10" s="77" t="s">
        <v>115</v>
      </c>
      <c r="C10" s="104">
        <f>+Registro!C25</f>
        <v>10</v>
      </c>
      <c r="D10" s="104"/>
      <c r="E10" s="74" t="s">
        <v>113</v>
      </c>
      <c r="G10" s="103">
        <f>+Registro!C15</f>
        <v>3013219213</v>
      </c>
      <c r="H10" s="103"/>
    </row>
    <row r="11" ht="33" customHeight="1" spans="2:8" x14ac:dyDescent="0.25">
      <c r="B11" s="77" t="s">
        <v>136</v>
      </c>
      <c r="C11" s="104" t="str">
        <f>+Registro!C26</f>
        <v>Criollo</v>
      </c>
      <c r="D11" s="104"/>
      <c r="E11" s="74" t="s">
        <v>5</v>
      </c>
      <c r="G11" s="104" t="str">
        <f>+Registro!C16</f>
        <v>Calle 12A # 108-130 </v>
      </c>
      <c r="H11" s="104"/>
    </row>
    <row r="12" spans="2:9" x14ac:dyDescent="0.25">
      <c r="B12" s="77" t="s">
        <v>137</v>
      </c>
      <c r="C12" s="104" t="str">
        <f>+Registro!C27</f>
        <v>Hembra</v>
      </c>
      <c r="D12" s="104"/>
      <c r="E12" s="77" t="s">
        <v>7</v>
      </c>
      <c r="G12" s="103" t="str">
        <f>+Registro!C17</f>
        <v>Cali</v>
      </c>
      <c r="H12" s="103"/>
      <c r="I12" s="135" t="s">
        <v>46</v>
      </c>
    </row>
    <row r="13" ht="24" customHeight="1" spans="2:8" x14ac:dyDescent="0.25">
      <c r="B13" s="105" t="s">
        <v>117</v>
      </c>
      <c r="C13" s="108">
        <f>+Registro!C37</f>
        <v>44957</v>
      </c>
      <c r="D13" s="108"/>
      <c r="E13" s="74" t="s">
        <v>116</v>
      </c>
      <c r="G13" s="103" t="str">
        <f>+Registro!C18</f>
        <v>Valle del Cauca</v>
      </c>
      <c r="H13" s="103"/>
    </row>
    <row r="14" ht="15" customHeight="1" spans="2:8" x14ac:dyDescent="0.25">
      <c r="B14" s="77" t="s">
        <v>118</v>
      </c>
      <c r="C14" s="104" t="str">
        <f>+Registro!C31</f>
        <v>INFLAMACION</v>
      </c>
      <c r="D14" s="104"/>
      <c r="E14" s="74" t="s">
        <v>119</v>
      </c>
      <c r="G14" s="103" t="s">
        <v>120</v>
      </c>
      <c r="H14" s="103"/>
    </row>
    <row r="15" ht="16.5" customHeight="1" spans="2:8" s="109" customFormat="1" x14ac:dyDescent="0.25">
      <c r="B15" s="110" t="s">
        <v>138</v>
      </c>
      <c r="C15" s="111">
        <f>+Registro!C33</f>
        <v>1</v>
      </c>
      <c r="D15" s="111"/>
      <c r="E15" s="112" t="s">
        <v>139</v>
      </c>
      <c r="G15" s="113" t="str">
        <f t="array" ref="G15">_xlfn.IFS(C15 &lt;= 2, " Un mes",AND(C15&gt;2,C15&lt;5)," dos meses",C15&gt;=5, "tres meses")</f>
        <v> Un mes</v>
      </c>
      <c r="H15" s="113"/>
    </row>
    <row r="16" spans="1:8" x14ac:dyDescent="0.25">
      <c r="A16" s="81" t="s">
        <v>121</v>
      </c>
      <c r="B16" s="81"/>
      <c r="C16" s="81"/>
      <c r="D16" s="82" t="s">
        <v>29</v>
      </c>
      <c r="E16" s="81" t="s">
        <v>122</v>
      </c>
      <c r="F16" s="81"/>
      <c r="G16" s="81"/>
      <c r="H16" s="81" t="s">
        <v>123</v>
      </c>
    </row>
    <row r="17" ht="117.75" customHeight="1" spans="1:8" x14ac:dyDescent="0.25">
      <c r="A17" s="114" t="str">
        <f>VLOOKUP('CALCULADOR DOSIS GOTAS ML'!G8,Tablas!L15:O16,2,FALSE)</f>
        <v>CBD: 2.0% p/v, THC &lt; 0.05% p/v: Preparación magistral no psicoactivo con base en extracto de cannabis full spectrum con concentración de cannabidiol (CBD) de 20mg/mL y una concentración de tetrahidrocannabinol (THC) menor a 0.5mg/mL.</v>
      </c>
      <c r="B17" s="114"/>
      <c r="C17" s="114"/>
      <c r="D17" s="115" t="str">
        <f>+'CALCULADOR DOSIS GOTAS ML'!F7</f>
        <v>Frasco (2%) 30 mL 600 mg</v>
      </c>
      <c r="E17" s="115" t="s">
        <v>141</v>
      </c>
      <c r="F17" s="115"/>
      <c r="G17" s="115"/>
      <c r="H17" s="116" t="str">
        <f>CONCATENATE(C15," Unidades")</f>
        <v>1 Unidades</v>
      </c>
    </row>
    <row r="18" spans="1:12" x14ac:dyDescent="0.25">
      <c r="A18" s="96" t="s">
        <v>126</v>
      </c>
      <c r="B18" s="96"/>
      <c r="C18" s="96"/>
      <c r="D18" s="96"/>
      <c r="E18" s="96"/>
      <c r="F18" s="96"/>
      <c r="G18" s="96"/>
      <c r="H18" s="96"/>
      <c r="I18" s="74"/>
      <c r="J18" s="74"/>
      <c r="K18" s="74"/>
      <c r="L18" s="74"/>
    </row>
    <row r="19" ht="24" customHeight="1" spans="1:9" x14ac:dyDescent="0.25">
      <c r="A19" s="117" t="s">
        <v>127</v>
      </c>
      <c r="B19" s="118"/>
      <c r="C19" s="119" t="str">
        <f>+C14</f>
        <v>INFLAMACION</v>
      </c>
      <c r="D19" s="120"/>
      <c r="E19" s="121" t="s">
        <v>27</v>
      </c>
      <c r="F19" s="122" t="s">
        <v>149</v>
      </c>
      <c r="G19" s="122"/>
      <c r="H19" s="122"/>
      <c r="I19" s="74"/>
    </row>
    <row r="20" spans="1:12" x14ac:dyDescent="0.25">
      <c r="A20" s="96" t="s">
        <v>143</v>
      </c>
      <c r="B20" s="96"/>
      <c r="C20" s="96" t="s">
        <v>144</v>
      </c>
      <c r="D20" s="96"/>
      <c r="E20" s="96" t="s">
        <v>145</v>
      </c>
      <c r="F20" s="96"/>
      <c r="G20" s="96" t="s">
        <v>146</v>
      </c>
      <c r="H20" s="96"/>
      <c r="I20" s="74"/>
      <c r="K20" s="74"/>
      <c r="L20" s="74"/>
    </row>
    <row r="21" ht="92.25" customHeight="1" spans="1:12" x14ac:dyDescent="0.25">
      <c r="A21" s="125" t="str">
        <f>IF(C15=1,'CALCULADOR DOSIS GOTAS ML'!$C$10,"Suministrar 1 mL cada 12 horas durante el tratamiento prescrito")</f>
        <v>Prescribir 15 mgs al día.  Durante la primera semana administrar 6 gota 2 veces al dia.</v>
      </c>
      <c r="B21" s="125"/>
      <c r="C21" s="126" t="str">
        <f>IF(C15=1,'CALCULADOR DOSIS GOTAS ML'!$C$11,"Suministrar 1 mL cada 12 horas durante el tratamiento prescrito")</f>
        <v>Suministrar 15 mgs al día.  Durante la segunda semana administrar 6 gota 2 veces al dia.</v>
      </c>
      <c r="D21" s="126"/>
      <c r="E21" s="125" t="str">
        <f>IF(C15=1,'CALCULADOR DOSIS GOTAS ML'!$C$12,"Suministrar 1 mL cada 12 horas durante el tratamiento prescrito")</f>
        <v>Suministrar 5 mgs al día.  Durante la tercera semana administrar 2 gota 2 veces al dia.</v>
      </c>
      <c r="F21" s="125"/>
      <c r="G21" s="126" t="str">
        <f>IF(C15=1,'CALCULADOR DOSIS GOTAS ML'!$C$13,"Suministrar 1 mL cada 12 horas durante el tratamiento prescrito")</f>
        <v>Suministrar 5 mgs al día.  Durante la cuarta semana administrar 2 gota 2 veces al dia.</v>
      </c>
      <c r="H21" s="126"/>
      <c r="I21" s="95"/>
      <c r="K21" s="95"/>
      <c r="L21" s="95"/>
    </row>
    <row r="22" ht="15" customHeight="1" spans="1:12" x14ac:dyDescent="0.25">
      <c r="A22" s="96" t="s">
        <v>128</v>
      </c>
      <c r="B22" s="96"/>
      <c r="C22" s="83" t="s">
        <v>147</v>
      </c>
      <c r="D22" s="83"/>
      <c r="E22" s="83"/>
      <c r="F22" s="83"/>
      <c r="G22" s="83"/>
      <c r="H22" s="83"/>
      <c r="I22" s="95"/>
      <c r="J22" s="95"/>
      <c r="K22" s="95"/>
      <c r="L22" s="95"/>
    </row>
    <row r="23" spans="1:8" x14ac:dyDescent="0.25">
      <c r="A23" s="96"/>
      <c r="B23" s="96"/>
      <c r="C23" s="83"/>
      <c r="D23" s="83"/>
      <c r="E23" s="83"/>
      <c r="F23" s="83"/>
      <c r="G23" s="83"/>
      <c r="H23" s="83"/>
    </row>
    <row r="24" spans="1:8" x14ac:dyDescent="0.25">
      <c r="A24" s="96"/>
      <c r="B24" s="96"/>
      <c r="C24" s="83"/>
      <c r="D24" s="83"/>
      <c r="E24" s="83"/>
      <c r="F24" s="83"/>
      <c r="G24" s="83"/>
      <c r="H24" s="83"/>
    </row>
    <row r="26" ht="21" customHeight="1" spans="1:4" x14ac:dyDescent="0.25">
      <c r="A26" s="127" t="str">
        <f>+B27</f>
        <v>Camilo A Artunduaga Mafla</v>
      </c>
      <c r="B26" s="127"/>
      <c r="C26" s="127"/>
      <c r="D26" s="128"/>
    </row>
    <row r="27" spans="1:4" x14ac:dyDescent="0.25">
      <c r="A27" s="99" t="s">
        <v>130</v>
      </c>
      <c r="B27" s="129" t="str">
        <f>+Registro!C4</f>
        <v>Camilo A Artunduaga Mafla</v>
      </c>
      <c r="C27" s="129"/>
      <c r="D27" s="129"/>
    </row>
    <row r="28" spans="1:8" x14ac:dyDescent="0.25">
      <c r="A28" s="99" t="s">
        <v>131</v>
      </c>
      <c r="B28" s="130">
        <f>+Registro!C5</f>
        <v>43111</v>
      </c>
      <c r="E28" s="131"/>
      <c r="F28" s="131"/>
      <c r="G28" s="131"/>
      <c r="H28" s="131"/>
    </row>
    <row r="29" spans="1:6" x14ac:dyDescent="0.25">
      <c r="A29" s="132" t="s">
        <v>148</v>
      </c>
      <c r="B29" s="130">
        <f>+Registro!C10</f>
        <v>1144059057</v>
      </c>
      <c r="C29" s="100">
        <f>+Registro!C8</f>
        <v>3013219213</v>
      </c>
      <c r="D29" s="100"/>
      <c r="F29" t="s">
        <v>150</v>
      </c>
    </row>
    <row r="30" spans="1:8" x14ac:dyDescent="0.25">
      <c r="A30" s="73"/>
      <c r="B30" s="73"/>
      <c r="C30" s="73"/>
      <c r="D30" s="73"/>
      <c r="E30" s="73"/>
      <c r="F30" s="73"/>
      <c r="G30" s="73"/>
      <c r="H30" s="73"/>
    </row>
  </sheetData>
  <mergeCells count="42">
    <mergeCell ref="G5:H5"/>
    <mergeCell ref="C6:D6"/>
    <mergeCell ref="G6:H6"/>
    <mergeCell ref="C7:D7"/>
    <mergeCell ref="E7:F7"/>
    <mergeCell ref="G7:H7"/>
    <mergeCell ref="C8:D8"/>
    <mergeCell ref="E8:F8"/>
    <mergeCell ref="G8:H8"/>
    <mergeCell ref="C10:D10"/>
    <mergeCell ref="G10:H10"/>
    <mergeCell ref="C11:D11"/>
    <mergeCell ref="G11:H11"/>
    <mergeCell ref="C12:D12"/>
    <mergeCell ref="G12:H12"/>
    <mergeCell ref="C13:D13"/>
    <mergeCell ref="G13:H13"/>
    <mergeCell ref="C14:D14"/>
    <mergeCell ref="G14:H14"/>
    <mergeCell ref="G15:H15"/>
    <mergeCell ref="A16:C16"/>
    <mergeCell ref="E16:G16"/>
    <mergeCell ref="A17:C17"/>
    <mergeCell ref="E17:G17"/>
    <mergeCell ref="A18:H18"/>
    <mergeCell ref="A19:B19"/>
    <mergeCell ref="C19:D19"/>
    <mergeCell ref="F19:H19"/>
    <mergeCell ref="A20:B20"/>
    <mergeCell ref="C20:D20"/>
    <mergeCell ref="E20:F20"/>
    <mergeCell ref="G20:H20"/>
    <mergeCell ref="A21:B21"/>
    <mergeCell ref="C21:D21"/>
    <mergeCell ref="E21:F21"/>
    <mergeCell ref="G21:H21"/>
    <mergeCell ref="A22:B24"/>
    <mergeCell ref="C22:H24"/>
    <mergeCell ref="A26:C26"/>
    <mergeCell ref="B27:D27"/>
    <mergeCell ref="E28:H28"/>
    <mergeCell ref="C29:D29"/>
  </mergeCells>
  <pageMargins left="0.25" right="0.25" top="0.75" bottom="0.75" header="0.3" footer="0.3"/>
  <pageSetup paperSize="156" orientation="portrait" horizontalDpi="4294967295" verticalDpi="4294967295" scale="100" fitToWidth="1" fitToHeight="1" firstPageNumber="1" useFirstPageNumber="1" copies="1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L1:P61"/>
  <sheetViews>
    <sheetView workbookViewId="0" zoomScale="120" zoomScaleNormal="120">
      <selection activeCell="C33" sqref="C33"/>
    </sheetView>
  </sheetViews>
  <sheetFormatPr defaultRowHeight="15.75" outlineLevelRow="0" outlineLevelCol="0" x14ac:dyDescent="0" customHeight="1"/>
  <cols>
    <col min="1" max="1" width="11.42578125" style="22" customWidth="1"/>
    <col min="2" max="2" width="26.85546875" style="22" customWidth="1"/>
    <col min="3" max="3" width="58.5703125" style="23" customWidth="1"/>
    <col min="4" max="4" width="11.42578125" style="22" customWidth="1"/>
    <col min="5" max="5" width="22.85546875" style="24" customWidth="1"/>
    <col min="6" max="6" width="11.42578125" style="22" customWidth="1"/>
    <col min="7" max="7" width="12.85546875" style="22" customWidth="1"/>
    <col min="8" max="8" width="22.7109375" style="22" customWidth="1"/>
    <col min="9" max="12" width="11.42578125" style="22" customWidth="1"/>
    <col min="13" max="13" width="40.28515625" style="22" customWidth="1"/>
    <col min="14" max="14" width="11.42578125" style="22" customWidth="1"/>
    <col min="15" max="15" width="26.5703125" style="22" customWidth="1"/>
    <col min="16" max="16" width="28.42578125" style="22" customWidth="1"/>
    <col min="17" max="16384" width="11.42578125" style="22" customWidth="1"/>
  </cols>
  <sheetData>
    <row r="1" ht="16.5" customHeight="1" x14ac:dyDescent="0.25"/>
    <row r="2" ht="16.5" customHeight="1" spans="12:13" x14ac:dyDescent="0.25">
      <c r="L2" s="5" t="s">
        <v>34</v>
      </c>
      <c r="M2" s="25" t="s">
        <v>35</v>
      </c>
    </row>
    <row r="3" ht="32.25" customHeight="1" spans="2:16" x14ac:dyDescent="0.25">
      <c r="B3" s="26" t="s">
        <v>36</v>
      </c>
      <c r="C3" s="27"/>
      <c r="L3" s="7" t="s">
        <v>3</v>
      </c>
      <c r="M3" s="28">
        <v>45592</v>
      </c>
      <c r="O3" s="26" t="s">
        <v>36</v>
      </c>
      <c r="P3" s="27"/>
    </row>
    <row r="4" ht="16.5" customHeight="1" spans="2:16" x14ac:dyDescent="0.25">
      <c r="B4" s="5" t="s">
        <v>34</v>
      </c>
      <c r="C4" s="25" t="s">
        <v>37</v>
      </c>
      <c r="L4" s="7" t="s">
        <v>5</v>
      </c>
      <c r="M4" s="28" t="s">
        <v>38</v>
      </c>
      <c r="O4" s="5" t="s">
        <v>34</v>
      </c>
      <c r="P4" s="25" t="s">
        <v>39</v>
      </c>
    </row>
    <row r="5" ht="16.5" customHeight="1" spans="2:16" x14ac:dyDescent="0.25">
      <c r="B5" s="7" t="s">
        <v>3</v>
      </c>
      <c r="C5" s="28">
        <v>43111</v>
      </c>
      <c r="D5" s="22" t="s">
        <v>4</v>
      </c>
      <c r="L5" s="7" t="s">
        <v>40</v>
      </c>
      <c r="M5" s="29" t="s">
        <v>41</v>
      </c>
      <c r="O5" s="7" t="s">
        <v>3</v>
      </c>
      <c r="P5" s="28">
        <v>38517</v>
      </c>
    </row>
    <row r="6" ht="16.5" customHeight="1" spans="2:16" x14ac:dyDescent="0.25">
      <c r="B6" s="7" t="s">
        <v>5</v>
      </c>
      <c r="C6" s="28" t="s">
        <v>42</v>
      </c>
      <c r="L6" s="7" t="s">
        <v>9</v>
      </c>
      <c r="M6" s="30">
        <v>3223585271</v>
      </c>
      <c r="O6" s="7" t="s">
        <v>5</v>
      </c>
      <c r="P6" s="28" t="s">
        <v>43</v>
      </c>
    </row>
    <row r="7" ht="16.5" customHeight="1" spans="2:16" x14ac:dyDescent="0.25">
      <c r="B7" s="7" t="s">
        <v>40</v>
      </c>
      <c r="C7" s="29" t="s">
        <v>44</v>
      </c>
      <c r="L7" s="7" t="s">
        <v>10</v>
      </c>
      <c r="M7" s="31" t="s">
        <v>45</v>
      </c>
      <c r="O7" s="7" t="s">
        <v>40</v>
      </c>
      <c r="P7" s="29" t="s">
        <v>41</v>
      </c>
    </row>
    <row r="8" ht="16.5" customHeight="1" spans="2:16" x14ac:dyDescent="0.25">
      <c r="B8" s="7" t="s">
        <v>9</v>
      </c>
      <c r="C8" s="30">
        <v>3013219213</v>
      </c>
      <c r="E8" s="32" t="s">
        <v>46</v>
      </c>
      <c r="L8" s="9" t="s">
        <v>47</v>
      </c>
      <c r="M8" s="33">
        <v>1032482333</v>
      </c>
      <c r="O8" s="7" t="s">
        <v>9</v>
      </c>
      <c r="P8" s="30">
        <v>3152946916</v>
      </c>
    </row>
    <row r="9" ht="16.5" customHeight="1" spans="2:16" x14ac:dyDescent="0.25">
      <c r="B9" s="7" t="s">
        <v>10</v>
      </c>
      <c r="C9" s="31" t="s">
        <v>48</v>
      </c>
      <c r="M9" s="23"/>
      <c r="O9" s="7" t="s">
        <v>10</v>
      </c>
      <c r="P9" s="31" t="s">
        <v>49</v>
      </c>
    </row>
    <row r="10" ht="16.5" customHeight="1" spans="2:16" x14ac:dyDescent="0.25">
      <c r="B10" s="9" t="s">
        <v>47</v>
      </c>
      <c r="C10" s="33">
        <v>1144059057</v>
      </c>
      <c r="L10" s="34" t="s">
        <v>50</v>
      </c>
      <c r="M10" s="35"/>
      <c r="O10" s="9" t="s">
        <v>47</v>
      </c>
      <c r="P10" s="33">
        <v>1107051375</v>
      </c>
    </row>
    <row r="11" ht="16.5" customHeight="1" spans="12:13" x14ac:dyDescent="0.25">
      <c r="L11" s="5" t="s">
        <v>13</v>
      </c>
      <c r="M11" s="33">
        <v>38552923</v>
      </c>
    </row>
    <row r="12" ht="32.25" customHeight="1" spans="2:13" x14ac:dyDescent="0.25">
      <c r="B12" s="34" t="s">
        <v>50</v>
      </c>
      <c r="C12" s="35"/>
      <c r="L12" s="7" t="s">
        <v>51</v>
      </c>
      <c r="M12" s="25" t="s">
        <v>52</v>
      </c>
    </row>
    <row r="13" ht="16.5" customHeight="1" spans="2:13" x14ac:dyDescent="0.25">
      <c r="B13" s="5" t="s">
        <v>13</v>
      </c>
      <c r="C13" s="36">
        <f>+C10</f>
        <v>1144059057</v>
      </c>
      <c r="L13" s="7" t="s">
        <v>17</v>
      </c>
      <c r="M13" s="30">
        <v>3116172631</v>
      </c>
    </row>
    <row r="14" ht="16.5" customHeight="1" spans="2:13" x14ac:dyDescent="0.25">
      <c r="B14" s="7" t="s">
        <v>51</v>
      </c>
      <c r="C14" s="25" t="str">
        <f>+C4</f>
        <v>Camilo A Artunduaga Mafla</v>
      </c>
      <c r="L14" s="7" t="s">
        <v>53</v>
      </c>
      <c r="M14" s="28" t="s">
        <v>54</v>
      </c>
    </row>
    <row r="15" ht="16.5" customHeight="1" spans="2:13" x14ac:dyDescent="0.25">
      <c r="B15" s="7" t="s">
        <v>17</v>
      </c>
      <c r="C15" s="30">
        <f>+C8</f>
        <v>3013219213</v>
      </c>
      <c r="L15" s="7" t="s">
        <v>20</v>
      </c>
      <c r="M15" s="29" t="s">
        <v>44</v>
      </c>
    </row>
    <row r="16" ht="16.5" customHeight="1" spans="2:13" x14ac:dyDescent="0.25">
      <c r="B16" s="7" t="s">
        <v>53</v>
      </c>
      <c r="C16" s="28" t="str">
        <f>+C6</f>
        <v>Calle 12A # 108-130 </v>
      </c>
      <c r="E16" s="32" t="s">
        <v>46</v>
      </c>
      <c r="L16" s="9" t="s">
        <v>22</v>
      </c>
      <c r="M16" s="29" t="s">
        <v>55</v>
      </c>
    </row>
    <row r="17" ht="16.5" customHeight="1" spans="2:3" x14ac:dyDescent="0.25">
      <c r="B17" s="7" t="s">
        <v>20</v>
      </c>
      <c r="C17" s="29" t="str">
        <f>+C7</f>
        <v>Cali</v>
      </c>
    </row>
    <row r="18" ht="16.5" customHeight="1" spans="2:3" x14ac:dyDescent="0.25">
      <c r="B18" s="9" t="s">
        <v>22</v>
      </c>
      <c r="C18" s="29" t="s">
        <v>55</v>
      </c>
    </row>
    <row r="19" ht="16.5" customHeight="1" spans="2:13" x14ac:dyDescent="0.25">
      <c r="B19" s="9" t="s">
        <v>56</v>
      </c>
      <c r="C19" s="29" t="str">
        <f>+C9</f>
        <v>Camilo.Artunduaga@Klean-vet.com</v>
      </c>
      <c r="F19" s="37"/>
      <c r="L19" s="26" t="s">
        <v>36</v>
      </c>
      <c r="M19" s="27"/>
    </row>
    <row r="20" ht="16.5" customHeight="1" spans="2:13" x14ac:dyDescent="0.25">
      <c r="B20" s="22" t="s">
        <v>4</v>
      </c>
      <c r="C20" s="23" t="s">
        <v>4</v>
      </c>
      <c r="L20" s="5" t="s">
        <v>34</v>
      </c>
      <c r="M20" s="25" t="s">
        <v>57</v>
      </c>
    </row>
    <row r="21" ht="37.5" customHeight="1" spans="2:13" x14ac:dyDescent="0.25">
      <c r="B21" s="34" t="s">
        <v>58</v>
      </c>
      <c r="C21" s="35"/>
      <c r="L21" s="7" t="s">
        <v>3</v>
      </c>
      <c r="M21" s="28">
        <v>45592</v>
      </c>
    </row>
    <row r="22" ht="16.5" customHeight="1" spans="2:13" x14ac:dyDescent="0.25">
      <c r="B22" s="38" t="s">
        <v>59</v>
      </c>
      <c r="C22" s="39" t="s">
        <v>60</v>
      </c>
      <c r="L22" s="7" t="s">
        <v>5</v>
      </c>
      <c r="M22" s="28" t="s">
        <v>38</v>
      </c>
    </row>
    <row r="23" ht="16.5" customHeight="1" spans="2:13" x14ac:dyDescent="0.25">
      <c r="B23" s="40" t="s">
        <v>61</v>
      </c>
      <c r="C23" s="39" t="s">
        <v>62</v>
      </c>
      <c r="L23" s="7" t="s">
        <v>40</v>
      </c>
      <c r="M23" s="29" t="s">
        <v>41</v>
      </c>
    </row>
    <row r="24" ht="16.5" customHeight="1" spans="2:13" x14ac:dyDescent="0.25">
      <c r="B24" s="40" t="s">
        <v>63</v>
      </c>
      <c r="C24" s="39">
        <v>20</v>
      </c>
      <c r="L24" s="7" t="s">
        <v>9</v>
      </c>
      <c r="M24" s="30">
        <v>3169181379</v>
      </c>
    </row>
    <row r="25" ht="16.5" customHeight="1" spans="2:13" x14ac:dyDescent="0.25">
      <c r="B25" s="40" t="s">
        <v>64</v>
      </c>
      <c r="C25" s="39">
        <v>10</v>
      </c>
      <c r="L25" s="7" t="s">
        <v>10</v>
      </c>
      <c r="M25" s="31" t="s">
        <v>65</v>
      </c>
    </row>
    <row r="26" ht="16.5" customHeight="1" spans="2:13" x14ac:dyDescent="0.25">
      <c r="B26" s="40" t="s">
        <v>66</v>
      </c>
      <c r="C26" s="39" t="s">
        <v>67</v>
      </c>
      <c r="L26" s="9" t="s">
        <v>47</v>
      </c>
      <c r="M26" s="33">
        <v>1075234195</v>
      </c>
    </row>
    <row r="27" ht="16.5" customHeight="1" spans="2:13" x14ac:dyDescent="0.25">
      <c r="B27" s="41" t="s">
        <v>68</v>
      </c>
      <c r="C27" s="25" t="s">
        <v>69</v>
      </c>
      <c r="M27" s="23"/>
    </row>
    <row r="28" ht="16.5" customHeight="1" spans="12:13" x14ac:dyDescent="0.25">
      <c r="L28" s="34" t="s">
        <v>50</v>
      </c>
      <c r="M28" s="35"/>
    </row>
    <row r="29" ht="16.5" customHeight="1" spans="12:13" x14ac:dyDescent="0.25">
      <c r="L29" s="5" t="s">
        <v>13</v>
      </c>
      <c r="M29" s="33">
        <v>19097202</v>
      </c>
    </row>
    <row r="30" ht="34.5" customHeight="1" spans="2:13" x14ac:dyDescent="0.25">
      <c r="B30" s="34" t="s">
        <v>24</v>
      </c>
      <c r="C30" s="35"/>
      <c r="L30" s="7" t="s">
        <v>51</v>
      </c>
      <c r="M30" s="25" t="s">
        <v>70</v>
      </c>
    </row>
    <row r="31" ht="16.5" customHeight="1" spans="2:13" x14ac:dyDescent="0.25">
      <c r="B31" s="42" t="s">
        <v>25</v>
      </c>
      <c r="C31" s="39" t="s">
        <v>71</v>
      </c>
      <c r="L31" s="7" t="s">
        <v>17</v>
      </c>
      <c r="M31" s="30">
        <v>3105818164</v>
      </c>
    </row>
    <row r="32" ht="16.5" customHeight="1" spans="2:13" x14ac:dyDescent="0.25">
      <c r="B32" s="43" t="s">
        <v>29</v>
      </c>
      <c r="C32" s="25" t="s">
        <v>72</v>
      </c>
      <c r="L32" s="7" t="s">
        <v>53</v>
      </c>
      <c r="M32" s="28" t="s">
        <v>73</v>
      </c>
    </row>
    <row r="33" ht="16.5" customHeight="1" spans="2:13" x14ac:dyDescent="0.25">
      <c r="B33" s="43" t="s">
        <v>74</v>
      </c>
      <c r="C33" s="39">
        <v>5</v>
      </c>
      <c r="L33" s="7" t="s">
        <v>20</v>
      </c>
      <c r="M33" s="29" t="s">
        <v>44</v>
      </c>
    </row>
    <row r="34" ht="16.5" customHeight="1" spans="3:13" x14ac:dyDescent="0.25">
      <c r="C34" s="22"/>
      <c r="L34" s="9" t="s">
        <v>22</v>
      </c>
      <c r="M34" s="29" t="s">
        <v>55</v>
      </c>
    </row>
    <row r="35" ht="16.5" customHeight="1" spans="3:3" x14ac:dyDescent="0.25">
      <c r="C35" s="22"/>
    </row>
    <row r="36" ht="16.5" customHeight="1" spans="3:13" x14ac:dyDescent="0.25">
      <c r="C36" s="22"/>
      <c r="L36" s="26" t="s">
        <v>36</v>
      </c>
      <c r="M36" s="27"/>
    </row>
    <row r="37" ht="16.5" customHeight="1" spans="2:13" x14ac:dyDescent="0.25">
      <c r="B37" s="19" t="s">
        <v>30</v>
      </c>
      <c r="C37" s="20">
        <f>+TODAY()</f>
        <v>44957</v>
      </c>
      <c r="L37" s="5" t="s">
        <v>34</v>
      </c>
      <c r="M37" s="25" t="s">
        <v>75</v>
      </c>
    </row>
    <row r="38" ht="16.5" customHeight="1" spans="2:13" x14ac:dyDescent="0.25">
      <c r="B38" s="19" t="s">
        <v>31</v>
      </c>
      <c r="C38" s="21">
        <v>21465</v>
      </c>
      <c r="L38" s="7" t="s">
        <v>3</v>
      </c>
      <c r="M38" s="28">
        <v>4399</v>
      </c>
    </row>
    <row r="39" ht="16.5" customHeight="1" spans="2:13" x14ac:dyDescent="0.25">
      <c r="B39" s="19" t="s">
        <v>32</v>
      </c>
      <c r="C39" s="21">
        <v>21465</v>
      </c>
      <c r="L39" s="7" t="s">
        <v>5</v>
      </c>
      <c r="M39" s="28" t="s">
        <v>76</v>
      </c>
    </row>
    <row r="40" ht="16.5" customHeight="1" spans="2:13" x14ac:dyDescent="0.25">
      <c r="B40" s="19" t="s">
        <v>33</v>
      </c>
      <c r="C40" s="21" t="str">
        <f>+C7</f>
        <v>Cali</v>
      </c>
      <c r="L40" s="7" t="s">
        <v>40</v>
      </c>
      <c r="M40" s="29" t="s">
        <v>41</v>
      </c>
    </row>
    <row r="41" ht="16.5" customHeight="1" spans="12:13" x14ac:dyDescent="0.25">
      <c r="L41" s="7" t="s">
        <v>9</v>
      </c>
      <c r="M41" s="30">
        <v>3137443983</v>
      </c>
    </row>
    <row r="42" ht="16.5" customHeight="1" spans="12:13" x14ac:dyDescent="0.25">
      <c r="L42" s="7" t="s">
        <v>10</v>
      </c>
      <c r="M42" s="31" t="s">
        <v>77</v>
      </c>
    </row>
    <row r="43" ht="16.5" customHeight="1" spans="3:13" x14ac:dyDescent="0.25">
      <c r="C43" s="44"/>
      <c r="L43" s="9" t="s">
        <v>47</v>
      </c>
      <c r="M43" s="30">
        <v>1143840604</v>
      </c>
    </row>
    <row r="45" ht="16.5" customHeight="1" x14ac:dyDescent="0.25"/>
    <row r="46" ht="16.5" customHeight="1" spans="12:13" x14ac:dyDescent="0.25">
      <c r="L46" s="26" t="s">
        <v>36</v>
      </c>
      <c r="M46" s="27"/>
    </row>
    <row r="47" ht="16.5" customHeight="1" spans="12:13" x14ac:dyDescent="0.25">
      <c r="L47" s="5" t="s">
        <v>34</v>
      </c>
      <c r="M47" s="25" t="s">
        <v>78</v>
      </c>
    </row>
    <row r="48" ht="16.5" customHeight="1" spans="12:13" x14ac:dyDescent="0.25">
      <c r="L48" s="7" t="s">
        <v>3</v>
      </c>
      <c r="M48" s="28">
        <v>27013</v>
      </c>
    </row>
    <row r="49" ht="16.5" customHeight="1" spans="12:13" x14ac:dyDescent="0.25">
      <c r="L49" s="7" t="s">
        <v>5</v>
      </c>
      <c r="M49" s="28" t="s">
        <v>6</v>
      </c>
    </row>
    <row r="50" ht="16.5" customHeight="1" spans="12:13" x14ac:dyDescent="0.25">
      <c r="L50" s="7" t="s">
        <v>40</v>
      </c>
      <c r="M50" s="29" t="s">
        <v>8</v>
      </c>
    </row>
    <row r="51" ht="16.5" customHeight="1" spans="12:13" x14ac:dyDescent="0.25">
      <c r="L51" s="7" t="s">
        <v>9</v>
      </c>
      <c r="M51" s="30">
        <v>3135989719</v>
      </c>
    </row>
    <row r="52" ht="16.5" customHeight="1" spans="12:13" x14ac:dyDescent="0.25">
      <c r="L52" s="7" t="s">
        <v>10</v>
      </c>
      <c r="M52" s="31" t="s">
        <v>79</v>
      </c>
    </row>
    <row r="53" ht="16.5" customHeight="1" spans="12:13" x14ac:dyDescent="0.25">
      <c r="L53" s="9" t="s">
        <v>47</v>
      </c>
      <c r="M53" s="33">
        <v>1129566308</v>
      </c>
    </row>
    <row r="54" ht="16.5" customHeight="1" spans="13:13" x14ac:dyDescent="0.25">
      <c r="M54" s="23"/>
    </row>
    <row r="55" ht="16.5" customHeight="1" spans="12:13" x14ac:dyDescent="0.25">
      <c r="L55" s="34" t="s">
        <v>50</v>
      </c>
      <c r="M55" s="35"/>
    </row>
    <row r="56" ht="16.5" customHeight="1" spans="12:13" x14ac:dyDescent="0.25">
      <c r="L56" s="5" t="s">
        <v>13</v>
      </c>
      <c r="M56" s="36">
        <f>+M53</f>
        <v>1129566308</v>
      </c>
    </row>
    <row r="57" ht="16.5" customHeight="1" spans="12:13" x14ac:dyDescent="0.25">
      <c r="L57" s="7" t="s">
        <v>51</v>
      </c>
      <c r="M57" s="25" t="str">
        <f>+M47</f>
        <v>Johana Molina</v>
      </c>
    </row>
    <row r="58" ht="16.5" customHeight="1" spans="12:13" x14ac:dyDescent="0.25">
      <c r="L58" s="7" t="s">
        <v>17</v>
      </c>
      <c r="M58" s="30">
        <f>+M51</f>
        <v>3135989719</v>
      </c>
    </row>
    <row r="59" ht="16.5" customHeight="1" spans="12:13" x14ac:dyDescent="0.25">
      <c r="L59" s="7" t="s">
        <v>53</v>
      </c>
      <c r="M59" s="28" t="str">
        <f>+M49</f>
        <v>Carrera 44 # 76-218</v>
      </c>
    </row>
    <row r="60" ht="16.5" customHeight="1" spans="12:13" x14ac:dyDescent="0.25">
      <c r="L60" s="7" t="s">
        <v>20</v>
      </c>
      <c r="M60" s="29" t="str">
        <f>+M50</f>
        <v>Barranquilla</v>
      </c>
    </row>
    <row r="61" ht="16.5" customHeight="1" spans="12:13" x14ac:dyDescent="0.25">
      <c r="L61" s="9" t="s">
        <v>22</v>
      </c>
      <c r="M61" s="29" t="s">
        <v>80</v>
      </c>
    </row>
  </sheetData>
  <mergeCells count="11">
    <mergeCell ref="B3:C3"/>
    <mergeCell ref="O3:P3"/>
    <mergeCell ref="L10:M10"/>
    <mergeCell ref="B12:C12"/>
    <mergeCell ref="L19:M19"/>
    <mergeCell ref="B21:C21"/>
    <mergeCell ref="L28:M28"/>
    <mergeCell ref="B30:C30"/>
    <mergeCell ref="L36:M36"/>
    <mergeCell ref="L46:M46"/>
    <mergeCell ref="L55:M55"/>
  </mergeCells>
  <dataValidations count="1">
    <dataValidation type="list" allowBlank="1" showInputMessage="1" showErrorMessage="1" sqref="C27">
      <formula1>Sexo</formula1>
    </dataValidation>
  </dataValidations>
  <hyperlinks>
    <hyperlink ref="M7" r:id="rId1"/>
    <hyperlink ref="C9" r:id="rId2"/>
    <hyperlink ref="P9" r:id="rId3"/>
    <hyperlink ref="M25" r:id="rId4"/>
    <hyperlink ref="M42" r:id="rId5"/>
    <hyperlink ref="M52" r:id="rId6"/>
  </hyperlinks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"/>
  <sheetViews>
    <sheetView workbookViewId="0" zoomScale="100" zoomScaleNormal="100">
      <selection activeCell="O3" sqref="O3"/>
    </sheetView>
  </sheetViews>
  <sheetFormatPr defaultRowHeight="15" outlineLevelRow="0" outlineLevelCol="0" x14ac:dyDescent="0"/>
  <cols>
    <col min="1" max="1" width="24.28515625" customWidth="1"/>
    <col min="2" max="2" width="23.42578125" customWidth="1"/>
    <col min="3" max="3" width="24.28515625" customWidth="1"/>
    <col min="4" max="4" width="24" customWidth="1"/>
    <col min="5" max="5" width="20.140625" customWidth="1"/>
    <col min="6" max="6" width="19" customWidth="1"/>
    <col min="7" max="7" width="22" customWidth="1"/>
    <col min="8" max="8" width="15" customWidth="1"/>
    <col min="9" max="9" width="13.85546875" customWidth="1"/>
    <col min="10" max="10" width="13.140625" customWidth="1"/>
    <col min="13" max="13" width="24.140625" customWidth="1"/>
    <col min="14" max="14" width="17.5703125" customWidth="1"/>
    <col min="15" max="15" width="25.42578125" customWidth="1"/>
    <col min="16" max="16" width="24.28515625" customWidth="1"/>
    <col min="17" max="17" width="23.42578125" customWidth="1"/>
    <col min="18" max="18" width="18.42578125" customWidth="1"/>
  </cols>
  <sheetData>
    <row r="1" ht="15" customHeight="1" spans="2:16" x14ac:dyDescent="0.25">
      <c r="B1" s="70" t="s">
        <v>101</v>
      </c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</row>
    <row r="2" ht="15" customHeight="1" spans="2:16" x14ac:dyDescent="0.25"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</row>
    <row r="3" ht="15.75" customHeight="1" spans="1:18" x14ac:dyDescent="0.25">
      <c r="A3" t="s">
        <v>13</v>
      </c>
      <c r="B3" t="s">
        <v>51</v>
      </c>
      <c r="C3" t="s">
        <v>17</v>
      </c>
      <c r="D3" t="s">
        <v>18</v>
      </c>
      <c r="E3" t="s">
        <v>20</v>
      </c>
      <c r="F3" t="s">
        <v>22</v>
      </c>
      <c r="G3" t="s">
        <v>59</v>
      </c>
      <c r="H3" t="s">
        <v>61</v>
      </c>
      <c r="I3" t="s">
        <v>63</v>
      </c>
      <c r="J3" t="s">
        <v>64</v>
      </c>
      <c r="K3" t="s">
        <v>66</v>
      </c>
      <c r="L3" t="s">
        <v>68</v>
      </c>
      <c r="M3" t="s">
        <v>30</v>
      </c>
      <c r="N3" t="s">
        <v>31</v>
      </c>
      <c r="O3" t="s">
        <v>25</v>
      </c>
      <c r="P3" t="s">
        <v>29</v>
      </c>
      <c r="Q3" t="s">
        <v>32</v>
      </c>
      <c r="R3" t="s">
        <v>33</v>
      </c>
    </row>
    <row r="4" ht="16.5" customHeight="1" spans="1:18" x14ac:dyDescent="0.25">
      <c r="A4">
        <v>94446435</v>
      </c>
      <c r="B4" t="s">
        <v>102</v>
      </c>
      <c r="C4">
        <v>320787303</v>
      </c>
      <c r="D4" t="s">
        <v>73</v>
      </c>
      <c r="E4" t="s">
        <v>44</v>
      </c>
      <c r="F4" t="s">
        <v>23</v>
      </c>
      <c r="G4" t="s">
        <v>103</v>
      </c>
      <c r="H4" t="s">
        <v>104</v>
      </c>
      <c r="I4">
        <v>5</v>
      </c>
      <c r="J4">
        <v>12</v>
      </c>
      <c r="K4" t="s">
        <v>105</v>
      </c>
      <c r="L4" t="s">
        <v>69</v>
      </c>
      <c r="M4">
        <v>44742</v>
      </c>
      <c r="N4" s="21">
        <v>109</v>
      </c>
      <c r="O4" t="s">
        <v>106</v>
      </c>
      <c r="P4" s="13" t="s">
        <v>107</v>
      </c>
      <c r="Q4">
        <v>109</v>
      </c>
      <c r="R4" t="s">
        <v>8</v>
      </c>
    </row>
    <row r="5" ht="15.75" customHeight="1" spans="1:18" x14ac:dyDescent="0.25">
      <c r="A5" t="s">
        <v>107</v>
      </c>
      <c r="B5" t="s">
        <v>102</v>
      </c>
      <c r="C5">
        <v>320787303</v>
      </c>
      <c r="D5" t="s">
        <v>73</v>
      </c>
      <c r="E5" t="s">
        <v>44</v>
      </c>
      <c r="F5" t="s">
        <v>23</v>
      </c>
      <c r="G5" t="s">
        <v>103</v>
      </c>
      <c r="H5" t="s">
        <v>104</v>
      </c>
      <c r="I5">
        <v>5</v>
      </c>
      <c r="J5">
        <v>12</v>
      </c>
      <c r="K5" t="s">
        <v>105</v>
      </c>
      <c r="L5" t="s">
        <v>69</v>
      </c>
      <c r="M5" s="20">
        <v>44742</v>
      </c>
      <c r="N5">
        <v>108</v>
      </c>
      <c r="O5" s="6" t="s">
        <v>106</v>
      </c>
      <c r="P5" t="s">
        <v>107</v>
      </c>
      <c r="Q5">
        <v>108</v>
      </c>
      <c r="R5" t="s">
        <v>8</v>
      </c>
    </row>
    <row r="6" ht="15.75" customHeight="1" spans="1:18" x14ac:dyDescent="0.25">
      <c r="A6">
        <v>94446435</v>
      </c>
      <c r="B6" t="s">
        <v>102</v>
      </c>
      <c r="C6">
        <v>320787303</v>
      </c>
      <c r="D6" t="s">
        <v>73</v>
      </c>
      <c r="E6" t="s">
        <v>44</v>
      </c>
      <c r="F6" t="s">
        <v>23</v>
      </c>
      <c r="G6" t="s">
        <v>103</v>
      </c>
      <c r="H6" t="s">
        <v>104</v>
      </c>
      <c r="I6">
        <v>5</v>
      </c>
      <c r="J6">
        <v>12</v>
      </c>
      <c r="K6" t="s">
        <v>105</v>
      </c>
      <c r="L6" t="s">
        <v>69</v>
      </c>
      <c r="M6">
        <v>44742</v>
      </c>
      <c r="N6" s="21">
        <v>108</v>
      </c>
      <c r="O6" t="s">
        <v>106</v>
      </c>
      <c r="P6" t="s">
        <v>108</v>
      </c>
      <c r="Q6">
        <v>108</v>
      </c>
      <c r="R6" t="s">
        <v>8</v>
      </c>
    </row>
  </sheetData>
  <mergeCells count="1">
    <mergeCell ref="B1:P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3"/>
  <sheetViews>
    <sheetView workbookViewId="0" zoomScale="100" zoomScaleNormal="100">
      <selection activeCell="O3" sqref="O3"/>
    </sheetView>
  </sheetViews>
  <sheetFormatPr defaultRowHeight="15" outlineLevelRow="0" outlineLevelCol="0" x14ac:dyDescent="0"/>
  <cols>
    <col min="1" max="1" width="14.5703125" customWidth="1"/>
    <col min="6" max="6" width="17.28515625" customWidth="1"/>
    <col min="7" max="7" width="13.42578125" customWidth="1"/>
    <col min="8" max="8" width="14.42578125" customWidth="1"/>
    <col min="13" max="13" width="23.28515625" customWidth="1"/>
    <col min="14" max="14" width="21" customWidth="1"/>
    <col min="16" max="16" width="23.28515625" customWidth="1"/>
  </cols>
  <sheetData>
    <row r="2" spans="1:18" x14ac:dyDescent="0.25">
      <c r="A2" s="67" t="s">
        <v>13</v>
      </c>
      <c r="B2" s="68" t="s">
        <v>51</v>
      </c>
      <c r="C2" s="68" t="s">
        <v>17</v>
      </c>
      <c r="D2" s="68" t="s">
        <v>18</v>
      </c>
      <c r="E2" s="68" t="s">
        <v>20</v>
      </c>
      <c r="F2" s="68" t="s">
        <v>22</v>
      </c>
      <c r="G2" s="68" t="s">
        <v>59</v>
      </c>
      <c r="H2" s="68" t="s">
        <v>61</v>
      </c>
      <c r="I2" s="68" t="s">
        <v>63</v>
      </c>
      <c r="J2" s="68" t="s">
        <v>64</v>
      </c>
      <c r="K2" s="68" t="s">
        <v>66</v>
      </c>
      <c r="L2" s="68" t="s">
        <v>68</v>
      </c>
      <c r="M2" s="68" t="s">
        <v>30</v>
      </c>
      <c r="N2" s="68" t="s">
        <v>31</v>
      </c>
      <c r="O2" s="68" t="s">
        <v>25</v>
      </c>
      <c r="P2" s="68" t="s">
        <v>29</v>
      </c>
      <c r="Q2" s="68" t="s">
        <v>32</v>
      </c>
      <c r="R2" s="69" t="s">
        <v>33</v>
      </c>
    </row>
    <row r="3" spans="1:18" x14ac:dyDescent="0.25">
      <c r="A3">
        <v>94446435</v>
      </c>
      <c r="B3" t="str">
        <f>IFERROR(VLOOKUP(A3,Tabla2[],2,0),"")</f>
        <v>Carlos Calderon</v>
      </c>
      <c r="C3">
        <f>IFERROR(VLOOKUP(A3,Tabla2[],3,0),"")</f>
        <v>320787303</v>
      </c>
      <c r="D3" t="str">
        <f>IFERROR(VLOOKUP(A3,Tabla2[],4,0),"")</f>
        <v>Calle 11a # 70-35</v>
      </c>
      <c r="E3" t="str">
        <f>IFERROR(VLOOKUP(A3,Tabla2[],5,0),"")</f>
        <v>Cali</v>
      </c>
      <c r="F3" t="str">
        <f>IFERROR(VLOOKUP(A3,Tabla2[],6,0),"")</f>
        <v>Valle</v>
      </c>
      <c r="G3" t="str">
        <f>IFERROR(VLOOKUP(A3,Tabla2[],7,0),"")</f>
        <v>Reina</v>
      </c>
      <c r="H3" t="str">
        <f>IFERROR(VLOOKUP(A3,Tabla2[],8,0),"")</f>
        <v>Felino</v>
      </c>
      <c r="I3">
        <f>IFERROR(VLOOKUP(A3,Tabla2[],9,0),"")</f>
        <v>5</v>
      </c>
      <c r="J3">
        <f>IFERROR(VLOOKUP(A3,Tabla2[],10,0),"")</f>
        <v>12</v>
      </c>
      <c r="K3" t="str">
        <f>IFERROR(VLOOKUP(A3,Tabla2[],11,0),"")</f>
        <v>Criolla</v>
      </c>
      <c r="L3" t="str">
        <f>IFERROR(VLOOKUP(A3,Tabla2[],12,0),"")</f>
        <v>Hembra</v>
      </c>
      <c r="M3">
        <f>IFERROR(VLOOKUP(A3,Tabla2[],13,0),"")</f>
        <v>44742</v>
      </c>
      <c r="N3">
        <f>IFERROR(VLOOKUP(A3,Tabla2[],14,0),"")</f>
        <v>109</v>
      </c>
      <c r="O3" t="str">
        <f>IFERROR(VLOOKUP(A3,Tabla2[],15,0),"")</f>
        <v>COMPORTAMIENTO</v>
      </c>
      <c r="P3" t="str">
        <f>IFERROR(VLOOKUP(A3,Tabla2[],16,0),"")</f>
        <v>Frasco (2%) 15 mL 300 mg</v>
      </c>
      <c r="Q3">
        <f>IFERROR(VLOOKUP(A3,Tabla2[],17,0),"")</f>
        <v>109</v>
      </c>
      <c r="R3" t="str">
        <f>IFERROR(VLOOKUP(A3,Tabla2[],18,0),"")</f>
        <v>Barranquilla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6"/>
  <sheetViews>
    <sheetView workbookViewId="0" zoomScale="130" zoomScaleNormal="130">
      <selection activeCell="O3" sqref="O3"/>
    </sheetView>
  </sheetViews>
  <sheetFormatPr defaultRowHeight="15" outlineLevelRow="0" outlineLevelCol="0" x14ac:dyDescent="0"/>
  <cols>
    <col min="1" max="1" width="20.7109375" customWidth="1"/>
    <col min="2" max="3" width="36.7109375" customWidth="1"/>
    <col min="4" max="5" width="13.7109375" style="109" customWidth="1"/>
  </cols>
  <sheetData>
    <row r="1" ht="15.75" customHeight="1" spans="2:6" x14ac:dyDescent="0.25">
      <c r="B1" t="s">
        <v>225</v>
      </c>
      <c r="C1" t="s">
        <v>226</v>
      </c>
      <c r="D1" s="109" t="s">
        <v>173</v>
      </c>
      <c r="E1" s="109" t="s">
        <v>173</v>
      </c>
      <c r="F1" t="s">
        <v>175</v>
      </c>
    </row>
    <row r="2" ht="114.75" customHeight="1" spans="1:6" x14ac:dyDescent="0.25">
      <c r="A2" s="209" t="s">
        <v>227</v>
      </c>
      <c r="B2" s="209" t="s">
        <v>228</v>
      </c>
      <c r="C2" s="209" t="s">
        <v>228</v>
      </c>
      <c r="D2" s="210" t="s">
        <v>229</v>
      </c>
      <c r="E2" s="211" t="s">
        <v>230</v>
      </c>
      <c r="F2" s="212" t="s">
        <v>231</v>
      </c>
    </row>
    <row r="3" ht="26.25" customHeight="1" spans="1:6" x14ac:dyDescent="0.25">
      <c r="A3" s="213" t="s">
        <v>232</v>
      </c>
      <c r="B3" s="213" t="s">
        <v>233</v>
      </c>
      <c r="C3" s="213" t="s">
        <v>233</v>
      </c>
      <c r="D3" s="214" t="s">
        <v>229</v>
      </c>
      <c r="E3" s="211" t="s">
        <v>230</v>
      </c>
      <c r="F3" s="212" t="s">
        <v>231</v>
      </c>
    </row>
    <row r="4" ht="128.25" customHeight="1" spans="1:6" x14ac:dyDescent="0.25">
      <c r="A4" s="213" t="s">
        <v>26</v>
      </c>
      <c r="B4" s="213" t="s">
        <v>234</v>
      </c>
      <c r="C4" s="213" t="s">
        <v>234</v>
      </c>
      <c r="D4" s="210" t="s">
        <v>229</v>
      </c>
      <c r="E4" s="211" t="s">
        <v>230</v>
      </c>
      <c r="F4" s="212" t="s">
        <v>235</v>
      </c>
    </row>
    <row r="5" ht="77.25" customHeight="1" spans="1:6" x14ac:dyDescent="0.25">
      <c r="A5" s="213" t="s">
        <v>236</v>
      </c>
      <c r="B5" s="213" t="s">
        <v>237</v>
      </c>
      <c r="C5" s="213" t="s">
        <v>237</v>
      </c>
      <c r="D5" s="210" t="s">
        <v>229</v>
      </c>
      <c r="E5" s="211" t="s">
        <v>230</v>
      </c>
      <c r="F5" s="212" t="s">
        <v>231</v>
      </c>
    </row>
    <row r="6" ht="51.75" customHeight="1" spans="1:6" x14ac:dyDescent="0.25">
      <c r="A6" s="213" t="s">
        <v>238</v>
      </c>
      <c r="B6" s="213" t="s">
        <v>239</v>
      </c>
      <c r="C6" s="213" t="s">
        <v>239</v>
      </c>
      <c r="D6" s="210" t="s">
        <v>229</v>
      </c>
      <c r="E6" s="211" t="s">
        <v>230</v>
      </c>
      <c r="F6" s="212" t="s">
        <v>231</v>
      </c>
    </row>
    <row r="7" ht="64.5" customHeight="1" spans="1:6" x14ac:dyDescent="0.25">
      <c r="A7" s="213" t="s">
        <v>240</v>
      </c>
      <c r="B7" s="213" t="s">
        <v>241</v>
      </c>
      <c r="C7" s="213" t="s">
        <v>241</v>
      </c>
      <c r="D7" s="210" t="s">
        <v>229</v>
      </c>
      <c r="E7" s="211" t="s">
        <v>230</v>
      </c>
      <c r="F7" s="212" t="s">
        <v>235</v>
      </c>
    </row>
    <row r="8" ht="64.5" customHeight="1" spans="1:6" x14ac:dyDescent="0.25">
      <c r="A8" s="213" t="s">
        <v>242</v>
      </c>
      <c r="B8" s="213" t="s">
        <v>243</v>
      </c>
      <c r="C8" s="213" t="s">
        <v>243</v>
      </c>
      <c r="D8" s="210" t="s">
        <v>229</v>
      </c>
      <c r="E8" s="211" t="s">
        <v>230</v>
      </c>
      <c r="F8" s="212" t="s">
        <v>235</v>
      </c>
    </row>
    <row r="9" ht="26.25" customHeight="1" spans="1:6" x14ac:dyDescent="0.25">
      <c r="A9" s="213" t="s">
        <v>244</v>
      </c>
      <c r="B9" s="213" t="s">
        <v>245</v>
      </c>
      <c r="C9" s="213" t="s">
        <v>245</v>
      </c>
      <c r="D9" s="210" t="s">
        <v>229</v>
      </c>
      <c r="E9" s="211" t="s">
        <v>230</v>
      </c>
      <c r="F9" s="212" t="s">
        <v>235</v>
      </c>
    </row>
    <row r="10" ht="64.5" customHeight="1" spans="1:6" x14ac:dyDescent="0.25">
      <c r="A10" s="213" t="s">
        <v>246</v>
      </c>
      <c r="B10" s="213" t="s">
        <v>247</v>
      </c>
      <c r="C10" s="213" t="s">
        <v>247</v>
      </c>
      <c r="D10" s="210" t="s">
        <v>229</v>
      </c>
      <c r="E10" s="211" t="s">
        <v>230</v>
      </c>
      <c r="F10" s="212" t="s">
        <v>235</v>
      </c>
    </row>
    <row r="11" ht="64.5" customHeight="1" spans="1:6" x14ac:dyDescent="0.25">
      <c r="A11" s="213" t="s">
        <v>248</v>
      </c>
      <c r="B11" s="213" t="s">
        <v>249</v>
      </c>
      <c r="C11" s="213" t="s">
        <v>249</v>
      </c>
      <c r="D11" s="210" t="s">
        <v>229</v>
      </c>
      <c r="E11" s="211" t="s">
        <v>230</v>
      </c>
      <c r="F11" s="212" t="s">
        <v>235</v>
      </c>
    </row>
    <row r="12" ht="15.75" customHeight="1" spans="1:5" x14ac:dyDescent="0.25">
      <c r="A12" s="215"/>
      <c r="B12" s="215"/>
      <c r="C12" s="209"/>
      <c r="D12" s="216"/>
      <c r="E12" s="217"/>
    </row>
    <row r="13" ht="15.75" customHeight="1" spans="2:3" x14ac:dyDescent="0.25">
      <c r="B13" s="213"/>
      <c r="C13" s="218"/>
    </row>
    <row r="16" spans="1:3" x14ac:dyDescent="0.25">
      <c r="A16" t="s">
        <v>250</v>
      </c>
      <c r="B16" s="219" t="s">
        <v>227</v>
      </c>
      <c r="C16" s="219"/>
    </row>
    <row r="17" spans="2:4" x14ac:dyDescent="0.25">
      <c r="B17" s="219" t="s">
        <v>251</v>
      </c>
      <c r="C17" s="219"/>
      <c r="D17" s="109" t="s">
        <v>252</v>
      </c>
    </row>
    <row r="18" spans="1:4" x14ac:dyDescent="0.25">
      <c r="A18" t="s">
        <v>250</v>
      </c>
      <c r="B18" s="219" t="s">
        <v>253</v>
      </c>
      <c r="C18" s="219"/>
      <c r="D18" s="109" t="s">
        <v>28</v>
      </c>
    </row>
    <row r="19" spans="1:3" x14ac:dyDescent="0.25">
      <c r="A19" t="s">
        <v>250</v>
      </c>
      <c r="B19" s="219" t="s">
        <v>254</v>
      </c>
      <c r="C19" s="219"/>
    </row>
    <row r="20" spans="2:3" x14ac:dyDescent="0.25">
      <c r="B20" s="219" t="s">
        <v>255</v>
      </c>
      <c r="C20" s="219"/>
    </row>
    <row r="21" spans="2:3" x14ac:dyDescent="0.25">
      <c r="B21" s="219" t="s">
        <v>256</v>
      </c>
      <c r="C21" s="219"/>
    </row>
    <row r="22" ht="15.75" customHeight="1" x14ac:dyDescent="0.25"/>
    <row r="23" ht="91.5" customHeight="1" spans="1:8" x14ac:dyDescent="0.25">
      <c r="A23" s="220" t="s">
        <v>229</v>
      </c>
      <c r="B23" s="209" t="s">
        <v>257</v>
      </c>
      <c r="C23" s="209" t="s">
        <v>258</v>
      </c>
      <c r="E23" s="221"/>
      <c r="F23" s="209"/>
      <c r="G23" s="209"/>
      <c r="H23" s="222"/>
    </row>
    <row r="24" ht="90" customHeight="1" spans="1:8" x14ac:dyDescent="0.25">
      <c r="A24" s="215" t="s">
        <v>230</v>
      </c>
      <c r="B24" s="209" t="s">
        <v>259</v>
      </c>
      <c r="C24" s="209" t="s">
        <v>260</v>
      </c>
      <c r="F24" s="223"/>
      <c r="G24" s="215"/>
      <c r="H24" s="224"/>
    </row>
    <row r="25" ht="77.25" customHeight="1" spans="1:3" x14ac:dyDescent="0.25">
      <c r="A25" t="s">
        <v>261</v>
      </c>
      <c r="B25" s="225" t="s">
        <v>262</v>
      </c>
      <c r="C25" s="209" t="s">
        <v>258</v>
      </c>
    </row>
    <row r="26" ht="77.25" customHeight="1" spans="1:3" x14ac:dyDescent="0.25">
      <c r="A26" t="s">
        <v>263</v>
      </c>
      <c r="B26" s="225" t="s">
        <v>264</v>
      </c>
      <c r="C26" s="209" t="s">
        <v>260</v>
      </c>
    </row>
  </sheetData>
  <hyperlinks>
    <hyperlink ref="B16" r:id="rId1"/>
    <hyperlink ref="B17" r:id="rId2"/>
    <hyperlink ref="B18" r:id="rId3"/>
    <hyperlink ref="B19" r:id="rId4"/>
    <hyperlink ref="B20" r:id="rId5"/>
    <hyperlink ref="B21" r:id="rId6"/>
  </hyperlinks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3"/>
  <sheetViews>
    <sheetView workbookViewId="0" showGridLines="0" zoomScale="118" zoomScaleNormal="118">
      <selection activeCell="K12" sqref="K12"/>
    </sheetView>
  </sheetViews>
  <sheetFormatPr defaultRowHeight="15" outlineLevelRow="0" outlineLevelCol="0" x14ac:dyDescent="0"/>
  <cols>
    <col min="1" max="1" width="13.7109375" customWidth="1"/>
    <col min="2" max="2" width="12.7109375" customWidth="1"/>
    <col min="3" max="3" width="12" customWidth="1"/>
    <col min="4" max="4" width="14.42578125" customWidth="1"/>
  </cols>
  <sheetData>
    <row r="1" spans="1:1" x14ac:dyDescent="0.25">
      <c r="A1" s="71" t="str">
        <f>'Registro MED'!C4</f>
        <v>James Perez</v>
      </c>
    </row>
    <row r="2" spans="1:1" x14ac:dyDescent="0.25">
      <c r="A2" s="71" t="str">
        <f>'Registro MED'!C6</f>
        <v>Carrera 44 # 76-218</v>
      </c>
    </row>
    <row r="3" spans="1:8" x14ac:dyDescent="0.25">
      <c r="A3" s="72" t="str">
        <f>'Registro MED'!C7</f>
        <v>Barranquilla</v>
      </c>
      <c r="B3" s="73"/>
      <c r="C3" s="73"/>
      <c r="D3" s="73"/>
      <c r="E3" s="73"/>
      <c r="F3" s="73"/>
      <c r="G3" s="73"/>
      <c r="H3" s="73"/>
    </row>
    <row r="5" ht="15" customHeight="1" spans="5:8" x14ac:dyDescent="0.25">
      <c r="E5" s="74" t="s">
        <v>109</v>
      </c>
      <c r="F5" s="74"/>
      <c r="G5" s="75" t="str">
        <f>_xlfn.CONCAT(YEAR(C12)," -",'Registro MED'!C33)</f>
        <v>2023 -5000</v>
      </c>
      <c r="H5" s="75"/>
    </row>
    <row r="6" spans="1:8" x14ac:dyDescent="0.25">
      <c r="A6" s="74" t="s">
        <v>110</v>
      </c>
      <c r="B6" s="74"/>
      <c r="C6" s="76" t="str">
        <f>'Registro MED'!C4</f>
        <v>James Perez</v>
      </c>
      <c r="D6" s="76"/>
      <c r="E6" s="74" t="s">
        <v>111</v>
      </c>
      <c r="G6" s="75" t="str">
        <f>_xlfn.CONCAT("HC-"," ",'Registro MED'!C34)</f>
        <v>HC- 5000</v>
      </c>
      <c r="H6" s="75"/>
    </row>
    <row r="7" spans="1:8" x14ac:dyDescent="0.25">
      <c r="A7" s="77" t="s">
        <v>112</v>
      </c>
      <c r="B7" s="77"/>
      <c r="C7" s="76" t="str">
        <f>+'Registro MED'!C14</f>
        <v>Patricia Duarte</v>
      </c>
      <c r="D7" s="76"/>
      <c r="E7" s="74" t="s">
        <v>113</v>
      </c>
      <c r="G7" s="75">
        <f>+'Registro MED'!C16</f>
        <v>311898922</v>
      </c>
      <c r="H7" s="75"/>
    </row>
    <row r="8" ht="17.25" customHeight="1" spans="1:10" x14ac:dyDescent="0.25">
      <c r="A8" s="78" t="s">
        <v>47</v>
      </c>
      <c r="B8" s="77"/>
      <c r="C8" s="76">
        <f>+'Registro MED'!C13</f>
        <v>2344444</v>
      </c>
      <c r="D8" s="76"/>
      <c r="E8" s="74" t="s">
        <v>5</v>
      </c>
      <c r="G8" s="75" t="str">
        <f>+'Registro MED'!C17</f>
        <v>Calle 34</v>
      </c>
      <c r="H8" s="75"/>
      <c r="J8" s="79"/>
    </row>
    <row r="9" spans="1:8" x14ac:dyDescent="0.25">
      <c r="A9" s="77" t="s">
        <v>114</v>
      </c>
      <c r="B9" s="77"/>
      <c r="C9" s="80">
        <f>+'Registro MED'!C15</f>
        <v>32123</v>
      </c>
      <c r="D9" s="80"/>
      <c r="E9" s="77" t="s">
        <v>7</v>
      </c>
      <c r="G9" s="75" t="str">
        <f>+'Registro MED'!C18</f>
        <v>Vijes</v>
      </c>
      <c r="H9" s="75"/>
    </row>
    <row r="10" spans="1:8" x14ac:dyDescent="0.25">
      <c r="A10" s="77" t="s">
        <v>115</v>
      </c>
      <c r="B10" s="77"/>
      <c r="C10" s="76">
        <f>(YEAR(NOW())-YEAR(C9))</f>
        <v>36</v>
      </c>
      <c r="D10" s="76"/>
      <c r="E10" s="74" t="s">
        <v>116</v>
      </c>
      <c r="G10" s="75" t="str">
        <f>+'Registro MED'!C19</f>
        <v>Valle</v>
      </c>
      <c r="H10" s="75"/>
    </row>
    <row r="11" spans="1:4" x14ac:dyDescent="0.25">
      <c r="A11" s="77"/>
      <c r="B11" s="77"/>
      <c r="C11" s="76"/>
      <c r="D11" s="76"/>
    </row>
    <row r="12" spans="1:4" x14ac:dyDescent="0.25">
      <c r="A12" s="77" t="s">
        <v>117</v>
      </c>
      <c r="B12" s="77"/>
      <c r="C12" s="80">
        <f>+'Registro MED'!C32</f>
        <v>44957</v>
      </c>
      <c r="D12" s="76"/>
    </row>
    <row r="13" spans="1:8" x14ac:dyDescent="0.25">
      <c r="A13" s="74" t="s">
        <v>118</v>
      </c>
      <c r="B13" s="77"/>
      <c r="C13" s="80">
        <f>+'Registro MED'!C25</f>
        <v>NaN</v>
      </c>
      <c r="D13" s="76"/>
      <c r="E13" s="74" t="s">
        <v>119</v>
      </c>
      <c r="G13" s="75" t="s">
        <v>120</v>
      </c>
      <c r="H13" s="75"/>
    </row>
    <row r="15" spans="1:8" x14ac:dyDescent="0.25">
      <c r="A15" s="81" t="s">
        <v>121</v>
      </c>
      <c r="B15" s="81"/>
      <c r="C15" s="81"/>
      <c r="D15" s="82" t="s">
        <v>29</v>
      </c>
      <c r="E15" s="81" t="s">
        <v>122</v>
      </c>
      <c r="F15" s="81"/>
      <c r="G15" s="81"/>
      <c r="H15" s="81" t="s">
        <v>123</v>
      </c>
    </row>
    <row r="16" ht="86.25" customHeight="1" spans="1:8" x14ac:dyDescent="0.25">
      <c r="A16" s="83" t="str">
        <f>+'CALCULADOR DOSIS MED'!C11</f>
        <v>CBD: 20% p/v, THC &lt; 0.1% p/v - Preparación magistral no psicoactivo con base en extracto de cannabis full spectrum con concentración de cannabidiol (CBD) de 20mg/mL y una concentración de tetrahidrocannabinol (THC) menor a 1mg/mL.</v>
      </c>
      <c r="B16" s="83"/>
      <c r="C16" s="83"/>
      <c r="D16" s="84" t="str">
        <f>+'CALCULADOR DOSIS MED'!C12</f>
        <v>Frasco de 30mL contiene 600mg (20mg/mL) </v>
      </c>
      <c r="E16" s="84" t="s">
        <v>124</v>
      </c>
      <c r="F16" s="84"/>
      <c r="G16" s="84"/>
      <c r="H16" s="84" t="s">
        <v>125</v>
      </c>
    </row>
    <row r="17" spans="1:12" x14ac:dyDescent="0.25">
      <c r="A17" s="81" t="s">
        <v>126</v>
      </c>
      <c r="B17" s="81"/>
      <c r="C17" s="81"/>
      <c r="D17" s="81"/>
      <c r="E17" s="81"/>
      <c r="F17" s="81"/>
      <c r="G17" s="81"/>
      <c r="H17" s="81"/>
      <c r="I17" s="74"/>
      <c r="J17" s="74"/>
      <c r="K17" s="74"/>
      <c r="L17" s="74"/>
    </row>
    <row r="18" spans="1:9" x14ac:dyDescent="0.25">
      <c r="A18" s="85" t="s">
        <v>127</v>
      </c>
      <c r="B18" s="86"/>
      <c r="C18" s="87">
        <f>+C13</f>
        <v>NaN</v>
      </c>
      <c r="D18" s="88"/>
      <c r="E18" s="82" t="s">
        <v>27</v>
      </c>
      <c r="F18" s="89" t="str">
        <f>+'CALCULADOR DOSIS MED'!C13</f>
        <v>Una (1) vez al dia</v>
      </c>
      <c r="G18" s="90"/>
      <c r="H18" s="91"/>
      <c r="I18" s="74"/>
    </row>
    <row r="19" ht="84" customHeight="1" spans="1:12" x14ac:dyDescent="0.25">
      <c r="A19" s="92" t="str">
        <f>+'CALCULADOR DOSIS MED'!C10</f>
        <v>Paciente debe tomar vía oral 0.5mL una (1) hora antes de dormir x diez (10) días. Según sea necesario aumentar a 0.75mL una (1) hora antes de dormir x diez (10) días. Según sea necesario aumentar a 1.0mL una (1) hora antes de dormir x diez (10) días. Si es concentración de 10mg/mL. Paciente debe tomar vía oral 1.0mL antes de acostarse x treinta (30) días.</v>
      </c>
      <c r="B19" s="93"/>
      <c r="C19" s="93"/>
      <c r="D19" s="93"/>
      <c r="E19" s="93"/>
      <c r="F19" s="93"/>
      <c r="G19" s="93"/>
      <c r="H19" s="94"/>
      <c r="I19" s="95"/>
      <c r="K19" s="95"/>
      <c r="L19" s="95"/>
    </row>
    <row r="20" ht="15" customHeight="1" spans="1:12" x14ac:dyDescent="0.25">
      <c r="A20" s="96" t="s">
        <v>128</v>
      </c>
      <c r="B20" s="96"/>
      <c r="C20" s="97" t="s">
        <v>129</v>
      </c>
      <c r="D20" s="97"/>
      <c r="E20" s="97"/>
      <c r="F20" s="97"/>
      <c r="G20" s="97"/>
      <c r="H20" s="97"/>
      <c r="I20" s="95"/>
      <c r="J20" s="95"/>
      <c r="K20" s="95"/>
      <c r="L20" s="95"/>
    </row>
    <row r="21" spans="1:8" x14ac:dyDescent="0.25">
      <c r="A21" s="96"/>
      <c r="B21" s="96"/>
      <c r="C21" s="97"/>
      <c r="D21" s="97"/>
      <c r="E21" s="97"/>
      <c r="F21" s="97"/>
      <c r="G21" s="97"/>
      <c r="H21" s="97"/>
    </row>
    <row r="22" spans="1:8" x14ac:dyDescent="0.25">
      <c r="A22" s="96"/>
      <c r="B22" s="96"/>
      <c r="C22" s="97"/>
      <c r="D22" s="97"/>
      <c r="E22" s="97"/>
      <c r="F22" s="97"/>
      <c r="G22" s="97"/>
      <c r="H22" s="97"/>
    </row>
    <row r="24" ht="16.5" customHeight="1" spans="1:2" x14ac:dyDescent="0.25">
      <c r="A24" s="98" t="str">
        <f>+B25</f>
        <v>James Perez</v>
      </c>
      <c r="B24" s="98"/>
    </row>
    <row r="25" spans="1:2" x14ac:dyDescent="0.25">
      <c r="A25" s="99" t="s">
        <v>130</v>
      </c>
      <c r="B25" s="71" t="str">
        <f>'Registro MED'!C4</f>
        <v>James Perez</v>
      </c>
    </row>
    <row r="26" spans="1:2" x14ac:dyDescent="0.25">
      <c r="A26" s="99" t="s">
        <v>131</v>
      </c>
      <c r="B26" s="71">
        <f>'Registro MED'!C5</f>
        <v>66777655</v>
      </c>
    </row>
    <row r="32" ht="57" customHeight="1" spans="1:8" x14ac:dyDescent="0.25">
      <c r="A32" s="73"/>
      <c r="B32" s="73"/>
      <c r="C32" s="73"/>
      <c r="D32" s="73"/>
      <c r="E32" s="73"/>
      <c r="F32" s="73"/>
      <c r="G32" s="73"/>
      <c r="H32" s="73"/>
    </row>
    <row r="33" ht="15" customHeight="1" spans="3:7" x14ac:dyDescent="0.25">
      <c r="C33" s="100">
        <f>'Registro MED'!C8</f>
        <v>3209988766</v>
      </c>
      <c r="D33" s="100"/>
      <c r="E33" s="101" t="str">
        <f>'Registro MED'!C9</f>
        <v>vitalpetsveterinaria@gmail.com</v>
      </c>
      <c r="F33" s="101"/>
      <c r="G33" s="101"/>
    </row>
  </sheetData>
  <mergeCells count="26">
    <mergeCell ref="G5:H5"/>
    <mergeCell ref="C6:D6"/>
    <mergeCell ref="G6:H6"/>
    <mergeCell ref="C7:D7"/>
    <mergeCell ref="C8:D8"/>
    <mergeCell ref="C9:D9"/>
    <mergeCell ref="G9:H9"/>
    <mergeCell ref="C10:D10"/>
    <mergeCell ref="G10:H10"/>
    <mergeCell ref="C11:D11"/>
    <mergeCell ref="C12:D12"/>
    <mergeCell ref="C13:D13"/>
    <mergeCell ref="G13:H13"/>
    <mergeCell ref="A15:C15"/>
    <mergeCell ref="E15:G15"/>
    <mergeCell ref="A16:C16"/>
    <mergeCell ref="E16:G16"/>
    <mergeCell ref="A17:H17"/>
    <mergeCell ref="A18:B18"/>
    <mergeCell ref="C18:D18"/>
    <mergeCell ref="A19:H19"/>
    <mergeCell ref="A20:B22"/>
    <mergeCell ref="C20:H22"/>
    <mergeCell ref="A24:B24"/>
    <mergeCell ref="C33:D33"/>
    <mergeCell ref="E33:G33"/>
  </mergeCells>
  <pageMargins left="0.25" right="0.25" top="0.75" bottom="0.75" header="0.3" footer="0.3"/>
  <pageSetup paperSize="156" orientation="portrait" horizontalDpi="4294967295" verticalDpi="4294967295" scale="100" fitToWidth="1" fitToHeight="1" firstPageNumber="1" useFirstPageNumber="1" copies="1"/>
  <drawing r:id="rId1"/>
  <picture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35"/>
  <sheetViews>
    <sheetView workbookViewId="0" zoomScale="85" zoomScaleNormal="85">
      <selection activeCell="D34" sqref="D34"/>
    </sheetView>
  </sheetViews>
  <sheetFormatPr defaultRowHeight="15" outlineLevelRow="0" outlineLevelCol="0" x14ac:dyDescent="0"/>
  <cols>
    <col min="1" max="1" width="11.42578125" style="1" customWidth="1"/>
    <col min="2" max="2" width="26.85546875" style="1" customWidth="1"/>
    <col min="3" max="3" width="46.5703125" style="2" customWidth="1"/>
    <col min="4" max="7" width="11.42578125" style="1" customWidth="1"/>
    <col min="8" max="8" width="22.7109375" style="1" customWidth="1"/>
    <col min="9" max="16384" width="11.42578125" style="1" customWidth="1"/>
  </cols>
  <sheetData>
    <row r="2" ht="15.75" customHeight="1" x14ac:dyDescent="0.25"/>
    <row r="3" ht="32.25" customHeight="1" spans="2:3" x14ac:dyDescent="0.25">
      <c r="B3" s="3" t="s">
        <v>0</v>
      </c>
      <c r="C3" s="4"/>
    </row>
    <row r="4" ht="15.75" customHeight="1" spans="2:3" x14ac:dyDescent="0.25">
      <c r="B4" s="5" t="s">
        <v>1</v>
      </c>
      <c r="C4" s="6" t="s">
        <v>2</v>
      </c>
    </row>
    <row r="5" ht="15.75" customHeight="1" spans="2:4" x14ac:dyDescent="0.25">
      <c r="B5" s="7" t="s">
        <v>3</v>
      </c>
      <c r="C5" s="8">
        <v>66777655</v>
      </c>
      <c r="D5" s="1" t="s">
        <v>4</v>
      </c>
    </row>
    <row r="6" ht="15.75" customHeight="1" spans="2:3" x14ac:dyDescent="0.25">
      <c r="B6" s="7" t="s">
        <v>5</v>
      </c>
      <c r="C6" s="8" t="s">
        <v>6</v>
      </c>
    </row>
    <row r="7" ht="15.75" customHeight="1" spans="2:3" x14ac:dyDescent="0.25">
      <c r="B7" s="7" t="s">
        <v>7</v>
      </c>
      <c r="C7" s="8" t="s">
        <v>8</v>
      </c>
    </row>
    <row r="8" ht="15.75" customHeight="1" spans="2:3" x14ac:dyDescent="0.25">
      <c r="B8" s="7" t="s">
        <v>9</v>
      </c>
      <c r="C8" s="8">
        <v>3209988766</v>
      </c>
    </row>
    <row r="9" ht="16.5" customHeight="1" spans="2:3" x14ac:dyDescent="0.25">
      <c r="B9" s="9" t="s">
        <v>10</v>
      </c>
      <c r="C9" s="10" t="s">
        <v>11</v>
      </c>
    </row>
    <row r="10" spans="3:3" x14ac:dyDescent="0.25">
      <c r="C10" s="11"/>
    </row>
    <row r="11" ht="15.75" customHeight="1" x14ac:dyDescent="0.25"/>
    <row r="12" ht="32.25" customHeight="1" spans="2:3" x14ac:dyDescent="0.25">
      <c r="B12" s="3" t="s">
        <v>12</v>
      </c>
      <c r="C12" s="4"/>
    </row>
    <row r="13" ht="16.5" customHeight="1" spans="2:3" x14ac:dyDescent="0.25">
      <c r="B13" s="5" t="s">
        <v>13</v>
      </c>
      <c r="C13" s="6">
        <v>2344444</v>
      </c>
    </row>
    <row r="14" ht="16.5" customHeight="1" spans="2:3" x14ac:dyDescent="0.25">
      <c r="B14" s="7" t="s">
        <v>14</v>
      </c>
      <c r="C14" s="6" t="s">
        <v>15</v>
      </c>
    </row>
    <row r="15" ht="16.5" customHeight="1" spans="2:3" x14ac:dyDescent="0.25">
      <c r="B15" s="7" t="s">
        <v>16</v>
      </c>
      <c r="C15" s="12">
        <v>32123</v>
      </c>
    </row>
    <row r="16" ht="16.5" customHeight="1" spans="2:3" x14ac:dyDescent="0.25">
      <c r="B16" s="7" t="s">
        <v>17</v>
      </c>
      <c r="C16" s="6">
        <v>311898922</v>
      </c>
    </row>
    <row r="17" ht="16.5" customHeight="1" spans="2:3" x14ac:dyDescent="0.25">
      <c r="B17" s="7" t="s">
        <v>18</v>
      </c>
      <c r="C17" s="6" t="s">
        <v>19</v>
      </c>
    </row>
    <row r="18" ht="16.5" customHeight="1" spans="2:3" x14ac:dyDescent="0.25">
      <c r="B18" s="7" t="s">
        <v>20</v>
      </c>
      <c r="C18" s="6" t="s">
        <v>21</v>
      </c>
    </row>
    <row r="19" ht="16.5" customHeight="1" spans="2:3" x14ac:dyDescent="0.25">
      <c r="B19" s="9" t="s">
        <v>22</v>
      </c>
      <c r="C19" s="13" t="s">
        <v>23</v>
      </c>
    </row>
    <row r="20" spans="2:6" x14ac:dyDescent="0.25">
      <c r="B20" s="1" t="s">
        <v>4</v>
      </c>
      <c r="C20" s="1"/>
      <c r="F20" s="14"/>
    </row>
    <row r="21" spans="2:3" x14ac:dyDescent="0.25">
      <c r="B21" s="1" t="s">
        <v>4</v>
      </c>
      <c r="C21" s="2" t="s">
        <v>4</v>
      </c>
    </row>
    <row r="23" ht="15.75" customHeight="1" x14ac:dyDescent="0.25"/>
    <row r="24" ht="34.5" customHeight="1" spans="2:3" x14ac:dyDescent="0.25">
      <c r="B24" s="3" t="s">
        <v>24</v>
      </c>
      <c r="C24" s="4"/>
    </row>
    <row r="25" ht="16.5" customHeight="1" spans="2:3" x14ac:dyDescent="0.25">
      <c r="B25" s="15" t="s">
        <v>25</v>
      </c>
      <c r="C25" s="6" t="s">
        <v>26</v>
      </c>
    </row>
    <row r="26" ht="16.5" customHeight="1" spans="2:3" x14ac:dyDescent="0.25">
      <c r="B26" s="16" t="s">
        <v>27</v>
      </c>
      <c r="C26" s="17" t="s">
        <v>28</v>
      </c>
    </row>
    <row r="27" ht="16.5" customHeight="1" spans="2:3" x14ac:dyDescent="0.25">
      <c r="B27" s="18" t="s">
        <v>29</v>
      </c>
      <c r="C27" s="13" t="str">
        <f>+'CALCULADOR DOSIS MED'!C12</f>
        <v>Frasco de 30mL contiene 600mg (20mg/mL) </v>
      </c>
    </row>
    <row r="29" spans="3:3" x14ac:dyDescent="0.25">
      <c r="C29" s="1"/>
    </row>
    <row r="30" spans="3:3" x14ac:dyDescent="0.25">
      <c r="C30" s="1"/>
    </row>
    <row r="31" spans="3:3" x14ac:dyDescent="0.25">
      <c r="C31" s="1"/>
    </row>
    <row r="32" ht="15.75" customHeight="1" spans="2:3" x14ac:dyDescent="0.25">
      <c r="B32" s="19" t="s">
        <v>30</v>
      </c>
      <c r="C32" s="20">
        <f>+TODAY()</f>
        <v>44957</v>
      </c>
    </row>
    <row r="33" ht="15.75" customHeight="1" spans="2:3" x14ac:dyDescent="0.25">
      <c r="B33" s="19" t="s">
        <v>31</v>
      </c>
      <c r="C33" s="21">
        <v>5000</v>
      </c>
    </row>
    <row r="34" ht="15.75" customHeight="1" spans="2:3" x14ac:dyDescent="0.25">
      <c r="B34" s="19" t="s">
        <v>32</v>
      </c>
      <c r="C34" s="21">
        <v>5000</v>
      </c>
    </row>
    <row r="35" ht="15.75" customHeight="1" spans="2:3" x14ac:dyDescent="0.25">
      <c r="B35" s="19" t="s">
        <v>33</v>
      </c>
      <c r="C35" s="21" t="str">
        <f>+C7</f>
        <v>Barranquilla</v>
      </c>
    </row>
  </sheetData>
  <mergeCells count="3">
    <mergeCell ref="B3:C3"/>
    <mergeCell ref="B12:C12"/>
    <mergeCell ref="B24:C24"/>
  </mergeCells>
  <hyperlinks>
    <hyperlink ref="C9" r:id="rId1"/>
  </hyperlinks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9"/>
  <sheetViews>
    <sheetView workbookViewId="0" zoomScale="80" zoomScaleNormal="80">
      <selection activeCell="I2" sqref="I2"/>
    </sheetView>
  </sheetViews>
  <sheetFormatPr defaultRowHeight="15" outlineLevelRow="0" outlineLevelCol="0" x14ac:dyDescent="0"/>
  <cols>
    <col min="1" max="1" width="8" style="151" customWidth="1"/>
    <col min="2" max="2" width="12.5703125" customWidth="1"/>
    <col min="3" max="3" width="39" customWidth="1"/>
    <col min="4" max="4" width="12.5703125" customWidth="1"/>
    <col min="5" max="5" width="16.28515625" customWidth="1"/>
    <col min="6" max="6" width="24.85546875" customWidth="1"/>
    <col min="7" max="7" width="15.85546875" customWidth="1"/>
    <col min="8" max="8" width="13" customWidth="1"/>
    <col min="9" max="9" width="12.140625" customWidth="1"/>
    <col min="10" max="10" width="13.5703125" customWidth="1"/>
    <col min="11" max="11" width="13" customWidth="1"/>
    <col min="12" max="12" width="11.140625" customWidth="1"/>
    <col min="13" max="13" width="33.7109375" customWidth="1"/>
    <col min="14" max="14" width="19.42578125" customWidth="1"/>
  </cols>
  <sheetData>
    <row r="1" spans="1:1" s="152" customFormat="1" x14ac:dyDescent="0.25">
      <c r="A1" s="151"/>
    </row>
    <row r="2" spans="1:3" s="152" customFormat="1" x14ac:dyDescent="0.25">
      <c r="A2" s="151"/>
      <c r="C2" s="152" t="s">
        <v>167</v>
      </c>
    </row>
    <row r="3" spans="1:1" s="152" customFormat="1" x14ac:dyDescent="0.25">
      <c r="A3" s="151"/>
    </row>
    <row r="4" spans="1:5" s="152" customFormat="1" x14ac:dyDescent="0.25">
      <c r="A4" s="151"/>
      <c r="C4" s="152" t="s">
        <v>168</v>
      </c>
      <c r="D4" s="152" t="s">
        <v>63</v>
      </c>
      <c r="E4" s="152" t="s">
        <v>27</v>
      </c>
    </row>
    <row r="5" ht="15.75" customHeight="1" spans="2:13" x14ac:dyDescent="0.25">
      <c r="B5" s="152"/>
      <c r="C5" s="152"/>
      <c r="D5" s="152"/>
      <c r="E5" s="152"/>
      <c r="F5" s="152"/>
      <c r="G5" s="152"/>
      <c r="H5" s="152"/>
      <c r="I5" s="152"/>
      <c r="J5" s="152"/>
      <c r="K5" s="152"/>
      <c r="L5" s="152"/>
      <c r="M5" s="152"/>
    </row>
    <row r="6" ht="15.75" customHeight="1" spans="2:13" x14ac:dyDescent="0.25">
      <c r="B6" s="152"/>
      <c r="C6" s="153" t="s">
        <v>168</v>
      </c>
      <c r="D6" s="154" t="s">
        <v>169</v>
      </c>
      <c r="E6" s="155"/>
      <c r="F6" s="156"/>
      <c r="G6" s="156" t="s">
        <v>121</v>
      </c>
      <c r="H6" s="157"/>
      <c r="I6" s="152"/>
      <c r="J6" s="152" t="s">
        <v>170</v>
      </c>
      <c r="K6" s="152"/>
      <c r="L6" s="152"/>
      <c r="M6" s="152"/>
    </row>
    <row r="7" ht="15.75" customHeight="1" spans="2:13" x14ac:dyDescent="0.25">
      <c r="B7" s="152"/>
      <c r="C7" s="158" t="str">
        <f>+'Registro MED'!C25</f>
        <v>Insomnio</v>
      </c>
      <c r="D7" s="159">
        <f>IF('Registro MED'!C26="Normal",2,3)</f>
        <v>3</v>
      </c>
      <c r="E7" s="159"/>
      <c r="F7" s="160"/>
      <c r="G7" s="160" t="str">
        <f>+VLOOKUP(C7,Hoja1!A2:E11,'CALCULADOR DOSIS MED'!D7+2,FALSE)</f>
        <v>C2</v>
      </c>
      <c r="H7" s="161"/>
      <c r="I7" s="152"/>
      <c r="J7" s="152" t="s">
        <v>171</v>
      </c>
      <c r="K7" s="152"/>
      <c r="L7" s="152"/>
      <c r="M7" s="152"/>
    </row>
    <row r="8" spans="2:13" x14ac:dyDescent="0.25">
      <c r="B8" s="152"/>
      <c r="C8" s="152"/>
      <c r="D8" s="152"/>
      <c r="E8" s="152"/>
      <c r="F8" s="152"/>
      <c r="G8" s="152"/>
      <c r="H8" s="152"/>
      <c r="I8" s="152"/>
      <c r="J8" s="152"/>
      <c r="K8" s="152"/>
      <c r="L8" s="152"/>
      <c r="M8" s="152"/>
    </row>
    <row r="9" ht="15.75" customHeight="1" spans="2:13" x14ac:dyDescent="0.25">
      <c r="B9" s="152"/>
      <c r="C9" s="162" t="s">
        <v>172</v>
      </c>
      <c r="D9" s="162"/>
      <c r="E9" s="162"/>
      <c r="F9" s="152"/>
      <c r="G9" s="152"/>
      <c r="H9" s="152"/>
      <c r="I9" s="152"/>
      <c r="J9" s="152"/>
      <c r="K9" s="152"/>
      <c r="L9" s="152"/>
      <c r="M9" s="152"/>
    </row>
    <row r="10" ht="30" customHeight="1" spans="2:13" x14ac:dyDescent="0.25">
      <c r="B10" s="152"/>
      <c r="C10" s="163" t="str">
        <f>VLOOKUP(C7,Hoja1!A2:C11,'CALCULADOR DOSIS MED'!D7,FALSE)</f>
        <v>Paciente debe tomar vía oral 0.5mL una (1) hora antes de dormir x diez (10) días. Según sea necesario aumentar a 0.75mL una (1) hora antes de dormir x diez (10) días. Según sea necesario aumentar a 1.0mL una (1) hora antes de dormir x diez (10) días. Si es concentración de 10mg/mL. Paciente debe tomar vía oral 1.0mL antes de acostarse x treinta (30) días.</v>
      </c>
      <c r="D10" s="164"/>
      <c r="E10" s="165"/>
      <c r="F10" s="152" t="s">
        <v>126</v>
      </c>
      <c r="G10" s="152"/>
      <c r="H10" s="152"/>
      <c r="I10" s="152"/>
      <c r="J10" s="152"/>
      <c r="K10" s="152"/>
      <c r="L10" s="152"/>
      <c r="M10" s="152"/>
    </row>
    <row r="11" ht="105.75" customHeight="1" spans="2:13" x14ac:dyDescent="0.25">
      <c r="B11" s="152"/>
      <c r="C11" s="166" t="str">
        <f>+VLOOKUP(G7,Hoja1!A23:C26,2,FALSE)</f>
        <v>CBD: 20% p/v, THC &lt; 0.1% p/v - Preparación magistral no psicoactivo con base en extracto de cannabis full spectrum con concentración de cannabidiol (CBD) de 20mg/mL y una concentración de tetrahidrocannabinol (THC) menor a 1mg/mL.</v>
      </c>
      <c r="D11" s="167"/>
      <c r="E11" s="168"/>
      <c r="F11" s="152" t="s">
        <v>173</v>
      </c>
      <c r="G11" s="152"/>
      <c r="I11" s="152"/>
      <c r="J11" s="152"/>
      <c r="K11" s="152"/>
      <c r="L11" s="152"/>
      <c r="M11" s="152"/>
    </row>
    <row r="12" ht="30" customHeight="1" spans="2:13" x14ac:dyDescent="0.25">
      <c r="B12" s="152"/>
      <c r="C12" s="166" t="str">
        <f>+VLOOKUP(G7,Hoja1!A23:C26,3,FALSE)</f>
        <v>Frasco de 30mL contiene 600mg (20mg/mL) </v>
      </c>
      <c r="D12" s="167"/>
      <c r="E12" s="168"/>
      <c r="F12" s="152" t="s">
        <v>174</v>
      </c>
      <c r="G12" s="152"/>
      <c r="H12" s="152"/>
      <c r="I12" s="152"/>
      <c r="J12" s="152"/>
      <c r="K12" s="152"/>
      <c r="L12" s="152"/>
      <c r="M12" s="152"/>
    </row>
    <row r="13" ht="30" customHeight="1" spans="2:13" x14ac:dyDescent="0.25">
      <c r="B13" s="152"/>
      <c r="C13" s="169" t="str">
        <f>+VLOOKUP(C7,Hoja1!A2:F11,6,FALSE)</f>
        <v>Una (1) vez al dia</v>
      </c>
      <c r="D13" s="170"/>
      <c r="E13" s="171"/>
      <c r="F13" s="152" t="s">
        <v>175</v>
      </c>
      <c r="G13" s="152"/>
      <c r="H13" s="152"/>
      <c r="I13" s="152"/>
      <c r="J13" s="152"/>
      <c r="K13" s="152"/>
      <c r="L13" s="152"/>
      <c r="M13" s="152"/>
    </row>
    <row r="15" spans="3:11" x14ac:dyDescent="0.25">
      <c r="C15" s="172"/>
      <c r="D15" s="172"/>
      <c r="E15" s="172"/>
      <c r="F15" s="172"/>
      <c r="G15" s="172"/>
      <c r="H15" s="173"/>
      <c r="I15" s="173"/>
      <c r="J15" s="172"/>
      <c r="K15" s="173"/>
    </row>
    <row r="16" spans="3:10" x14ac:dyDescent="0.25">
      <c r="C16" s="174"/>
      <c r="D16" s="175"/>
      <c r="E16" s="175"/>
      <c r="F16" s="176"/>
      <c r="G16" s="175"/>
      <c r="H16" s="175"/>
      <c r="I16" s="175"/>
      <c r="J16" s="175"/>
    </row>
    <row r="17" spans="3:10" x14ac:dyDescent="0.25">
      <c r="C17" s="174"/>
      <c r="D17" s="175"/>
      <c r="E17" s="175"/>
      <c r="F17" s="176"/>
      <c r="G17" s="175"/>
      <c r="H17" s="175"/>
      <c r="I17" s="175"/>
      <c r="J17" s="175"/>
    </row>
    <row r="18" spans="3:10" x14ac:dyDescent="0.25">
      <c r="C18" s="174"/>
      <c r="D18" s="175"/>
      <c r="E18" s="175"/>
      <c r="F18" s="176"/>
      <c r="G18" s="175"/>
      <c r="H18" s="175"/>
      <c r="I18" s="175"/>
      <c r="J18" s="175"/>
    </row>
    <row r="19" spans="3:10" x14ac:dyDescent="0.25">
      <c r="C19" s="174"/>
      <c r="D19" s="175"/>
      <c r="E19" s="175"/>
      <c r="F19" s="176"/>
      <c r="G19" s="175"/>
      <c r="H19" s="175"/>
      <c r="I19" s="175"/>
      <c r="J19" s="175"/>
    </row>
    <row r="20" spans="5:6" x14ac:dyDescent="0.25">
      <c r="E20" s="177"/>
      <c r="F20" s="177"/>
    </row>
    <row r="21" spans="5:6" x14ac:dyDescent="0.25">
      <c r="E21" s="177"/>
      <c r="F21" s="177"/>
    </row>
    <row r="22" spans="5:6" x14ac:dyDescent="0.25">
      <c r="E22" s="177"/>
      <c r="F22" s="177"/>
    </row>
    <row r="24" ht="30" customHeight="1" spans="3:8" x14ac:dyDescent="0.25">
      <c r="C24" s="178" t="s">
        <v>176</v>
      </c>
      <c r="D24" s="178" t="s">
        <v>177</v>
      </c>
      <c r="E24" s="179" t="s">
        <v>178</v>
      </c>
      <c r="F24" s="179" t="s">
        <v>179</v>
      </c>
      <c r="G24" s="178" t="s">
        <v>180</v>
      </c>
      <c r="H24" s="179" t="s">
        <v>181</v>
      </c>
    </row>
    <row r="25" spans="3:8" x14ac:dyDescent="0.25">
      <c r="C25" s="176">
        <v>0.25</v>
      </c>
      <c r="D25" s="176">
        <v>30</v>
      </c>
      <c r="E25" s="175" t="e">
        <f>+H25*D25</f>
        <v>#N/A</v>
      </c>
      <c r="F25" s="175" t="e">
        <f>+IF(E25&gt;=1,ROUND(E25,0),1)</f>
        <v>#N/A</v>
      </c>
      <c r="G25" s="176" t="e">
        <f>IF(G7="1%",VLOOKUP($C$7,Tablas!$A$4:$G$25,3,FALSE),VLOOKUP($C$7,Tablas!$A$4:$G$25,3,FALSE)/2)</f>
        <v>#N/A</v>
      </c>
      <c r="H25" s="175" t="e">
        <f>+IF(AND(G7="1%",E7=1),G25*D7,IF(OR(AND(G7="2%",E7=1),AND(G7="1%",E7=2)),G25*D7/2,G25*D7/4))</f>
        <v>#N/A</v>
      </c>
    </row>
    <row r="28" spans="8:8" x14ac:dyDescent="0.25">
      <c r="H28" t="e">
        <f>+IF(AND(G7=TRUE,E7=1),G25*D7,IF(OR(AND(G7="2%",E7=1,G7="1%",E7=2)),G25*D7/2,G25*D7/4))</f>
        <v>#N/A</v>
      </c>
    </row>
    <row r="29" spans="8:8" x14ac:dyDescent="0.25">
      <c r="H29" t="e">
        <f>+IF(OR(AND(G7="2%",E7=1,G7="1%",E7=2)),G25*D7/2,G25*D7/4)</f>
        <v>#N/A</v>
      </c>
    </row>
  </sheetData>
  <mergeCells count="1">
    <mergeCell ref="C9:E9"/>
  </mergeCells>
  <pageMargins left="0.7" right="0.7" top="0.75" bottom="0.75" header="0.3" footer="0.3"/>
  <pageSetup paperSize="9" orientation="portrait" horizontalDpi="203" verticalDpi="203" scale="100" fitToWidth="1" fitToHeight="1" firstPageNumber="1" useFirstPageNumber="1" copies="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5"/>
  <sheetViews>
    <sheetView workbookViewId="0" zoomScale="100" zoomScaleNormal="100">
      <selection activeCell="B20" sqref="B20"/>
    </sheetView>
  </sheetViews>
  <sheetFormatPr defaultRowHeight="15" outlineLevelRow="0" outlineLevelCol="0" x14ac:dyDescent="0"/>
  <cols>
    <col min="2" max="2" width="31.5703125" customWidth="1"/>
  </cols>
  <sheetData>
    <row r="1" ht="15.75" customHeight="1" spans="1:2" x14ac:dyDescent="0.25">
      <c r="A1" s="5" t="s">
        <v>34</v>
      </c>
      <c r="B1" s="6" t="s">
        <v>97</v>
      </c>
    </row>
    <row r="2" ht="15.75" customHeight="1" spans="1:2" x14ac:dyDescent="0.25">
      <c r="A2" s="7" t="s">
        <v>3</v>
      </c>
      <c r="B2" s="8">
        <v>7459</v>
      </c>
    </row>
    <row r="3" ht="15.75" customHeight="1" spans="1:2" x14ac:dyDescent="0.25">
      <c r="A3" s="7" t="s">
        <v>5</v>
      </c>
      <c r="B3" s="8" t="s">
        <v>98</v>
      </c>
    </row>
    <row r="4" ht="15.75" customHeight="1" spans="1:2" x14ac:dyDescent="0.25">
      <c r="A4" s="7" t="s">
        <v>7</v>
      </c>
      <c r="B4" s="8" t="s">
        <v>99</v>
      </c>
    </row>
    <row r="5" ht="15.75" customHeight="1" spans="1:2" x14ac:dyDescent="0.25">
      <c r="A5" s="7" t="s">
        <v>9</v>
      </c>
      <c r="B5" s="8">
        <v>3153536218</v>
      </c>
    </row>
    <row r="6" ht="16.5" customHeight="1" spans="1:2" x14ac:dyDescent="0.25">
      <c r="A6" s="9" t="s">
        <v>10</v>
      </c>
      <c r="B6" s="10" t="s">
        <v>100</v>
      </c>
    </row>
    <row r="7" spans="1:2" x14ac:dyDescent="0.25">
      <c r="A7" s="1"/>
      <c r="B7" s="11"/>
    </row>
    <row r="8" ht="15.75" customHeight="1" spans="1:2" x14ac:dyDescent="0.25">
      <c r="A8" s="1"/>
      <c r="B8" s="2"/>
    </row>
    <row r="9" ht="19.5" customHeight="1" spans="1:2" x14ac:dyDescent="0.25">
      <c r="A9" s="65" t="s">
        <v>50</v>
      </c>
      <c r="B9" s="66"/>
    </row>
    <row r="10" ht="16.5" customHeight="1" spans="1:2" x14ac:dyDescent="0.25">
      <c r="A10" s="5" t="s">
        <v>13</v>
      </c>
      <c r="B10" s="6">
        <v>79285191</v>
      </c>
    </row>
    <row r="11" ht="15.75" customHeight="1" spans="1:2" x14ac:dyDescent="0.25">
      <c r="A11" s="7" t="s">
        <v>51</v>
      </c>
      <c r="B11" s="6" t="s">
        <v>97</v>
      </c>
    </row>
    <row r="12" ht="15.75" customHeight="1" spans="1:2" x14ac:dyDescent="0.25">
      <c r="A12" s="7" t="s">
        <v>17</v>
      </c>
      <c r="B12" s="8">
        <v>3153536218</v>
      </c>
    </row>
    <row r="13" ht="15.75" customHeight="1" spans="1:2" x14ac:dyDescent="0.25">
      <c r="A13" s="7" t="s">
        <v>18</v>
      </c>
      <c r="B13" s="8" t="s">
        <v>98</v>
      </c>
    </row>
    <row r="14" ht="16.5" customHeight="1" spans="1:2" x14ac:dyDescent="0.25">
      <c r="A14" s="7" t="s">
        <v>20</v>
      </c>
      <c r="B14" s="8" t="s">
        <v>99</v>
      </c>
    </row>
    <row r="15" ht="16.5" customHeight="1" spans="1:2" x14ac:dyDescent="0.25">
      <c r="A15" s="9" t="s">
        <v>22</v>
      </c>
      <c r="B15" s="13" t="s">
        <v>88</v>
      </c>
    </row>
  </sheetData>
  <mergeCells count="1">
    <mergeCell ref="A9:B9"/>
  </mergeCells>
  <hyperlinks>
    <hyperlink ref="B6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"/>
  <sheetViews>
    <sheetView workbookViewId="0" zoomScale="100" zoomScaleNormal="100"/>
  </sheetViews>
  <sheetFormatPr defaultRowHeight="15" outlineLevelRow="0" outlineLevelCol="0" x14ac:dyDescent="0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Z35"/>
  <sheetViews>
    <sheetView workbookViewId="0" zoomScale="60" zoomScaleNormal="60">
      <selection activeCell="A5" sqref="A5"/>
    </sheetView>
  </sheetViews>
  <sheetFormatPr defaultRowHeight="15" outlineLevelRow="0" outlineLevelCol="0" x14ac:dyDescent="0"/>
  <cols>
    <col min="2" max="2" width="24.85546875" customWidth="1"/>
    <col min="3" max="11" width="15.5703125" customWidth="1"/>
    <col min="19" max="19" width="15.5703125" customWidth="1"/>
  </cols>
  <sheetData>
    <row r="4" ht="15.75" customHeight="1" x14ac:dyDescent="0.25"/>
    <row r="5" ht="68.25" customHeight="1" spans="2:26" x14ac:dyDescent="0.25">
      <c r="B5" s="136" t="s">
        <v>151</v>
      </c>
      <c r="C5" s="137"/>
      <c r="D5" s="137"/>
      <c r="E5" s="137"/>
      <c r="F5" s="137"/>
      <c r="G5" s="137"/>
      <c r="H5" s="137"/>
      <c r="I5" s="138"/>
      <c r="J5" s="139" t="s">
        <v>91</v>
      </c>
      <c r="K5" s="140" t="s">
        <v>152</v>
      </c>
      <c r="L5" s="141"/>
      <c r="M5" s="141"/>
      <c r="N5" s="141"/>
      <c r="O5" s="141"/>
      <c r="P5" s="141"/>
      <c r="Q5" s="141"/>
      <c r="R5" s="139" t="s">
        <v>153</v>
      </c>
      <c r="S5" s="136" t="s">
        <v>154</v>
      </c>
      <c r="T5" s="137"/>
      <c r="U5" s="137"/>
      <c r="V5" s="137"/>
      <c r="W5" s="137"/>
      <c r="X5" s="137"/>
      <c r="Y5" s="137"/>
      <c r="Z5" s="139" t="s">
        <v>155</v>
      </c>
    </row>
    <row r="6" ht="25.5" customHeight="1" spans="2:26" x14ac:dyDescent="0.25">
      <c r="B6" s="142" t="s">
        <v>156</v>
      </c>
      <c r="C6" s="143" t="s">
        <v>157</v>
      </c>
      <c r="D6" s="143"/>
      <c r="E6" s="143" t="s">
        <v>158</v>
      </c>
      <c r="F6" s="143"/>
      <c r="G6" s="143" t="s">
        <v>159</v>
      </c>
      <c r="H6" s="143"/>
      <c r="I6" s="143" t="s">
        <v>160</v>
      </c>
      <c r="J6" s="144"/>
      <c r="K6" s="145" t="s">
        <v>157</v>
      </c>
      <c r="L6" s="145"/>
      <c r="M6" s="145" t="s">
        <v>158</v>
      </c>
      <c r="N6" s="145"/>
      <c r="O6" s="145" t="s">
        <v>159</v>
      </c>
      <c r="P6" s="145"/>
      <c r="Q6" s="145" t="s">
        <v>160</v>
      </c>
      <c r="R6" s="146"/>
      <c r="S6" s="143" t="s">
        <v>157</v>
      </c>
      <c r="T6" s="143"/>
      <c r="U6" s="143" t="s">
        <v>158</v>
      </c>
      <c r="V6" s="143"/>
      <c r="W6" s="143" t="s">
        <v>159</v>
      </c>
      <c r="X6" s="143"/>
      <c r="Y6" s="143" t="s">
        <v>160</v>
      </c>
      <c r="Z6" s="144"/>
    </row>
    <row r="7" ht="15.75" customHeight="1" spans="2:26" x14ac:dyDescent="0.25">
      <c r="B7" s="147" t="s">
        <v>161</v>
      </c>
      <c r="C7" s="148">
        <f>+D7*30</f>
        <v>60</v>
      </c>
      <c r="D7" s="148">
        <v>2</v>
      </c>
      <c r="E7" s="148">
        <v>80</v>
      </c>
      <c r="F7" s="148">
        <v>2.5</v>
      </c>
      <c r="G7" s="148">
        <v>100</v>
      </c>
      <c r="H7" s="148">
        <v>3.5</v>
      </c>
      <c r="I7" s="148">
        <v>120</v>
      </c>
      <c r="J7" s="148">
        <f>+I7/30</f>
        <v>4</v>
      </c>
      <c r="K7" s="149">
        <f t="shared" ref="K7:K14" si="0">+L7*30</f>
        <v>22.5</v>
      </c>
      <c r="L7" s="149">
        <v>0.75</v>
      </c>
      <c r="M7" s="149">
        <f t="shared" ref="M7:M14" si="1">+N7*30</f>
        <v>45</v>
      </c>
      <c r="N7" s="149">
        <v>1.5</v>
      </c>
      <c r="O7" s="149">
        <f t="shared" ref="O7:O14" si="2">+P7*30</f>
        <v>60</v>
      </c>
      <c r="P7" s="149">
        <v>2</v>
      </c>
      <c r="Q7" s="149">
        <f t="shared" ref="Q7:Q14" si="3">30*R7</f>
        <v>75</v>
      </c>
      <c r="R7" s="149">
        <v>2.5</v>
      </c>
      <c r="S7" s="148">
        <f>+T7*30</f>
        <v>105</v>
      </c>
      <c r="T7" s="148">
        <v>3.5</v>
      </c>
      <c r="U7" s="148">
        <f>+V7*30</f>
        <v>120</v>
      </c>
      <c r="V7" s="148">
        <v>4</v>
      </c>
      <c r="W7" s="148">
        <f>+X7*30</f>
        <v>135</v>
      </c>
      <c r="X7" s="148">
        <v>4.5</v>
      </c>
      <c r="Y7" s="148">
        <f>+Z7*30</f>
        <v>150</v>
      </c>
      <c r="Z7" s="150">
        <v>5</v>
      </c>
    </row>
    <row r="8" ht="15.75" customHeight="1" spans="2:26" x14ac:dyDescent="0.25">
      <c r="B8" s="147" t="s">
        <v>71</v>
      </c>
      <c r="C8" s="148">
        <f t="shared" ref="C8:C14" si="4">+D8*30</f>
        <v>60</v>
      </c>
      <c r="D8" s="148">
        <v>2</v>
      </c>
      <c r="E8" s="148">
        <v>80</v>
      </c>
      <c r="F8" s="148">
        <v>2.5</v>
      </c>
      <c r="G8" s="148">
        <v>100</v>
      </c>
      <c r="H8" s="148">
        <v>3.5</v>
      </c>
      <c r="I8" s="148">
        <v>120</v>
      </c>
      <c r="J8" s="148">
        <f t="shared" ref="J8:J14" si="5">+I8/30</f>
        <v>4</v>
      </c>
      <c r="K8" s="149">
        <f t="shared" si="0"/>
        <v>22.5</v>
      </c>
      <c r="L8" s="149">
        <v>0.75</v>
      </c>
      <c r="M8" s="149">
        <f t="shared" si="1"/>
        <v>45</v>
      </c>
      <c r="N8" s="149">
        <v>1.5</v>
      </c>
      <c r="O8" s="149">
        <f t="shared" si="2"/>
        <v>60</v>
      </c>
      <c r="P8" s="149">
        <v>2</v>
      </c>
      <c r="Q8" s="149">
        <f t="shared" si="3"/>
        <v>75</v>
      </c>
      <c r="R8" s="149">
        <v>2.5</v>
      </c>
      <c r="S8" s="148">
        <f t="shared" ref="S8:S14" si="6">+T8*30</f>
        <v>105</v>
      </c>
      <c r="T8" s="148">
        <v>3.5</v>
      </c>
      <c r="U8" s="148">
        <f t="shared" ref="U8:U14" si="7">+V8*30</f>
        <v>120</v>
      </c>
      <c r="V8" s="148">
        <v>4</v>
      </c>
      <c r="W8" s="148">
        <f t="shared" ref="W8:W14" si="8">+X8*30</f>
        <v>135</v>
      </c>
      <c r="X8" s="148">
        <v>4.5</v>
      </c>
      <c r="Y8" s="148">
        <f t="shared" ref="Y8:Y14" si="9">+Z8*30</f>
        <v>150</v>
      </c>
      <c r="Z8" s="150">
        <v>5</v>
      </c>
    </row>
    <row r="9" ht="31.5" customHeight="1" spans="2:26" x14ac:dyDescent="0.25">
      <c r="B9" s="147" t="s">
        <v>162</v>
      </c>
      <c r="C9" s="148">
        <f t="shared" si="4"/>
        <v>45</v>
      </c>
      <c r="D9" s="148">
        <v>1.5</v>
      </c>
      <c r="E9" s="148">
        <v>70</v>
      </c>
      <c r="F9" s="148">
        <v>2</v>
      </c>
      <c r="G9" s="148">
        <v>90</v>
      </c>
      <c r="H9" s="148">
        <v>2.5</v>
      </c>
      <c r="I9" s="148">
        <v>100</v>
      </c>
      <c r="J9" s="148">
        <v>3</v>
      </c>
      <c r="K9" s="149">
        <f t="shared" si="0"/>
        <v>15</v>
      </c>
      <c r="L9" s="149">
        <v>0.5</v>
      </c>
      <c r="M9" s="149">
        <f t="shared" si="1"/>
        <v>30</v>
      </c>
      <c r="N9" s="149">
        <v>1</v>
      </c>
      <c r="O9" s="149">
        <f t="shared" si="2"/>
        <v>45</v>
      </c>
      <c r="P9" s="149">
        <v>1.5</v>
      </c>
      <c r="Q9" s="149">
        <f t="shared" si="3"/>
        <v>60</v>
      </c>
      <c r="R9" s="149">
        <v>2</v>
      </c>
      <c r="S9" s="148">
        <f t="shared" si="6"/>
        <v>75</v>
      </c>
      <c r="T9" s="148">
        <v>2.5</v>
      </c>
      <c r="U9" s="148">
        <f t="shared" si="7"/>
        <v>90</v>
      </c>
      <c r="V9" s="148">
        <v>3</v>
      </c>
      <c r="W9" s="148">
        <f t="shared" si="8"/>
        <v>105</v>
      </c>
      <c r="X9" s="148">
        <v>3.5</v>
      </c>
      <c r="Y9" s="148">
        <f t="shared" si="9"/>
        <v>120</v>
      </c>
      <c r="Z9" s="150">
        <v>4</v>
      </c>
    </row>
    <row r="10" ht="15.75" customHeight="1" spans="2:26" x14ac:dyDescent="0.25">
      <c r="B10" s="147" t="s">
        <v>163</v>
      </c>
      <c r="C10" s="148">
        <f t="shared" si="4"/>
        <v>45</v>
      </c>
      <c r="D10" s="148">
        <v>1.5</v>
      </c>
      <c r="E10" s="148">
        <v>60</v>
      </c>
      <c r="F10" s="148">
        <f>+E10/30</f>
        <v>2</v>
      </c>
      <c r="G10" s="148">
        <v>80</v>
      </c>
      <c r="H10" s="148">
        <v>2.5</v>
      </c>
      <c r="I10" s="148">
        <v>100</v>
      </c>
      <c r="J10" s="148">
        <v>3</v>
      </c>
      <c r="K10" s="149">
        <f t="shared" si="0"/>
        <v>15</v>
      </c>
      <c r="L10" s="149">
        <v>0.5</v>
      </c>
      <c r="M10" s="149">
        <f t="shared" si="1"/>
        <v>30</v>
      </c>
      <c r="N10" s="149">
        <v>1</v>
      </c>
      <c r="O10" s="149">
        <f t="shared" si="2"/>
        <v>45</v>
      </c>
      <c r="P10" s="149">
        <v>1.5</v>
      </c>
      <c r="Q10" s="149">
        <f t="shared" si="3"/>
        <v>60</v>
      </c>
      <c r="R10" s="149">
        <v>2</v>
      </c>
      <c r="S10" s="148">
        <f t="shared" si="6"/>
        <v>75</v>
      </c>
      <c r="T10" s="148">
        <v>2.5</v>
      </c>
      <c r="U10" s="148">
        <f t="shared" si="7"/>
        <v>90</v>
      </c>
      <c r="V10" s="148">
        <v>3</v>
      </c>
      <c r="W10" s="148">
        <f t="shared" si="8"/>
        <v>105</v>
      </c>
      <c r="X10" s="148">
        <v>3.5</v>
      </c>
      <c r="Y10" s="148">
        <f t="shared" si="9"/>
        <v>120</v>
      </c>
      <c r="Z10" s="150">
        <v>4</v>
      </c>
    </row>
    <row r="11" ht="15.75" customHeight="1" spans="2:26" x14ac:dyDescent="0.25">
      <c r="B11" s="147" t="s">
        <v>164</v>
      </c>
      <c r="C11" s="148">
        <f t="shared" si="4"/>
        <v>60</v>
      </c>
      <c r="D11" s="148">
        <v>2</v>
      </c>
      <c r="E11" s="148">
        <v>80</v>
      </c>
      <c r="F11" s="148">
        <v>2.5</v>
      </c>
      <c r="G11" s="148">
        <v>100</v>
      </c>
      <c r="H11" s="148">
        <v>3.5</v>
      </c>
      <c r="I11" s="148">
        <v>120</v>
      </c>
      <c r="J11" s="148">
        <f t="shared" si="5"/>
        <v>4</v>
      </c>
      <c r="K11" s="149">
        <f t="shared" si="0"/>
        <v>22.5</v>
      </c>
      <c r="L11" s="149">
        <v>0.75</v>
      </c>
      <c r="M11" s="149">
        <f t="shared" si="1"/>
        <v>45</v>
      </c>
      <c r="N11" s="149">
        <v>1.5</v>
      </c>
      <c r="O11" s="149">
        <f t="shared" si="2"/>
        <v>60</v>
      </c>
      <c r="P11" s="149">
        <v>2</v>
      </c>
      <c r="Q11" s="149">
        <f t="shared" si="3"/>
        <v>75</v>
      </c>
      <c r="R11" s="149">
        <v>2.5</v>
      </c>
      <c r="S11" s="148">
        <f t="shared" si="6"/>
        <v>105</v>
      </c>
      <c r="T11" s="148">
        <v>3.5</v>
      </c>
      <c r="U11" s="148">
        <f t="shared" si="7"/>
        <v>120</v>
      </c>
      <c r="V11" s="148">
        <v>4</v>
      </c>
      <c r="W11" s="148">
        <f t="shared" si="8"/>
        <v>135</v>
      </c>
      <c r="X11" s="148">
        <v>4.5</v>
      </c>
      <c r="Y11" s="148">
        <f t="shared" si="9"/>
        <v>150</v>
      </c>
      <c r="Z11" s="150">
        <v>5</v>
      </c>
    </row>
    <row r="12" ht="15.75" customHeight="1" spans="2:26" x14ac:dyDescent="0.25">
      <c r="B12" s="147" t="s">
        <v>165</v>
      </c>
      <c r="C12" s="148">
        <f t="shared" si="4"/>
        <v>45</v>
      </c>
      <c r="D12" s="148">
        <v>1.5</v>
      </c>
      <c r="E12" s="148">
        <v>60</v>
      </c>
      <c r="F12" s="148">
        <f>+E12/30</f>
        <v>2</v>
      </c>
      <c r="G12" s="148">
        <v>80</v>
      </c>
      <c r="H12" s="148">
        <v>2.5</v>
      </c>
      <c r="I12" s="148">
        <v>100</v>
      </c>
      <c r="J12" s="148">
        <v>3</v>
      </c>
      <c r="K12" s="149">
        <f t="shared" si="0"/>
        <v>15</v>
      </c>
      <c r="L12" s="149">
        <v>0.5</v>
      </c>
      <c r="M12" s="149">
        <f t="shared" si="1"/>
        <v>30</v>
      </c>
      <c r="N12" s="149">
        <v>1</v>
      </c>
      <c r="O12" s="149">
        <f t="shared" si="2"/>
        <v>45</v>
      </c>
      <c r="P12" s="149">
        <v>1.5</v>
      </c>
      <c r="Q12" s="149">
        <f t="shared" si="3"/>
        <v>60</v>
      </c>
      <c r="R12" s="149">
        <v>2</v>
      </c>
      <c r="S12" s="148">
        <f t="shared" si="6"/>
        <v>75</v>
      </c>
      <c r="T12" s="148">
        <v>2.5</v>
      </c>
      <c r="U12" s="148">
        <f t="shared" si="7"/>
        <v>90</v>
      </c>
      <c r="V12" s="148">
        <v>3</v>
      </c>
      <c r="W12" s="148">
        <f t="shared" si="8"/>
        <v>105</v>
      </c>
      <c r="X12" s="148">
        <v>3.5</v>
      </c>
      <c r="Y12" s="148">
        <f t="shared" si="9"/>
        <v>120</v>
      </c>
      <c r="Z12" s="150">
        <v>4</v>
      </c>
    </row>
    <row r="13" ht="15.75" customHeight="1" spans="2:26" x14ac:dyDescent="0.25">
      <c r="B13" s="147" t="s">
        <v>106</v>
      </c>
      <c r="C13" s="148">
        <f t="shared" si="4"/>
        <v>45</v>
      </c>
      <c r="D13" s="148">
        <v>1.5</v>
      </c>
      <c r="E13" s="148">
        <v>60</v>
      </c>
      <c r="F13" s="148">
        <f>+E13/30</f>
        <v>2</v>
      </c>
      <c r="G13" s="148">
        <v>80</v>
      </c>
      <c r="H13" s="148">
        <v>2.5</v>
      </c>
      <c r="I13" s="148">
        <v>100</v>
      </c>
      <c r="J13" s="148">
        <v>3</v>
      </c>
      <c r="K13" s="149">
        <f t="shared" si="0"/>
        <v>22.5</v>
      </c>
      <c r="L13" s="149">
        <v>0.75</v>
      </c>
      <c r="M13" s="149">
        <f t="shared" si="1"/>
        <v>45</v>
      </c>
      <c r="N13" s="149">
        <v>1.5</v>
      </c>
      <c r="O13" s="149">
        <f t="shared" si="2"/>
        <v>45</v>
      </c>
      <c r="P13" s="149">
        <v>1.5</v>
      </c>
      <c r="Q13" s="149">
        <f t="shared" si="3"/>
        <v>60</v>
      </c>
      <c r="R13" s="149">
        <v>2</v>
      </c>
      <c r="S13" s="148">
        <f t="shared" si="6"/>
        <v>90</v>
      </c>
      <c r="T13" s="148">
        <v>3</v>
      </c>
      <c r="U13" s="148">
        <f t="shared" si="7"/>
        <v>105</v>
      </c>
      <c r="V13" s="148">
        <v>3.5</v>
      </c>
      <c r="W13" s="148">
        <f t="shared" si="8"/>
        <v>120</v>
      </c>
      <c r="X13" s="148">
        <v>4</v>
      </c>
      <c r="Y13" s="148">
        <f t="shared" si="9"/>
        <v>135</v>
      </c>
      <c r="Z13" s="150">
        <v>4.5</v>
      </c>
    </row>
    <row r="14" ht="31.5" customHeight="1" spans="2:26" x14ac:dyDescent="0.25">
      <c r="B14" s="147" t="s">
        <v>166</v>
      </c>
      <c r="C14" s="148">
        <f t="shared" si="4"/>
        <v>60</v>
      </c>
      <c r="D14" s="148">
        <v>2</v>
      </c>
      <c r="E14" s="148">
        <v>80</v>
      </c>
      <c r="F14" s="148">
        <v>2.5</v>
      </c>
      <c r="G14" s="148">
        <v>100</v>
      </c>
      <c r="H14" s="148">
        <v>3.5</v>
      </c>
      <c r="I14" s="148">
        <v>120</v>
      </c>
      <c r="J14" s="148">
        <f t="shared" si="5"/>
        <v>4</v>
      </c>
      <c r="K14" s="149">
        <f t="shared" si="0"/>
        <v>22.5</v>
      </c>
      <c r="L14" s="149">
        <v>0.75</v>
      </c>
      <c r="M14" s="149">
        <f t="shared" si="1"/>
        <v>45</v>
      </c>
      <c r="N14" s="149">
        <v>1.5</v>
      </c>
      <c r="O14" s="149">
        <f t="shared" si="2"/>
        <v>60</v>
      </c>
      <c r="P14" s="149">
        <v>2</v>
      </c>
      <c r="Q14" s="149">
        <f t="shared" si="3"/>
        <v>75</v>
      </c>
      <c r="R14" s="149">
        <v>2.5</v>
      </c>
      <c r="S14" s="148">
        <f t="shared" si="6"/>
        <v>105</v>
      </c>
      <c r="T14" s="148">
        <v>3.5</v>
      </c>
      <c r="U14" s="148">
        <f t="shared" si="7"/>
        <v>120</v>
      </c>
      <c r="V14" s="148">
        <v>4</v>
      </c>
      <c r="W14" s="148">
        <f t="shared" si="8"/>
        <v>135</v>
      </c>
      <c r="X14" s="148">
        <v>4.5</v>
      </c>
      <c r="Y14" s="148">
        <f t="shared" si="9"/>
        <v>150</v>
      </c>
      <c r="Z14" s="150">
        <v>5</v>
      </c>
    </row>
    <row r="25" ht="15.75" customHeight="1" x14ac:dyDescent="0.25"/>
    <row r="26" ht="16.5" customHeight="1" spans="2:10" x14ac:dyDescent="0.25">
      <c r="B26" s="136"/>
      <c r="C26" s="137"/>
      <c r="D26" s="137"/>
      <c r="E26" s="137"/>
      <c r="F26" s="137"/>
      <c r="G26" s="137"/>
      <c r="H26" s="137"/>
      <c r="I26" s="138"/>
      <c r="J26" s="139"/>
    </row>
    <row r="27" ht="23.25" customHeight="1" spans="2:2" x14ac:dyDescent="0.25">
      <c r="B27" s="142"/>
    </row>
    <row r="28" ht="15.75" customHeight="1" spans="2:2" x14ac:dyDescent="0.25">
      <c r="B28" s="147"/>
    </row>
    <row r="29" ht="15.75" customHeight="1" spans="2:2" x14ac:dyDescent="0.25">
      <c r="B29" s="147"/>
    </row>
    <row r="30" ht="15.75" customHeight="1" spans="2:2" x14ac:dyDescent="0.25">
      <c r="B30" s="147"/>
    </row>
    <row r="31" ht="15.75" customHeight="1" spans="2:2" x14ac:dyDescent="0.25">
      <c r="B31" s="147"/>
    </row>
    <row r="32" ht="15.75" customHeight="1" spans="2:2" x14ac:dyDescent="0.25">
      <c r="B32" s="147"/>
    </row>
    <row r="33" ht="15.75" customHeight="1" spans="2:2" x14ac:dyDescent="0.25">
      <c r="B33" s="147"/>
    </row>
    <row r="34" ht="15.75" customHeight="1" spans="2:2" x14ac:dyDescent="0.25">
      <c r="B34" s="147"/>
    </row>
    <row r="35" ht="15.75" customHeight="1" spans="2:2" x14ac:dyDescent="0.25">
      <c r="B35" s="147"/>
    </row>
  </sheetData>
  <mergeCells count="4">
    <mergeCell ref="B5:I5"/>
    <mergeCell ref="K5:Q5"/>
    <mergeCell ref="S5:Y5"/>
    <mergeCell ref="B26:I26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7"/>
  <sheetViews>
    <sheetView workbookViewId="0" showGridLines="0" zoomScale="90" zoomScaleNormal="90">
      <selection activeCell="C6" sqref="C6"/>
    </sheetView>
  </sheetViews>
  <sheetFormatPr defaultRowHeight="15" outlineLevelRow="0" outlineLevelCol="0" x14ac:dyDescent="0"/>
  <cols>
    <col min="1" max="1" width="10" customWidth="1"/>
    <col min="2" max="2" width="15.28515625" customWidth="1"/>
    <col min="3" max="3" width="10.140625" customWidth="1"/>
    <col min="4" max="4" width="14.42578125" customWidth="1"/>
    <col min="5" max="5" width="8.85546875" customWidth="1"/>
    <col min="6" max="6" width="9.42578125" customWidth="1"/>
    <col min="7" max="7" width="19.28515625" customWidth="1"/>
    <col min="10" max="10" width="11.85546875" customWidth="1"/>
  </cols>
  <sheetData>
    <row r="1" spans="1:1" x14ac:dyDescent="0.25">
      <c r="A1" s="71" t="str">
        <f>+Registro2!C4</f>
        <v>Jose Jonattan Nañez</v>
      </c>
    </row>
    <row r="2" spans="1:1" x14ac:dyDescent="0.25">
      <c r="A2" s="71" t="str">
        <f>+Registro2!C6</f>
        <v>Cr 41 # 57 Sur - 60</v>
      </c>
    </row>
    <row r="3" ht="17.25" customHeight="1" spans="1:8" x14ac:dyDescent="0.25">
      <c r="A3" s="72" t="str">
        <f>+Registro2!C7</f>
        <v>Cali, Valle del Cauca</v>
      </c>
      <c r="B3" s="73"/>
      <c r="C3" s="102" t="str">
        <f>+Registro2!C9</f>
        <v>jose.nanez@klean-vet.com</v>
      </c>
      <c r="D3" s="102"/>
      <c r="E3" s="73"/>
      <c r="F3" s="73"/>
      <c r="G3" s="73"/>
      <c r="H3" s="73"/>
    </row>
    <row r="5" ht="15" customHeight="1" spans="5:8" x14ac:dyDescent="0.25">
      <c r="E5" s="74" t="s">
        <v>109</v>
      </c>
      <c r="F5" s="74"/>
      <c r="G5" s="103" t="str">
        <f>_xlfn.CONCAT("EQ-",YEAR(C13)," -",Registro2!C36)</f>
        <v>EQ-2023 -219087</v>
      </c>
      <c r="H5" s="103"/>
    </row>
    <row r="6" ht="30.75" customHeight="1" spans="2:8" x14ac:dyDescent="0.25">
      <c r="B6" s="77" t="s">
        <v>110</v>
      </c>
      <c r="C6" s="104" t="str">
        <f>+Registro2!C4</f>
        <v>Jose Jonattan Nañez</v>
      </c>
      <c r="D6" s="104"/>
      <c r="E6" s="74" t="s">
        <v>111</v>
      </c>
      <c r="G6" s="103" t="str">
        <f>_xlfn.CONCAT("HC-EQ-"," ",Registro2!C37)</f>
        <v>HC-EQ- 219087</v>
      </c>
      <c r="H6" s="103"/>
    </row>
    <row r="7" ht="27" customHeight="1" spans="2:8" x14ac:dyDescent="0.25">
      <c r="B7" s="105" t="s">
        <v>112</v>
      </c>
      <c r="C7" s="104" t="str">
        <f>+Registro2!C21</f>
        <v>Dulce Quijote</v>
      </c>
      <c r="D7" s="104"/>
      <c r="E7" s="105" t="s">
        <v>132</v>
      </c>
      <c r="F7" s="105"/>
      <c r="G7" s="106">
        <f>+Registro2!C13</f>
        <v>1072713064</v>
      </c>
      <c r="H7" s="107"/>
    </row>
    <row r="8" spans="2:8" x14ac:dyDescent="0.25">
      <c r="B8" s="77" t="s">
        <v>133</v>
      </c>
      <c r="C8" s="104">
        <f>+Registro2!C23</f>
        <v>300</v>
      </c>
      <c r="D8" s="104"/>
      <c r="E8" s="77" t="s">
        <v>134</v>
      </c>
      <c r="F8" s="77"/>
      <c r="G8" s="103" t="str">
        <f>+Registro2!C14</f>
        <v>Andrea Olaya Silva</v>
      </c>
      <c r="H8" s="103"/>
    </row>
    <row r="9" spans="2:8" x14ac:dyDescent="0.25">
      <c r="B9" s="77" t="s">
        <v>115</v>
      </c>
      <c r="C9" s="104">
        <f>+Registro2!C24</f>
        <v>7</v>
      </c>
      <c r="D9" s="104"/>
      <c r="E9" s="74" t="s">
        <v>113</v>
      </c>
      <c r="G9" s="103">
        <f>+Registro2!C15</f>
        <v>3138179938</v>
      </c>
      <c r="H9" s="103"/>
    </row>
    <row r="10" spans="2:8" x14ac:dyDescent="0.25">
      <c r="B10" s="77" t="s">
        <v>135</v>
      </c>
      <c r="C10" s="104" t="str">
        <f>+Registro2!C22</f>
        <v>Equino razas medianas</v>
      </c>
      <c r="D10" s="104"/>
      <c r="E10" s="74"/>
      <c r="G10" s="103"/>
      <c r="H10" s="103"/>
    </row>
    <row r="11" ht="33" customHeight="1" spans="2:8" x14ac:dyDescent="0.25">
      <c r="B11" s="77" t="s">
        <v>136</v>
      </c>
      <c r="C11" s="104" t="str">
        <f>+Registro2!C25</f>
        <v>Criollo colombiano</v>
      </c>
      <c r="D11" s="104"/>
      <c r="E11" s="74" t="s">
        <v>5</v>
      </c>
      <c r="G11" s="104" t="str">
        <f>+Registro2!C16</f>
        <v>Km2 Via Chia Cota Sector San Remito</v>
      </c>
      <c r="H11" s="104"/>
    </row>
    <row r="12" spans="2:8" x14ac:dyDescent="0.25">
      <c r="B12" s="77" t="s">
        <v>137</v>
      </c>
      <c r="C12" s="104" t="str">
        <f>+Registro2!C26</f>
        <v>Macho</v>
      </c>
      <c r="D12" s="104"/>
      <c r="E12" s="77" t="s">
        <v>7</v>
      </c>
      <c r="G12" s="103" t="str">
        <f>+Registro2!C17</f>
        <v>Vereda Cerca e Piedra / Chia </v>
      </c>
      <c r="H12" s="103"/>
    </row>
    <row r="13" ht="24" customHeight="1" spans="2:8" x14ac:dyDescent="0.25">
      <c r="B13" s="105" t="s">
        <v>117</v>
      </c>
      <c r="C13" s="108">
        <f>+Registro2!C35</f>
        <v>44957</v>
      </c>
      <c r="D13" s="108"/>
      <c r="E13" s="74" t="s">
        <v>116</v>
      </c>
      <c r="G13" s="103" t="str">
        <f>+Registro2!C18</f>
        <v>Cundinamarca</v>
      </c>
      <c r="H13" s="103"/>
    </row>
    <row r="14" ht="31.5" customHeight="1" spans="2:8" x14ac:dyDescent="0.25">
      <c r="B14" s="77" t="s">
        <v>118</v>
      </c>
      <c r="C14" s="104" t="str">
        <f>+Registro2!C29</f>
        <v>laminitis</v>
      </c>
      <c r="D14" s="104"/>
      <c r="E14" s="74" t="s">
        <v>119</v>
      </c>
      <c r="G14" s="103" t="s">
        <v>120</v>
      </c>
      <c r="H14" s="103"/>
    </row>
    <row r="15" ht="16.5" customHeight="1" spans="2:8" s="109" customFormat="1" x14ac:dyDescent="0.25">
      <c r="B15" s="110" t="s">
        <v>138</v>
      </c>
      <c r="C15" s="111">
        <f>+Registro2!C31</f>
        <v>1</v>
      </c>
      <c r="D15" s="111"/>
      <c r="E15" s="112" t="s">
        <v>139</v>
      </c>
      <c r="G15" s="113" t="str">
        <f t="array" ref="G15">_xlfn.IFS(C15 &lt;= 2, " Un mes",AND(C15&gt;2,C15&lt;3)," dos meses",C15&gt;=3, "tres meses")</f>
        <v> Un mes</v>
      </c>
      <c r="H15" s="113"/>
    </row>
    <row r="16" spans="1:8" x14ac:dyDescent="0.25">
      <c r="A16" s="81" t="s">
        <v>121</v>
      </c>
      <c r="B16" s="81"/>
      <c r="C16" s="81"/>
      <c r="D16" s="82" t="s">
        <v>29</v>
      </c>
      <c r="E16" s="81" t="s">
        <v>122</v>
      </c>
      <c r="F16" s="81"/>
      <c r="G16" s="81"/>
      <c r="H16" s="81" t="s">
        <v>123</v>
      </c>
    </row>
    <row r="17" ht="117.75" customHeight="1" spans="1:8" x14ac:dyDescent="0.25">
      <c r="A17" s="114" t="s">
        <v>140</v>
      </c>
      <c r="B17" s="114"/>
      <c r="C17" s="114"/>
      <c r="D17" s="115" t="str">
        <f>Registro2!C30</f>
        <v>Frasco (3%) 100 mL 3000 mg</v>
      </c>
      <c r="E17" s="115" t="s">
        <v>141</v>
      </c>
      <c r="F17" s="115"/>
      <c r="G17" s="115"/>
      <c r="H17" s="116" t="str">
        <f>CONCATENATE(C15," Unidades")</f>
        <v>1 Unidades</v>
      </c>
    </row>
    <row r="18" spans="1:12" x14ac:dyDescent="0.25">
      <c r="A18" s="96" t="s">
        <v>126</v>
      </c>
      <c r="B18" s="96"/>
      <c r="C18" s="96"/>
      <c r="D18" s="96"/>
      <c r="E18" s="96"/>
      <c r="F18" s="96"/>
      <c r="G18" s="96"/>
      <c r="H18" s="96"/>
      <c r="I18" s="74"/>
      <c r="J18" s="74"/>
      <c r="K18" s="74"/>
      <c r="L18" s="74"/>
    </row>
    <row r="19" ht="21.75" customHeight="1" spans="1:9" x14ac:dyDescent="0.25">
      <c r="A19" s="117" t="s">
        <v>127</v>
      </c>
      <c r="B19" s="118"/>
      <c r="C19" s="119" t="str">
        <f>+C14</f>
        <v>laminitis</v>
      </c>
      <c r="D19" s="120"/>
      <c r="E19" s="121" t="s">
        <v>27</v>
      </c>
      <c r="F19" s="122" t="s">
        <v>142</v>
      </c>
      <c r="G19" s="122"/>
      <c r="H19" s="122"/>
      <c r="I19" s="74"/>
    </row>
    <row r="20" spans="1:12" x14ac:dyDescent="0.25">
      <c r="A20" s="96" t="s">
        <v>143</v>
      </c>
      <c r="B20" s="96"/>
      <c r="C20" s="96" t="s">
        <v>144</v>
      </c>
      <c r="D20" s="96"/>
      <c r="E20" s="96" t="s">
        <v>145</v>
      </c>
      <c r="F20" s="96"/>
      <c r="G20" s="96" t="s">
        <v>146</v>
      </c>
      <c r="H20" s="96"/>
      <c r="I20" s="74"/>
      <c r="K20" s="74"/>
      <c r="L20" s="74"/>
    </row>
    <row r="21" ht="92.25" customHeight="1" spans="1:12" x14ac:dyDescent="0.25">
      <c r="A21" s="123" t="str">
        <f t="array" ref="A21">_xlfn.IFS(C10='Calculadora Equina'!J5,CONCATENATE("Suministrar ",VLOOKUP(C14,'Calculadora Equina'!B7:Z14,2,FALSE)," mgs al día. Durante la primera semana administrar ",VLOOKUP(C14,'Calculadora Equina'!B7:Z14,3,FALSE),"mL una vez al día" ),C10='Calculadora Equina'!R5,CONCATENATE("Suministrar ",VLOOKUP(C14,'Calculadora Equina'!B7:Z14,10,FALSE)," mgs al día. Durante la primera semana administrar ",VLOOKUP(C14,'Calculadora Equina'!B7:R14,11,FALSE),"mL una vez al día." ),C10='Calculadora Equina'!Z5,CONCATENATE("Suministrar ",VLOOKUP(C14,'Calculadora Equina'!B7:Z14,18,FALSE)," mgs al día. Durante la primera semana administrar ",VLOOKUP(C14,'Calculadora Equina'!B7:Z14,19,FALSE),"mL una vez al día." ))</f>
        <v>Suministrar 60 mgs al día. Durante la primera semana administrar 2mL una vez al día</v>
      </c>
      <c r="B21" s="124"/>
      <c r="C21" s="123" t="str">
        <f t="array" ref="C21">_xlfn.IFS(C10='Calculadora Equina'!J5,CONCATENATE("Suministrar ",VLOOKUP(C14,'Calculadora Equina'!B7:Z14,4,FALSE)," mgs al día. Durante la primera semana administrar ",VLOOKUP(C14,'Calculadora Equina'!B7:Z14,5,FALSE),"mL una vez al día" ),C10='Calculadora Equina'!R5,CONCATENATE("Suministrar ",VLOOKUP(C14,'Calculadora Equina'!B7:Z14,12,FALSE)," mgs al día. Durante la primera semana administrar ",VLOOKUP(C14,'Calculadora Equina'!B7:R14,13,FALSE),"mL una vez al día." ),C10='Calculadora Equina'!Z5,CONCATENATE("Suministrar ",VLOOKUP(C14,'Calculadora Equina'!B7:Z14,20,FALSE)," mgs al día. Durante la primera semana administrar ",VLOOKUP(C14,'Calculadora Equina'!B7:Z14,21,FALSE),"mL una vez al día." ))</f>
        <v>Suministrar 80 mgs al día. Durante la primera semana administrar 2,5mL una vez al día</v>
      </c>
      <c r="D21" s="124"/>
      <c r="E21" s="125" t="str">
        <f t="array" ref="E21">_xlfn.IFS(C10='Calculadora Equina'!J5,CONCATENATE("Suministrar ",VLOOKUP(C14,'Calculadora Equina'!B7:Z14,6,FALSE)," mgs al día. Durante la primera semana administrar ",VLOOKUP(C14,'Calculadora Equina'!B7:Z14,7,FALSE),"mL una vez al día" ),C10='Calculadora Equina'!R5,CONCATENATE("Suministrar ",VLOOKUP(C14,'Calculadora Equina'!B7:Z14,14,FALSE)," mgs al día. Durante la primera semana administrar ",VLOOKUP(C14,'Calculadora Equina'!B7:R14,15,FALSE),"mL una vez al día." ),C10='Calculadora Equina'!Z5,CONCATENATE("Suministrar ",VLOOKUP(C14,'Calculadora Equina'!B7:Z14,22,FALSE)," mgs al día. Durante la primera semana administrar ",VLOOKUP(C14,'Calculadora Equina'!B7:Z14,23,FALSE),"mL una vez al día." ))</f>
        <v>Suministrar 100 mgs al día. Durante la primera semana administrar 3,5mL una vez al día</v>
      </c>
      <c r="F21" s="125"/>
      <c r="G21" s="126" t="str">
        <f t="array" ref="G21">_xlfn.IFS(C10='Calculadora Equina'!J5,CONCATENATE("Suministrar ",VLOOKUP(C14,'Calculadora Equina'!B7:Z14,8,FALSE)," mgs al día. Durante la primera semana administrar ",VLOOKUP(C14,'Calculadora Equina'!B7:Z14,9,FALSE),"mL una vez al día" ),C10='Calculadora Equina'!R5,CONCATENATE("Suministrar ",VLOOKUP(C14,'Calculadora Equina'!B7:Z14,16,FALSE)," mgs al día. Durante la primera semana administrar ",VLOOKUP(C14,'Calculadora Equina'!B7:R14,17,FALSE),"mL una vez al día." ),C10='Calculadora Equina'!Z5,CONCATENATE("Suministrar ",VLOOKUP(C14,'Calculadora Equina'!B7:Z14,24,FALSE)," mgs al día. Durante la primera semana administrar ",VLOOKUP(C14,'Calculadora Equina'!B7:Z14,25,FALSE),"mL una vez al día." ))</f>
        <v>Suministrar 120 mgs al día. Durante la primera semana administrar 4mL una vez al día</v>
      </c>
      <c r="H21" s="126"/>
      <c r="I21" s="95"/>
      <c r="K21" s="95"/>
      <c r="L21" s="95"/>
    </row>
    <row r="22" ht="15" customHeight="1" spans="1:12" x14ac:dyDescent="0.25">
      <c r="A22" s="96" t="s">
        <v>128</v>
      </c>
      <c r="B22" s="96"/>
      <c r="C22" s="83" t="s">
        <v>147</v>
      </c>
      <c r="D22" s="83"/>
      <c r="E22" s="83"/>
      <c r="F22" s="83"/>
      <c r="G22" s="83"/>
      <c r="H22" s="83"/>
      <c r="I22" s="95"/>
      <c r="J22" s="95"/>
      <c r="K22" s="95"/>
      <c r="L22" s="95"/>
    </row>
    <row r="23" spans="1:8" x14ac:dyDescent="0.25">
      <c r="A23" s="96"/>
      <c r="B23" s="96"/>
      <c r="C23" s="83"/>
      <c r="D23" s="83"/>
      <c r="E23" s="83"/>
      <c r="F23" s="83"/>
      <c r="G23" s="83"/>
      <c r="H23" s="83"/>
    </row>
    <row r="24" spans="1:8" x14ac:dyDescent="0.25">
      <c r="A24" s="96"/>
      <c r="B24" s="96"/>
      <c r="C24" s="83"/>
      <c r="D24" s="83"/>
      <c r="E24" s="83"/>
      <c r="F24" s="83"/>
      <c r="G24" s="83"/>
      <c r="H24" s="83"/>
    </row>
    <row r="26" ht="21" customHeight="1" spans="1:4" x14ac:dyDescent="0.25">
      <c r="A26" s="127" t="str">
        <f>+B27</f>
        <v>Jose Jonattan Nañez</v>
      </c>
      <c r="B26" s="127"/>
      <c r="C26" s="127"/>
      <c r="D26" s="128"/>
    </row>
    <row r="27" spans="1:4" x14ac:dyDescent="0.25">
      <c r="A27" s="99" t="s">
        <v>130</v>
      </c>
      <c r="B27" s="129" t="str">
        <f>+Registro2!C4</f>
        <v>Jose Jonattan Nañez</v>
      </c>
      <c r="C27" s="129"/>
      <c r="D27" s="129"/>
    </row>
    <row r="28" spans="1:8" x14ac:dyDescent="0.25">
      <c r="A28" s="99" t="s">
        <v>131</v>
      </c>
      <c r="B28" s="130">
        <f>   +Registro2!C5</f>
        <v>24974</v>
      </c>
      <c r="E28" s="131"/>
      <c r="F28" s="131"/>
      <c r="G28" s="131"/>
      <c r="H28" s="131"/>
    </row>
    <row r="29" spans="1:2" x14ac:dyDescent="0.25">
      <c r="A29" s="132" t="s">
        <v>148</v>
      </c>
      <c r="B29" s="133">
        <f>+Registro2!C10</f>
        <v>1075234195</v>
      </c>
    </row>
    <row r="30" ht="18" customHeight="1" spans="1:8" x14ac:dyDescent="0.25">
      <c r="A30" s="73"/>
      <c r="B30" s="134">
        <f>+Registro2!C8</f>
        <v>3169181379</v>
      </c>
      <c r="C30" s="73"/>
      <c r="D30" s="73"/>
      <c r="E30" s="73"/>
      <c r="F30" s="73"/>
      <c r="G30" s="73"/>
      <c r="H30" s="73"/>
    </row>
    <row r="36" spans="3:3" x14ac:dyDescent="0.25">
      <c r="C36">
        <v>3</v>
      </c>
    </row>
    <row r="37" spans="3:3" x14ac:dyDescent="0.25">
      <c r="C37">
        <v>3</v>
      </c>
    </row>
  </sheetData>
  <mergeCells count="42">
    <mergeCell ref="G5:H5"/>
    <mergeCell ref="C6:D6"/>
    <mergeCell ref="G6:H6"/>
    <mergeCell ref="C7:D7"/>
    <mergeCell ref="E7:F7"/>
    <mergeCell ref="G7:H7"/>
    <mergeCell ref="C8:D8"/>
    <mergeCell ref="E8:F8"/>
    <mergeCell ref="G8:H8"/>
    <mergeCell ref="C9:D9"/>
    <mergeCell ref="G9:H9"/>
    <mergeCell ref="C10:D10"/>
    <mergeCell ref="C11:D11"/>
    <mergeCell ref="G11:H11"/>
    <mergeCell ref="C12:D12"/>
    <mergeCell ref="G12:H12"/>
    <mergeCell ref="C13:D13"/>
    <mergeCell ref="G13:H13"/>
    <mergeCell ref="C14:D14"/>
    <mergeCell ref="G14:H14"/>
    <mergeCell ref="G15:H15"/>
    <mergeCell ref="A16:C16"/>
    <mergeCell ref="E16:G16"/>
    <mergeCell ref="A17:C17"/>
    <mergeCell ref="E17:G17"/>
    <mergeCell ref="A18:H18"/>
    <mergeCell ref="A19:B19"/>
    <mergeCell ref="C19:D19"/>
    <mergeCell ref="F19:H19"/>
    <mergeCell ref="A20:B20"/>
    <mergeCell ref="C20:D20"/>
    <mergeCell ref="E20:F20"/>
    <mergeCell ref="G20:H20"/>
    <mergeCell ref="A21:B21"/>
    <mergeCell ref="C21:D21"/>
    <mergeCell ref="E21:F21"/>
    <mergeCell ref="G21:H21"/>
    <mergeCell ref="A22:B24"/>
    <mergeCell ref="C22:H24"/>
    <mergeCell ref="A26:C26"/>
    <mergeCell ref="B27:D27"/>
    <mergeCell ref="E28:H28"/>
  </mergeCells>
  <pageMargins left="0.25" right="0.25" top="0.75" bottom="0.75" header="0.3" footer="0.3"/>
  <pageSetup paperSize="156" orientation="portrait" horizontalDpi="4294967295" verticalDpi="4294967295" scale="100" fitToWidth="1" fitToHeight="1" firstPageNumber="1" useFirstPageNumber="1" copies="1"/>
  <drawing r:id="rId1"/>
  <picture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41"/>
  <sheetViews>
    <sheetView workbookViewId="0" zoomScale="85" zoomScaleNormal="85">
      <selection activeCell="C30" sqref="C30"/>
    </sheetView>
  </sheetViews>
  <sheetFormatPr defaultRowHeight="15" outlineLevelRow="0" outlineLevelCol="0" x14ac:dyDescent="0"/>
  <cols>
    <col min="1" max="1" width="11.42578125" style="1" customWidth="1"/>
    <col min="2" max="2" width="26.85546875" style="1" customWidth="1"/>
    <col min="3" max="3" width="46.5703125" style="2" customWidth="1"/>
    <col min="4" max="7" width="11.42578125" style="1" customWidth="1"/>
    <col min="8" max="8" width="22.7109375" style="1" customWidth="1"/>
    <col min="9" max="10" width="11.42578125" style="1" customWidth="1"/>
    <col min="11" max="11" width="17.28515625" style="1" customWidth="1"/>
    <col min="12" max="16384" width="11.42578125" style="1" customWidth="1"/>
  </cols>
  <sheetData>
    <row r="2" ht="15.75" customHeight="1" x14ac:dyDescent="0.25"/>
    <row r="3" ht="32.25" customHeight="1" spans="2:3" x14ac:dyDescent="0.25">
      <c r="B3" s="45" t="s">
        <v>36</v>
      </c>
      <c r="C3" s="46"/>
    </row>
    <row r="4" ht="16.5" customHeight="1" spans="2:3" x14ac:dyDescent="0.25">
      <c r="B4" s="47" t="s">
        <v>34</v>
      </c>
      <c r="C4" s="48" t="s">
        <v>81</v>
      </c>
    </row>
    <row r="5" ht="16.5" customHeight="1" spans="2:4" x14ac:dyDescent="0.25">
      <c r="B5" s="49" t="s">
        <v>3</v>
      </c>
      <c r="C5" s="48">
        <v>24974</v>
      </c>
      <c r="D5" s="1" t="s">
        <v>4</v>
      </c>
    </row>
    <row r="6" ht="16.5" customHeight="1" spans="2:3" x14ac:dyDescent="0.25">
      <c r="B6" s="49" t="s">
        <v>5</v>
      </c>
      <c r="C6" s="50" t="s">
        <v>82</v>
      </c>
    </row>
    <row r="7" ht="16.5" customHeight="1" spans="2:3" x14ac:dyDescent="0.25">
      <c r="B7" s="49" t="s">
        <v>40</v>
      </c>
      <c r="C7" s="50" t="s">
        <v>83</v>
      </c>
    </row>
    <row r="8" ht="16.5" customHeight="1" spans="2:3" x14ac:dyDescent="0.25">
      <c r="B8" s="49" t="s">
        <v>9</v>
      </c>
      <c r="C8" s="48">
        <v>3169181379</v>
      </c>
    </row>
    <row r="9" ht="16.5" customHeight="1" spans="2:3" x14ac:dyDescent="0.25">
      <c r="B9" s="49" t="s">
        <v>10</v>
      </c>
      <c r="C9" s="51" t="s">
        <v>84</v>
      </c>
    </row>
    <row r="10" ht="16.5" customHeight="1" spans="2:3" x14ac:dyDescent="0.25">
      <c r="B10" s="52" t="s">
        <v>47</v>
      </c>
      <c r="C10" s="53">
        <v>1075234195</v>
      </c>
    </row>
    <row r="11" ht="15.75" customHeight="1" x14ac:dyDescent="0.25"/>
    <row r="12" ht="32.25" customHeight="1" spans="2:3" x14ac:dyDescent="0.25">
      <c r="B12" s="45" t="s">
        <v>50</v>
      </c>
      <c r="C12" s="46"/>
    </row>
    <row r="13" ht="16.5" customHeight="1" spans="2:3" x14ac:dyDescent="0.25">
      <c r="B13" s="47" t="s">
        <v>13</v>
      </c>
      <c r="C13" s="53">
        <v>1072713064</v>
      </c>
    </row>
    <row r="14" ht="16.5" customHeight="1" spans="2:3" x14ac:dyDescent="0.25">
      <c r="B14" s="49" t="s">
        <v>51</v>
      </c>
      <c r="C14" s="48" t="s">
        <v>85</v>
      </c>
    </row>
    <row r="15" ht="16.5" customHeight="1" spans="2:3" x14ac:dyDescent="0.25">
      <c r="B15" s="49" t="s">
        <v>17</v>
      </c>
      <c r="C15" s="48">
        <v>3138179938</v>
      </c>
    </row>
    <row r="16" ht="16.5" customHeight="1" spans="2:3" x14ac:dyDescent="0.25">
      <c r="B16" s="49" t="s">
        <v>53</v>
      </c>
      <c r="C16" s="50" t="s">
        <v>86</v>
      </c>
    </row>
    <row r="17" ht="16.5" customHeight="1" spans="2:3" x14ac:dyDescent="0.25">
      <c r="B17" s="49" t="s">
        <v>20</v>
      </c>
      <c r="C17" s="48" t="s">
        <v>87</v>
      </c>
    </row>
    <row r="18" ht="16.5" customHeight="1" spans="2:3" x14ac:dyDescent="0.25">
      <c r="B18" s="52" t="s">
        <v>22</v>
      </c>
      <c r="C18" s="48" t="s">
        <v>88</v>
      </c>
    </row>
    <row r="19" ht="15.75" customHeight="1" spans="2:6" x14ac:dyDescent="0.25">
      <c r="B19" s="1" t="s">
        <v>4</v>
      </c>
      <c r="C19" s="1"/>
      <c r="F19" s="14"/>
    </row>
    <row r="20" ht="37.5" customHeight="1" spans="2:11" x14ac:dyDescent="0.25">
      <c r="B20" s="54" t="s">
        <v>89</v>
      </c>
      <c r="C20" s="55"/>
      <c r="K20" s="56"/>
    </row>
    <row r="21" ht="16.5" customHeight="1" spans="2:11" x14ac:dyDescent="0.25">
      <c r="B21" s="57" t="s">
        <v>59</v>
      </c>
      <c r="C21" s="58" t="s">
        <v>90</v>
      </c>
      <c r="K21" s="56"/>
    </row>
    <row r="22" ht="16.5" customHeight="1" spans="2:11" x14ac:dyDescent="0.25">
      <c r="B22" s="59" t="s">
        <v>61</v>
      </c>
      <c r="C22" s="58" t="s">
        <v>91</v>
      </c>
      <c r="K22" s="56"/>
    </row>
    <row r="23" ht="16.5" customHeight="1" spans="2:11" x14ac:dyDescent="0.25">
      <c r="B23" s="59" t="s">
        <v>63</v>
      </c>
      <c r="C23" s="58">
        <v>300</v>
      </c>
      <c r="K23" s="56"/>
    </row>
    <row r="24" ht="16.5" customHeight="1" spans="2:11" x14ac:dyDescent="0.25">
      <c r="B24" s="59" t="s">
        <v>64</v>
      </c>
      <c r="C24" s="58">
        <v>7</v>
      </c>
      <c r="K24" s="56"/>
    </row>
    <row r="25" ht="16.5" customHeight="1" spans="2:11" x14ac:dyDescent="0.25">
      <c r="B25" s="59" t="s">
        <v>66</v>
      </c>
      <c r="C25" s="58" t="s">
        <v>92</v>
      </c>
      <c r="K25" s="56"/>
    </row>
    <row r="26" ht="16.5" customHeight="1" spans="2:3" x14ac:dyDescent="0.25">
      <c r="B26" s="60" t="s">
        <v>68</v>
      </c>
      <c r="C26" s="48" t="s">
        <v>93</v>
      </c>
    </row>
    <row r="27" ht="15.75" customHeight="1" x14ac:dyDescent="0.25"/>
    <row r="28" ht="34.5" customHeight="1" spans="2:9" x14ac:dyDescent="0.25">
      <c r="B28" s="54" t="s">
        <v>24</v>
      </c>
      <c r="C28" s="55"/>
      <c r="I28" s="1" t="s">
        <v>94</v>
      </c>
    </row>
    <row r="29" ht="16.5" customHeight="1" spans="2:3" x14ac:dyDescent="0.25">
      <c r="B29" s="61" t="s">
        <v>25</v>
      </c>
      <c r="C29" s="58" t="s">
        <v>95</v>
      </c>
    </row>
    <row r="30" ht="16.5" customHeight="1" spans="2:3" x14ac:dyDescent="0.25">
      <c r="B30" s="62" t="s">
        <v>29</v>
      </c>
      <c r="C30" s="48" t="s">
        <v>96</v>
      </c>
    </row>
    <row r="31" ht="16.5" customHeight="1" spans="2:3" x14ac:dyDescent="0.25">
      <c r="B31" s="62" t="s">
        <v>74</v>
      </c>
      <c r="C31" s="58">
        <v>1</v>
      </c>
    </row>
    <row r="32" spans="3:3" x14ac:dyDescent="0.25">
      <c r="C32" s="1"/>
    </row>
    <row r="33" spans="3:3" x14ac:dyDescent="0.25">
      <c r="C33" s="1"/>
    </row>
    <row r="34" spans="3:3" x14ac:dyDescent="0.25">
      <c r="C34" s="1"/>
    </row>
    <row r="35" ht="15.75" customHeight="1" spans="2:3" x14ac:dyDescent="0.25">
      <c r="B35" s="19" t="s">
        <v>30</v>
      </c>
      <c r="C35" s="20">
        <f>+TODAY()</f>
        <v>44957</v>
      </c>
    </row>
    <row r="36" ht="15.75" customHeight="1" spans="2:11" x14ac:dyDescent="0.25">
      <c r="B36" s="19" t="s">
        <v>31</v>
      </c>
      <c r="C36" s="21">
        <v>219087</v>
      </c>
      <c r="K36" s="63"/>
    </row>
    <row r="37" ht="15.75" customHeight="1" spans="2:3" x14ac:dyDescent="0.25">
      <c r="B37" s="19" t="s">
        <v>32</v>
      </c>
      <c r="C37" s="21">
        <v>219087</v>
      </c>
    </row>
    <row r="38" ht="15.75" customHeight="1" spans="2:3" x14ac:dyDescent="0.25">
      <c r="B38" s="19" t="s">
        <v>33</v>
      </c>
      <c r="C38" s="21" t="str">
        <f>+C7</f>
        <v>Cali, Valle del Cauca</v>
      </c>
    </row>
    <row r="41" spans="3:3" x14ac:dyDescent="0.25">
      <c r="C41" s="64"/>
    </row>
  </sheetData>
  <mergeCells count="2">
    <mergeCell ref="B20:C20"/>
    <mergeCell ref="B28:C28"/>
  </mergeCells>
  <dataValidations count="1">
    <dataValidation type="list" allowBlank="1" showInputMessage="1" showErrorMessage="1" sqref="C26">
      <formula1>Sexo</formula1>
    </dataValidation>
  </dataValidations>
  <hyperlinks>
    <hyperlink ref="C9" r:id="rId1"/>
  </hyperlinks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Registro MED</vt:lpstr>
      <vt:lpstr>Registro</vt:lpstr>
      <vt:lpstr>Registro2</vt:lpstr>
      <vt:lpstr>Hoja2</vt:lpstr>
      <vt:lpstr>Buscar</vt:lpstr>
      <vt:lpstr>Base de Datos</vt:lpstr>
      <vt:lpstr>Prescripcion MED</vt:lpstr>
      <vt:lpstr>Prescripcion EQUINA</vt:lpstr>
      <vt:lpstr>Prescripcion</vt:lpstr>
      <vt:lpstr>Calculadora Equina</vt:lpstr>
      <vt:lpstr>CALCULADOR DOSIS MED</vt:lpstr>
      <vt:lpstr>CALCULADOR DOSIS GOTAS ML</vt:lpstr>
      <vt:lpstr>Tablas</vt:lpstr>
      <vt:lpstr>Hoja1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CAG</cp:lastModifiedBy>
  <cp:lastPrinted>2023-01-13T15:11:32Z</cp:lastPrinted>
  <dcterms:created xsi:type="dcterms:W3CDTF">2022-05-14T14:37:33Z</dcterms:created>
  <dcterms:modified xsi:type="dcterms:W3CDTF">2023-01-31T15:13:34Z</dcterms:modified>
</cp:coreProperties>
</file>