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AG\Documents\KleanVet\"/>
    </mc:Choice>
  </mc:AlternateContent>
  <xr:revisionPtr revIDLastSave="0" documentId="8_{C051EE42-BB28-472C-A7DB-094315F3F03F}" xr6:coauthVersionLast="47" xr6:coauthVersionMax="47" xr10:uidLastSave="{00000000-0000-0000-0000-000000000000}"/>
  <bookViews>
    <workbookView xWindow="-120" yWindow="-120" windowWidth="29040" windowHeight="15840" tabRatio="871" firstSheet="8" activeTab="8" xr2:uid="{00000000-000D-0000-FFFF-FFFF00000000}"/>
  </bookViews>
  <sheets>
    <sheet name="Registro MED" sheetId="10" r:id="rId1"/>
    <sheet name="Registro" sheetId="5" r:id="rId2"/>
    <sheet name="Registro2" sheetId="16" r:id="rId3"/>
    <sheet name="Hoja2" sheetId="12" r:id="rId4"/>
    <sheet name="Buscar" sheetId="7" r:id="rId5"/>
    <sheet name="Base de Datos" sheetId="6" r:id="rId6"/>
    <sheet name="Prescripcion MED" sheetId="9" r:id="rId7"/>
    <sheet name="Prescripcion EQUINA" sheetId="15" r:id="rId8"/>
    <sheet name="Prescripcion" sheetId="4" r:id="rId9"/>
    <sheet name="Calculadora Equina" sheetId="14" r:id="rId10"/>
    <sheet name="CALCULADOR DOSIS MED" sheetId="11" r:id="rId11"/>
    <sheet name="CALCULADOR DOSIS GOTAS ML" sheetId="2" r:id="rId12"/>
    <sheet name="Tablas" sheetId="3" r:id="rId13"/>
    <sheet name="Hoja1" sheetId="8" r:id="rId14"/>
    <sheet name="Hoja3" sheetId="13" r:id="rId15"/>
  </sheets>
  <definedNames>
    <definedName name="Datos">'Base de Datos'!$A$3:$R$7</definedName>
    <definedName name="Datos2">'Base de Datos'!#REF!</definedName>
    <definedName name="Especie">Tablas!$P$4:$P$5</definedName>
    <definedName name="Print_Area" localSheetId="8">Prescripcion!$A$1:$H$31</definedName>
    <definedName name="Print_Area" localSheetId="7">'Prescripcion EQUINA'!$A$1:$H$31</definedName>
    <definedName name="Print_Area" localSheetId="6">'Prescripcion MED'!$A$1:$H$34</definedName>
    <definedName name="Sexo">Tablas!$Q$4:$Q$5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<sst xmlns="http://schemas.openxmlformats.org/spreadsheetml/2006/main">
  <si>
    <t>Peso</t>
  </si>
  <si>
    <t>Gotas por kilo</t>
  </si>
  <si>
    <t>Semana 1</t>
  </si>
  <si>
    <t>Semana 2</t>
  </si>
  <si>
    <t>Semana 3</t>
  </si>
  <si>
    <t>Semana 4</t>
  </si>
  <si>
    <t>Trigger</t>
  </si>
  <si>
    <t>Valor</t>
  </si>
  <si>
    <t>Factor divisor</t>
  </si>
  <si>
    <t xml:space="preserve">Limite min del gotero </t>
  </si>
  <si>
    <t>Dosis mL</t>
  </si>
  <si>
    <t>Dosis gotas</t>
  </si>
  <si>
    <t>mL por kilo</t>
  </si>
  <si>
    <t>Gotas redondeadas</t>
  </si>
  <si>
    <t>Se necesita pasar a gotas?</t>
  </si>
  <si>
    <t>Gotas redoneadas</t>
  </si>
  <si>
    <t>Dosis al dia</t>
  </si>
  <si>
    <t>Dosis mL Redondeadas</t>
  </si>
  <si>
    <t>Gotas</t>
  </si>
  <si>
    <t>mL</t>
  </si>
  <si>
    <t>ANSIEDAD</t>
  </si>
  <si>
    <t>CANCER</t>
  </si>
  <si>
    <t>EMESIS</t>
  </si>
  <si>
    <t>INAPETENCIA</t>
  </si>
  <si>
    <t>CONDICIONES GERIATRICAS</t>
  </si>
  <si>
    <t>ALERGIA</t>
  </si>
  <si>
    <t>ARTRITIS</t>
  </si>
  <si>
    <t>COMPORTAMIENTO</t>
  </si>
  <si>
    <t>CONDICIONES NEURODEGENERATIVAS</t>
  </si>
  <si>
    <t>CONVULSIONES</t>
  </si>
  <si>
    <t>PATOLOGIAS ARTICULARES</t>
  </si>
  <si>
    <t xml:space="preserve">DOLOR </t>
  </si>
  <si>
    <t>ENF. RENAL</t>
  </si>
  <si>
    <t>EPILEPSIA</t>
  </si>
  <si>
    <t>INFLAMACION</t>
  </si>
  <si>
    <t>DISFUNCION COGNITIVA</t>
  </si>
  <si>
    <t>SALUD CARDIOVASCULAR</t>
  </si>
  <si>
    <t>SISTEMA INMUNOLOGICO</t>
  </si>
  <si>
    <t>TRASTORNO GASTORINTESTINAL</t>
  </si>
  <si>
    <t>TRASTORNO DE MOVILIDAD</t>
  </si>
  <si>
    <t>ESTRÉS</t>
  </si>
  <si>
    <t>CONDICION</t>
  </si>
  <si>
    <t>mL/kg</t>
  </si>
  <si>
    <t>semana 1</t>
  </si>
  <si>
    <t>semana 2</t>
  </si>
  <si>
    <t>semana 3</t>
  </si>
  <si>
    <t>semana 4</t>
  </si>
  <si>
    <t>Dosis Total</t>
  </si>
  <si>
    <t>1/2 Dosis</t>
  </si>
  <si>
    <t>1/3 Dosis</t>
  </si>
  <si>
    <t>1/4 Dosis</t>
  </si>
  <si>
    <t>DOSIFICACION DE CADA SEMANA</t>
  </si>
  <si>
    <t>Condicion</t>
  </si>
  <si>
    <t>Dosis</t>
  </si>
  <si>
    <t>Presentación</t>
  </si>
  <si>
    <t>Presentacion</t>
  </si>
  <si>
    <t>mgs al día</t>
  </si>
  <si>
    <t>mg/kg</t>
  </si>
  <si>
    <t>total mg frasco</t>
  </si>
  <si>
    <t>mg en cada mL</t>
  </si>
  <si>
    <t>Frasco (1%) 15 mL 150 mg</t>
  </si>
  <si>
    <t>Frasco (2%) 15 mL 300 mg</t>
  </si>
  <si>
    <t>Frasco (1%) 30 mL 300 mg</t>
  </si>
  <si>
    <t>Concentración</t>
  </si>
  <si>
    <t>Favor dilienciar la siguinte información:</t>
  </si>
  <si>
    <t>Médico veterinario la posología recomedada por Klean Vet  es la siguiente:</t>
  </si>
  <si>
    <t>mgs son lo mismo al dia aunque cambie la presentación</t>
  </si>
  <si>
    <t>Dosis por frasco para determinar gotas por mg</t>
  </si>
  <si>
    <t>M.D.</t>
  </si>
  <si>
    <t>Nombre paciente:</t>
  </si>
  <si>
    <t>Identificación Propietario:</t>
  </si>
  <si>
    <t>Peso:</t>
  </si>
  <si>
    <t>Nombre Propietario:</t>
  </si>
  <si>
    <t>Edad:</t>
  </si>
  <si>
    <t>Telefonos:</t>
  </si>
  <si>
    <t>Raza:</t>
  </si>
  <si>
    <t>Direccion:</t>
  </si>
  <si>
    <t>Municipio:</t>
  </si>
  <si>
    <t>Departamento:</t>
  </si>
  <si>
    <t>Fecha de prescripción:</t>
  </si>
  <si>
    <t>Vigencia:</t>
  </si>
  <si>
    <t>Diagnostico:</t>
  </si>
  <si>
    <t>No. Historia Clinica</t>
  </si>
  <si>
    <t>No. Prescripción</t>
  </si>
  <si>
    <t>Tratamiento</t>
  </si>
  <si>
    <t>Cant</t>
  </si>
  <si>
    <t>Indicaciones</t>
  </si>
  <si>
    <t>Patologia</t>
  </si>
  <si>
    <t>Dolor</t>
  </si>
  <si>
    <r>
      <rPr>
        <b/>
        <sz val="9"/>
        <color rgb="FF000000"/>
        <rFont val="Arial"/>
        <family val="2"/>
      </rPr>
      <t>Advertencia</t>
    </r>
  </si>
  <si>
    <r>
      <rPr>
        <sz val="9"/>
        <color rgb="FF000000"/>
        <rFont val="Arial"/>
        <family val="2"/>
      </rPr>
      <t>Pacientes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Arial"/>
        <family val="2"/>
      </rPr>
      <t>con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Arial"/>
        <family val="2"/>
      </rPr>
      <t>historia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Arial"/>
        <family val="2"/>
      </rPr>
      <t>de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Arial"/>
        <family val="2"/>
      </rPr>
      <t>hipersensibilidad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Arial"/>
        <family val="2"/>
      </rPr>
      <t>a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Arial"/>
        <family val="2"/>
      </rPr>
      <t>los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Arial"/>
        <family val="2"/>
      </rPr>
      <t>componentes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Arial"/>
        <family val="2"/>
      </rPr>
      <t>del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Arial"/>
        <family val="2"/>
      </rPr>
      <t>producto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Arial"/>
        <family val="2"/>
      </rPr>
      <t>como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Arial"/>
        <family val="2"/>
      </rPr>
      <t>son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Arial"/>
        <family val="2"/>
      </rPr>
      <t>el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Arial"/>
        <family val="2"/>
      </rPr>
      <t>cannabidiol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Arial"/>
        <family val="2"/>
      </rPr>
      <t>(CBD)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Arial"/>
        <family val="2"/>
      </rPr>
      <t>tetrahidrocannabinol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Arial"/>
        <family val="2"/>
      </rPr>
      <t>(THC)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Arial"/>
        <family val="2"/>
      </rPr>
      <t>o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Arial"/>
        <family val="2"/>
      </rPr>
      <t>al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Arial"/>
        <family val="2"/>
      </rPr>
      <t>aceite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Arial"/>
        <family val="2"/>
      </rPr>
      <t>de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Arial"/>
        <family val="2"/>
      </rPr>
      <t>ajonjolí.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Arial"/>
        <family val="2"/>
      </rPr>
      <t>Advertencias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Arial"/>
        <family val="2"/>
      </rPr>
      <t>y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Arial"/>
        <family val="2"/>
      </rPr>
      <t>precauciones: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Arial"/>
        <family val="2"/>
      </rPr>
      <t>Para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Arial"/>
        <family val="2"/>
      </rPr>
      <t>mayor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Arial"/>
        <family val="2"/>
      </rPr>
      <t>información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Arial"/>
        <family val="2"/>
      </rPr>
      <t>revisar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Arial"/>
        <family val="2"/>
      </rPr>
      <t>nuestro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Arial"/>
        <family val="2"/>
      </rPr>
      <t>sitio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Arial"/>
        <family val="2"/>
      </rPr>
      <t>web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Arial"/>
        <family val="2"/>
      </rPr>
      <t>www.klean-vet.com</t>
    </r>
  </si>
  <si>
    <t>Uno (1)</t>
  </si>
  <si>
    <t>Telefono</t>
  </si>
  <si>
    <t>Email:</t>
  </si>
  <si>
    <t>Nombre MD. Veterinario:</t>
  </si>
  <si>
    <t>No. Tarjeta Profesional:</t>
  </si>
  <si>
    <t>Telefono:</t>
  </si>
  <si>
    <t>Paciente</t>
  </si>
  <si>
    <t>Especie</t>
  </si>
  <si>
    <t>Propietario</t>
  </si>
  <si>
    <t>Cedula</t>
  </si>
  <si>
    <t>Direccion</t>
  </si>
  <si>
    <t>Departamento</t>
  </si>
  <si>
    <t>Diagnostico</t>
  </si>
  <si>
    <t>Concetracion</t>
  </si>
  <si>
    <t>CBD: 1.0% p/v, THC &lt; 0.05% p/v: Preparación magistral no psicoactivo con base en extracto de cannabis full spectrum con concentración de cannabidiol (CBD) de 10mg/mL y una concentración de tetrahidrocannabinol (THC) menor a 0.5mg/mL.</t>
  </si>
  <si>
    <t>CBD: 2.0% p/v, THC &lt; 0.05% p/v: Preparación magistral no psicoactivo con base en extracto de cannabis full spectrum con concentración de cannabidiol (CBD) de 20mg/mL y una concentración de tetrahidrocannabinol (THC) menor a 0.5mg/mL.</t>
  </si>
  <si>
    <t>1%</t>
  </si>
  <si>
    <t>2%</t>
  </si>
  <si>
    <t>Base de Datos</t>
  </si>
  <si>
    <t>Edad</t>
  </si>
  <si>
    <t>Raza</t>
  </si>
  <si>
    <t>Fecha de prescripción</t>
  </si>
  <si>
    <t>Felino</t>
  </si>
  <si>
    <t>No Historia Clinica</t>
  </si>
  <si>
    <t>Lugar pescripcion</t>
  </si>
  <si>
    <t>Sexo</t>
  </si>
  <si>
    <t>Sexo:</t>
  </si>
  <si>
    <t>No. Prescripcion</t>
  </si>
  <si>
    <t>Cali</t>
  </si>
  <si>
    <t>Canino</t>
  </si>
  <si>
    <t>Macho</t>
  </si>
  <si>
    <t>Hembra</t>
  </si>
  <si>
    <t>Frasco (2%) 30 mL 600 mg</t>
  </si>
  <si>
    <t>Municipio</t>
  </si>
  <si>
    <t/>
  </si>
  <si>
    <t>Veterinario/Clinica</t>
  </si>
  <si>
    <t xml:space="preserve"> Propietario</t>
  </si>
  <si>
    <t>Mascota</t>
  </si>
  <si>
    <t>Consulta</t>
  </si>
  <si>
    <t>Valle</t>
  </si>
  <si>
    <t>30 días</t>
  </si>
  <si>
    <t>MD</t>
  </si>
  <si>
    <t>TP</t>
  </si>
  <si>
    <t>Calle 34</t>
  </si>
  <si>
    <t>Vijes</t>
  </si>
  <si>
    <t>Carrera 44 # 76-218</t>
  </si>
  <si>
    <t>Barranquilla</t>
  </si>
  <si>
    <t>vitalpetsveterinaria@gmail.com</t>
  </si>
  <si>
    <t>Paciente debe tomar vía oral 0.25mL dos (2) veces al día x diez (10) días. Puede aumentar a 0.5mL dos (2) veces al día de ser necesario después del día diez (10) y/o el día veinte (20). Si la concentración es de 10mg/mL. El Paciente debe tomar vía oral 0.5mL dos (2) veces al día x treinta (30) días. puede subir hasta 0.75mL al día.</t>
  </si>
  <si>
    <t>Paciente debe tomar vía oral 0.5mL dos (2) veces al día x treinta (30) días.</t>
  </si>
  <si>
    <t>Insomnio</t>
  </si>
  <si>
    <t>Paciente debe tomar vía oral 0.5mL una (1) hora antes de dormir x diez (10) días. Según sea necesario aumentar a 0.75mL una (1) hora antes de dormir x diez (10) días. Según sea necesario aumentar a 1.0mL una (1) hora antes de dormir x diez (10) días. Si es concentración de 10mg/mL. Paciente debe tomar vía oral 1.0mL antes de acostarse x treinta (30) días.</t>
  </si>
  <si>
    <t>TEPT – Trastorno Estrés Postraumático</t>
  </si>
  <si>
    <t>Paciente debe tomar vía oral 0.25mL dos (2) veces al día x diez (10) días. Aumentar a 0.5mL dos (2) veces al día x diez (10) días. Según sea necesario cambiar concentración a 20mg/mL y aumentar hasta 1.25mL dos (2) veces al día.</t>
  </si>
  <si>
    <t>Cefalea/Migraña</t>
  </si>
  <si>
    <t>Paciente debe tomar vía oral 0.5mL dos (2) veces al día x diez (10) días. Luego aumentar a 1.0 mL dos veces al día x 20 días.</t>
  </si>
  <si>
    <t>EPOC/Asma</t>
  </si>
  <si>
    <t>Paciente debe tomar vía oral 0.75mL una (1) vez al día x siete (7) días. Luego aumentar a 1.0mL una (1) vez al día x siete (7) días luego 1.25mL una (1) vez al día x quince (15) días.</t>
  </si>
  <si>
    <t>Sindrome agotamiento extremo</t>
  </si>
  <si>
    <t>Paciente debe tomar vía oral 0.5mL una (1) vez al día x diez (10) días, luego aumentar ar 0.75mL una (1) vez al día x diez (10) días y luego aumentar a 1.0mL una (1) vez al día.</t>
  </si>
  <si>
    <t>Cáncer/Cuidado paliativo</t>
  </si>
  <si>
    <t>Paciente debe tomar vía oral 1.0mL una (1) vez al día x treinta (30) días.</t>
  </si>
  <si>
    <t>Adicciones</t>
  </si>
  <si>
    <t>Paciente debe tomar vía oral 0.5mL una (1) vez al día x diez (10) días, luego aumentar a 1.0mL una (1) vez al día x 10 días y luego aumentar a 1.5mL una (1) vez al día.</t>
  </si>
  <si>
    <t>Epilepsia adultos</t>
  </si>
  <si>
    <t>Paciente debe tomar vía oral 0.5mL una (1) vez al día x diez (10) días, luego aumentar a 1.0mL una (1) vez al día x diez (10) días y luego aumentar a 1.5mL una (1) vez al día.</t>
  </si>
  <si>
    <t>Ansiedad</t>
  </si>
  <si>
    <t>Neuropatía</t>
  </si>
  <si>
    <t>Dolor Crónico</t>
  </si>
  <si>
    <t>Imsomnio</t>
  </si>
  <si>
    <t>Falta de apetito</t>
  </si>
  <si>
    <t>Intestino irritable</t>
  </si>
  <si>
    <t>x</t>
  </si>
  <si>
    <t>C1</t>
  </si>
  <si>
    <t>C2</t>
  </si>
  <si>
    <t>C3</t>
  </si>
  <si>
    <t>C4</t>
  </si>
  <si>
    <t>Dosis normal</t>
  </si>
  <si>
    <t>Dosis Critica</t>
  </si>
  <si>
    <t>Cedula:</t>
  </si>
  <si>
    <t>Fecha de Nacimiento:</t>
  </si>
  <si>
    <t xml:space="preserve"> Paciente</t>
  </si>
  <si>
    <t>Nombre</t>
  </si>
  <si>
    <t>Fecha de nacimiento</t>
  </si>
  <si>
    <t>Médico</t>
  </si>
  <si>
    <t>Nombre MD.:</t>
  </si>
  <si>
    <t>Normal</t>
  </si>
  <si>
    <t>Critica</t>
  </si>
  <si>
    <t>Categoria</t>
  </si>
  <si>
    <t>Pacientes con historia de hipersensibilidad a los componentes del producto como son el cannabidiol (CBD) tetrahidrocannabinol (THC) o al aceite de ajonjolí. Advertencias y precauciones: Para mayor información revisar nuestro sitio web www.klean-med.com</t>
  </si>
  <si>
    <t>Tratamiento requiere un seguimiento continuo durante el inicio del tratamiento. Cualquier novedad debe reportar al médico tratante. La siguiente consulta debe ser a los 20 días del inicio del tratamiento.</t>
  </si>
  <si>
    <t>Concentracion</t>
  </si>
  <si>
    <t>CBD: 1.0% p/v, THC &lt; 0.05% p/v -Preparación magistral no psicoactivo con base en extracto de cannabis full spectrum con concentración de cannabidiol (CBD) de 10mg/mL y una concentración de tetrahidrocannabinol (THC) menor a 0.5mg/mL.</t>
  </si>
  <si>
    <t xml:space="preserve">Frasco de 30mL contiene 300mg (10mg/mL) </t>
  </si>
  <si>
    <t>CBD: 20% p/v, THC &lt; 0.1% p/v - Preparación magistral no psicoactivo con base en extracto de cannabis full spectrum con concentración de cannabidiol (CBD) de 20mg/mL y una concentración de tetrahidrocannabinol (THC) menor a 1mg/mL.</t>
  </si>
  <si>
    <t xml:space="preserve">Frasco de 30mL contiene 600mg (20mg/mL) </t>
  </si>
  <si>
    <t>THC: 1.0% p/v, CBD &lt; 0.05% p/v - Preparación magistral psicoactiva con base en extracto de cannabis full spectrum, con concentraciones de cannabidiol (CBD) menor al 5mg/ml y tetrahidrocannabinol (THC) de 10mg/mL.</t>
  </si>
  <si>
    <t>THC: 2.0% p/v, CBD &lt; 0.1% p/v - Preparación magistral psicoactiva con base en extracto de cannabis full spectrum, con concentraciones de cannabidiol (CBD) menor al 1mg/ml y tetrahidrocannabinol (THC) de 20mg/mL.</t>
  </si>
  <si>
    <t>Dosis diaria</t>
  </si>
  <si>
    <t>Dos (2) veces al dia</t>
  </si>
  <si>
    <t>Una (1) vez al dia</t>
  </si>
  <si>
    <t>James Perez</t>
  </si>
  <si>
    <t>Patricia Duarte</t>
  </si>
  <si>
    <t>Carlos Calderon</t>
  </si>
  <si>
    <t>Calle 11a # 70-35</t>
  </si>
  <si>
    <t>Reina</t>
  </si>
  <si>
    <t>Criolla</t>
  </si>
  <si>
    <t>Jaime M Ortegón</t>
  </si>
  <si>
    <t>Carrera 17 No 145-10 Bogta DC</t>
  </si>
  <si>
    <t>Bogota</t>
  </si>
  <si>
    <t>jmopvet@yahoo.com</t>
  </si>
  <si>
    <t>Cundinamarca</t>
  </si>
  <si>
    <t>Cédula</t>
  </si>
  <si>
    <t>Vía de administración oral. Tratamiento requiere un seguimiento continuo durante el inicio del tratamiento por su acudiente. Cualquier novedad debe reportar al veterinario. La siguiente consulta debe ser a los 20 días del inicio del tratamiento.</t>
  </si>
  <si>
    <t>Ubicación:</t>
  </si>
  <si>
    <t>Dirección</t>
  </si>
  <si>
    <t>Unidades</t>
  </si>
  <si>
    <t>Unidades:</t>
  </si>
  <si>
    <t>Tratamiento:</t>
  </si>
  <si>
    <t>Equino razas medianas</t>
  </si>
  <si>
    <t>Equino razas grandes</t>
  </si>
  <si>
    <t>Equino razas pequeñas</t>
  </si>
  <si>
    <t>TABLA DE DOSIS PARA EQUINOS 2000 mg RAZAS MEDIAS criollo colombiano 300-600 kg</t>
  </si>
  <si>
    <t>PATOLOGIA</t>
  </si>
  <si>
    <t>DOLOR CRONICO</t>
  </si>
  <si>
    <t>TRASTORNOS GASTROINTESTINALES</t>
  </si>
  <si>
    <t>LAMINITIS</t>
  </si>
  <si>
    <t>DERMATITIS ATOPICA</t>
  </si>
  <si>
    <t>TABLA DE DOSIS PARA EQUINOS 2000 mg RAZAS PEQUEÑAS PONIS 150-300 kg</t>
  </si>
  <si>
    <t>TABLA DE DOSIS PARA EQUINOS 2000 mg RAZAS GRANDES 500-850 kg</t>
  </si>
  <si>
    <t>CBD: 3.0% p/v, THC &lt; 0.05% p/v: Preparación magistral no psicoactivo con base en extracto de cannabis full spectrum con concentración de cannabidiol (CBD) de 20mg/mL y una concentración de tetrahidrocannabinol (THC) menor a 0.5mg/mL.</t>
  </si>
  <si>
    <t>Especie:</t>
  </si>
  <si>
    <t>1 vez al día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</si>
  <si>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</t>
  </si>
  <si>
    <t>Equino</t>
  </si>
  <si>
    <t>2 veces al día.</t>
  </si>
  <si>
    <t>Criollo colombiano</t>
  </si>
  <si>
    <t>Frasco (3%) 100 mL 3000 mg</t>
  </si>
  <si>
    <t>Jose Jonattan Nañez</t>
  </si>
  <si>
    <t>jose.nanez@klean-vet.com</t>
  </si>
  <si>
    <t>Cr 41 # 57 Sur - 60</t>
  </si>
  <si>
    <t>Valle del Cauca</t>
  </si>
  <si>
    <t>Cali, Valle del Cauca</t>
  </si>
  <si>
    <t>Andrea Olaya Silva</t>
  </si>
  <si>
    <t>Km2 Via Chia Cota Sector San Remito</t>
  </si>
  <si>
    <t xml:space="preserve">Vereda Cerca e Piedra / Chia </t>
  </si>
  <si>
    <t>Dulce Quijote</t>
  </si>
  <si>
    <t>laminitis</t>
  </si>
  <si>
    <t>LAPCC-Ver-2022</t>
  </si>
  <si>
    <t>Laura Alejandra Duarte</t>
  </si>
  <si>
    <t>Carrera 100b #11a-99 214H</t>
  </si>
  <si>
    <t>laura.duarte@klean-vet.com</t>
  </si>
  <si>
    <t>Belkys Rivera</t>
  </si>
  <si>
    <t>Calle 39 N #2bN -65</t>
  </si>
  <si>
    <t>Valle Del Cauca</t>
  </si>
  <si>
    <t>Jose Johnattan Nañez</t>
  </si>
  <si>
    <t>Franco Calderon</t>
  </si>
  <si>
    <t>Jose.nanez@klean-vet.com</t>
  </si>
  <si>
    <t>Valentina Valencia López</t>
  </si>
  <si>
    <t>Av. 9A Norte # 17 - 25 | KANAVII FARMA</t>
  </si>
  <si>
    <t>kanavii.lulos@gmail.com</t>
  </si>
  <si>
    <t>Johana Molina</t>
  </si>
  <si>
    <t>vitalpetesveterinaria@gmail,com</t>
  </si>
  <si>
    <t>Atlantico</t>
  </si>
  <si>
    <t>Email</t>
  </si>
  <si>
    <t>Criollo</t>
  </si>
  <si>
    <t>Luis H. Ortiz</t>
  </si>
  <si>
    <t>Calle10 #31-143</t>
  </si>
  <si>
    <t>lhog88@gmail.com</t>
  </si>
  <si>
    <t>Camilo A Artunduaga Mafla</t>
  </si>
  <si>
    <t xml:space="preserve">Calle 12A # 108-130 </t>
  </si>
  <si>
    <t>Camilo.Artunduaga@Klean-vet.com</t>
  </si>
  <si>
    <t>Willy</t>
  </si>
  <si>
    <t>AGREGAR BARRIO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</si>
</sst>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/>
  <fonts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2"/>
      <name val="Arial Narrow"/>
      <family val="2"/>
    </font>
    <font>
      <sz val="12"/>
      <color rgb="FF2F5597"/>
      <name val="Arial Narrow"/>
      <family val="2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0"/>
      <color theme="1"/>
      <name val="Arial Narrow"/>
      <family val="2"/>
    </font>
    <font>
      <sz val="11"/>
      <color theme="5" tint="-0.249977111117893"/>
      <name val="Calibri"/>
      <family val="2"/>
      <scheme val="minor"/>
    </font>
    <font>
      <b/>
      <sz val="14"/>
      <color theme="1"/>
      <name val="Arial Narrow"/>
      <family val="2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1"/>
      <name val="Arial Narrow"/>
      <family val="2"/>
    </font>
    <font>
      <b/>
      <sz val="9"/>
      <color rgb="FF000000"/>
      <name val="Arial"/>
      <family val="2"/>
    </font>
    <font>
      <sz val="9"/>
      <color rgb="FF000000"/>
      <name val="Arial"/>
      <family val="2"/>
    </font>
    <font>
      <sz val="10"/>
      <color rgb="FF222222"/>
      <name val="Source Sans Pro"/>
      <family val="2"/>
    </font>
    <font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0"/>
      <name val="Georgia Pro"/>
      <family val="1"/>
    </font>
    <font>
      <sz val="11"/>
      <color theme="1"/>
      <name val="Blackadder ITC"/>
      <family val="5"/>
    </font>
    <font>
      <sz val="11"/>
      <color theme="1"/>
      <name val="Gotica"/>
    </font>
    <font>
      <u/>
      <sz val="11"/>
      <color theme="10"/>
      <name val="Calibri"/>
      <family val="2"/>
      <scheme val="minor"/>
    </font>
    <font>
      <b/>
      <sz val="12"/>
      <color rgb="FF1E1E1E"/>
      <name val="Segoe UI"/>
      <family val="2"/>
    </font>
    <font>
      <sz val="10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4"/>
      <color theme="1"/>
      <name val="Blackadder ITC"/>
      <family val="5"/>
    </font>
    <font>
      <b/>
      <sz val="18"/>
      <name val="Arial Narrow"/>
      <family val="2"/>
    </font>
    <font>
      <b/>
      <sz val="12"/>
      <name val="Arial Narrow"/>
      <family val="2"/>
    </font>
    <font>
      <b/>
      <sz val="14"/>
      <color theme="1"/>
      <name val="Georgia Pro"/>
      <family val="1"/>
    </font>
    <font>
      <b/>
      <sz val="18"/>
      <color theme="1"/>
      <name val="Calibri"/>
      <family val="2"/>
      <scheme val="minor"/>
    </font>
    <font>
      <b/>
      <sz val="12"/>
      <color theme="0"/>
      <name val="Georgia Pro"/>
      <family val="1"/>
    </font>
  </fonts>
  <fills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</fills>
  <borders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7"/>
      </left>
      <right/>
      <top style="thin">
        <color theme="7"/>
      </top>
      <bottom/>
      <diagonal/>
    </border>
    <border>
      <left/>
      <right/>
      <top style="thin">
        <color theme="7"/>
      </top>
      <bottom/>
      <diagonal/>
    </border>
    <border>
      <left/>
      <right style="thin">
        <color theme="7"/>
      </right>
      <top style="thin">
        <color theme="7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EEEEEE"/>
      </left>
      <right style="medium">
        <color rgb="FFEEEEEE"/>
      </right>
      <top style="medium">
        <color rgb="FFEEEEEE"/>
      </top>
      <bottom style="medium">
        <color rgb="FFEEEEEE"/>
      </bottom>
      <diagonal/>
    </border>
    <border>
      <left style="medium">
        <color rgb="FFDDDDDD"/>
      </left>
      <right style="medium">
        <color rgb="FFEEEEEE"/>
      </right>
      <top style="medium">
        <color rgb="FFDDDDDD"/>
      </top>
      <bottom style="medium">
        <color rgb="FFEEEEEE"/>
      </bottom>
      <diagonal/>
    </border>
    <border>
      <left style="medium">
        <color rgb="FFEEEEEE"/>
      </left>
      <right style="medium">
        <color rgb="FFEEEEEE"/>
      </right>
      <top style="medium">
        <color rgb="FFDDDDDD"/>
      </top>
      <bottom style="medium">
        <color rgb="FFEEEEEE"/>
      </bottom>
      <diagonal/>
    </border>
    <border>
      <left/>
      <right style="medium">
        <color rgb="FFDDDDDD"/>
      </right>
      <top style="medium">
        <color rgb="FFDDDDDD"/>
      </top>
      <bottom/>
      <diagonal/>
    </border>
    <border>
      <left style="medium">
        <color rgb="FFEEEEEE"/>
      </left>
      <right style="medium">
        <color rgb="FFEEEEEE"/>
      </right>
      <top style="medium">
        <color rgb="FFEEEEEE"/>
      </top>
      <bottom style="medium">
        <color rgb="FFDDDDDD"/>
      </bottom>
      <diagonal/>
    </border>
    <border>
      <left style="medium">
        <color rgb="FFEEEEEE"/>
      </left>
      <right style="medium">
        <color rgb="FFDDDDDD"/>
      </right>
      <top style="medium">
        <color rgb="FFEEEEEE"/>
      </top>
      <bottom style="medium">
        <color rgb="FFDDDDDD"/>
      </bottom>
      <diagonal/>
    </border>
    <border>
      <left style="medium">
        <color rgb="FFDDDDDD"/>
      </left>
      <right style="medium">
        <color rgb="FFEEEEEE"/>
      </right>
      <top style="medium">
        <color rgb="FFDDDDDD"/>
      </top>
      <bottom style="medium">
        <color rgb="FFDDDDDD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rgb="FFEEEEEE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39" fillId="0" borderId="0" applyNumberFormat="0" applyFill="0" applyBorder="0" applyAlignment="0" applyProtection="0"/>
  </cellStyleXfs>
  <cellXfs>
    <xf numFmtId="0" fontId="0" fillId="0" borderId="0" xfId="0"/>
    <xf numFmtId="0" fontId="0" fillId="0" borderId="0" xfId="0" applyAlignment="1">
      <alignment horizontal="center" wrapText="1"/>
    </xf>
    <xf numFmtId="0" fontId="16" fillId="0" borderId="0" xfId="0" applyFont="1" applyAlignment="1">
      <alignment horizontal="center" wrapText="1"/>
    </xf>
    <xf numFmtId="0" fontId="0" fillId="0" borderId="0" xfId="0" applyAlignment="1">
      <alignment horizontal="center"/>
    </xf>
    <xf numFmtId="0" fontId="16" fillId="0" borderId="0" xfId="0" applyFont="1" applyAlignment="1">
      <alignment horizontal="center" vertical="center" wrapText="1"/>
    </xf>
    <xf numFmtId="0" fontId="16" fillId="0" borderId="0" xfId="0" applyFont="1" applyAlignment="1">
      <alignment horizontal="center" vertical="center"/>
    </xf>
    <xf numFmtId="0" fontId="16" fillId="33" borderId="0" xfId="0" applyFont="1" applyFill="1" applyAlignment="1">
      <alignment horizontal="center" wrapText="1"/>
    </xf>
    <xf numFmtId="0" fontId="0" fillId="33" borderId="0" xfId="0" applyFill="1" applyAlignment="1">
      <alignment horizontal="center"/>
    </xf>
    <xf numFmtId="0" fontId="19" fillId="0" borderId="0" xfId="0" applyFont="1" applyAlignment="1">
      <alignment horizontal="center"/>
    </xf>
    <xf numFmtId="0" fontId="20" fillId="34" borderId="10" xfId="0" applyFont="1" applyFill="1" applyBorder="1" applyAlignment="1">
      <alignment horizontal="center" vertical="center" wrapText="1"/>
    </xf>
    <xf numFmtId="0" fontId="21" fillId="0" borderId="11" xfId="0" applyFont="1" applyBorder="1" applyAlignment="1">
      <alignment horizontal="center" vertical="center" wrapText="1"/>
    </xf>
    <xf numFmtId="0" fontId="22" fillId="0" borderId="12" xfId="0" applyFont="1" applyBorder="1" applyAlignment="1">
      <alignment horizontal="center"/>
    </xf>
    <xf numFmtId="0" fontId="24" fillId="35" borderId="0" xfId="0" applyFont="1" applyFill="1" applyAlignment="1">
      <alignment horizontal="center"/>
    </xf>
    <xf numFmtId="0" fontId="0" fillId="37" borderId="0" xfId="0" applyFill="1"/>
    <xf numFmtId="16" fontId="0" fillId="0" borderId="0" xfId="0" applyNumberFormat="1"/>
    <xf numFmtId="0" fontId="0" fillId="38" borderId="0" xfId="0" applyFill="1"/>
    <xf numFmtId="0" fontId="0" fillId="36" borderId="0" xfId="0" applyFill="1"/>
    <xf numFmtId="0" fontId="0" fillId="39" borderId="12" xfId="0" applyFill="1" applyBorder="1"/>
    <xf numFmtId="0" fontId="25" fillId="39" borderId="12" xfId="0" applyFont="1" applyFill="1" applyBorder="1"/>
    <xf numFmtId="0" fontId="23" fillId="0" borderId="0" xfId="0" applyFont="1" applyAlignment="1">
      <alignment horizontal="center"/>
    </xf>
    <xf numFmtId="0" fontId="26" fillId="35" borderId="12" xfId="0" applyFont="1" applyFill="1" applyBorder="1" applyAlignment="1">
      <alignment horizontal="center"/>
    </xf>
    <xf numFmtId="0" fontId="0" fillId="39" borderId="0" xfId="0" applyFill="1"/>
    <xf numFmtId="0" fontId="17" fillId="39" borderId="0" xfId="0" applyFont="1" applyFill="1"/>
    <xf numFmtId="0" fontId="29" fillId="0" borderId="11" xfId="0" applyFont="1" applyBorder="1" applyAlignment="1">
      <alignment vertical="center" wrapText="1"/>
    </xf>
    <xf numFmtId="1" fontId="0" fillId="0" borderId="0" xfId="0" applyNumberFormat="1" applyAlignment="1">
      <alignment horizontal="center"/>
    </xf>
    <xf numFmtId="0" fontId="28" fillId="40" borderId="17" xfId="0" applyFont="1" applyFill="1" applyBorder="1" applyAlignment="1">
      <alignment horizontal="center"/>
    </xf>
    <xf numFmtId="0" fontId="0" fillId="41" borderId="10" xfId="0" applyFill="1" applyBorder="1"/>
    <xf numFmtId="0" fontId="27" fillId="40" borderId="18" xfId="0" applyFont="1" applyFill="1" applyBorder="1" applyAlignment="1">
      <alignment horizontal="center" wrapText="1"/>
    </xf>
    <xf numFmtId="0" fontId="27" fillId="40" borderId="19" xfId="0" applyFont="1" applyFill="1" applyBorder="1" applyAlignment="1">
      <alignment horizontal="center" wrapText="1"/>
    </xf>
    <xf numFmtId="0" fontId="28" fillId="40" borderId="19" xfId="0" applyFont="1" applyFill="1" applyBorder="1"/>
    <xf numFmtId="0" fontId="28" fillId="40" borderId="20" xfId="0" applyFont="1" applyFill="1" applyBorder="1" applyAlignment="1">
      <alignment horizontal="center"/>
    </xf>
    <xf numFmtId="0" fontId="0" fillId="41" borderId="21" xfId="0" applyFill="1" applyBorder="1" applyAlignment="1">
      <alignment horizontal="center" wrapText="1"/>
    </xf>
    <xf numFmtId="0" fontId="0" fillId="41" borderId="22" xfId="0" applyFill="1" applyBorder="1" applyAlignment="1">
      <alignment horizontal="center"/>
    </xf>
    <xf numFmtId="0" fontId="0" fillId="41" borderId="23" xfId="0" applyFill="1" applyBorder="1" applyAlignment="1">
      <alignment horizontal="center"/>
    </xf>
    <xf numFmtId="0" fontId="31" fillId="0" borderId="0" xfId="0" applyFont="1" applyAlignment="1">
      <alignment vertical="top"/>
    </xf>
    <xf numFmtId="0" fontId="30" fillId="0" borderId="0" xfId="0" applyFont="1" applyAlignment="1">
      <alignment horizontal="left" vertical="top"/>
    </xf>
    <xf numFmtId="0" fontId="30" fillId="0" borderId="0" xfId="0" applyFont="1" applyAlignment="1">
      <alignment vertical="top"/>
    </xf>
    <xf numFmtId="0" fontId="0" fillId="0" borderId="13" xfId="0" applyBorder="1"/>
    <xf numFmtId="0" fontId="30" fillId="0" borderId="12" xfId="0" applyFont="1" applyBorder="1" applyAlignment="1">
      <alignment vertical="top"/>
    </xf>
    <xf numFmtId="0" fontId="30" fillId="0" borderId="12" xfId="0" applyFont="1" applyBorder="1" applyAlignment="1">
      <alignment horizontal="center" vertical="top"/>
    </xf>
    <xf numFmtId="0" fontId="0" fillId="39" borderId="14" xfId="0" applyFill="1" applyBorder="1" applyAlignment="1">
      <alignment wrapText="1"/>
    </xf>
    <xf numFmtId="0" fontId="0" fillId="39" borderId="15" xfId="0" applyFill="1" applyBorder="1" applyAlignment="1">
      <alignment wrapText="1"/>
    </xf>
    <xf numFmtId="0" fontId="0" fillId="39" borderId="16" xfId="0" applyFill="1" applyBorder="1" applyAlignment="1">
      <alignment wrapText="1"/>
    </xf>
    <xf numFmtId="0" fontId="30" fillId="0" borderId="12" xfId="0" applyFont="1" applyBorder="1" applyAlignment="1">
      <alignment horizontal="center" vertical="center" wrapText="1"/>
    </xf>
    <xf numFmtId="49" fontId="0" fillId="0" borderId="0" xfId="0" applyNumberFormat="1"/>
    <xf numFmtId="0" fontId="13" fillId="42" borderId="26" xfId="0" applyFont="1" applyFill="1" applyBorder="1"/>
    <xf numFmtId="0" fontId="13" fillId="42" borderId="27" xfId="0" applyFont="1" applyFill="1" applyBorder="1"/>
    <xf numFmtId="0" fontId="13" fillId="42" borderId="28" xfId="0" applyFont="1" applyFill="1" applyBorder="1"/>
    <xf numFmtId="0" fontId="0" fillId="43" borderId="0" xfId="0" applyFill="1"/>
    <xf numFmtId="0" fontId="0" fillId="43" borderId="0" xfId="0" applyFill="1" applyAlignment="1">
      <alignment horizontal="left"/>
    </xf>
    <xf numFmtId="14" fontId="0" fillId="43" borderId="0" xfId="0" applyNumberFormat="1" applyFill="1" applyAlignment="1">
      <alignment horizontal="left"/>
    </xf>
    <xf numFmtId="14" fontId="0" fillId="43" borderId="0" xfId="0" applyNumberFormat="1" applyFill="1"/>
    <xf numFmtId="0" fontId="34" fillId="39" borderId="14" xfId="0" applyFont="1" applyFill="1" applyBorder="1"/>
    <xf numFmtId="0" fontId="34" fillId="39" borderId="29" xfId="0" applyFont="1" applyFill="1" applyBorder="1"/>
    <xf numFmtId="0" fontId="34" fillId="39" borderId="30" xfId="0" applyFont="1" applyFill="1" applyBorder="1"/>
    <xf numFmtId="0" fontId="34" fillId="43" borderId="12" xfId="0" applyFont="1" applyFill="1" applyBorder="1"/>
    <xf numFmtId="0" fontId="35" fillId="39" borderId="33" xfId="0" applyFont="1" applyFill="1" applyBorder="1" applyAlignment="1">
      <alignment horizontal="center" vertical="center"/>
    </xf>
    <xf numFmtId="0" fontId="35" fillId="39" borderId="34" xfId="0" applyFont="1" applyFill="1" applyBorder="1" applyAlignment="1">
      <alignment horizontal="center" vertical="center"/>
    </xf>
    <xf numFmtId="0" fontId="35" fillId="39" borderId="14" xfId="0" applyFont="1" applyFill="1" applyBorder="1"/>
    <xf numFmtId="0" fontId="35" fillId="39" borderId="30" xfId="0" applyFont="1" applyFill="1" applyBorder="1"/>
    <xf numFmtId="0" fontId="35" fillId="39" borderId="32" xfId="0" applyFont="1" applyFill="1" applyBorder="1" applyAlignment="1">
      <alignment horizontal="center" vertical="center"/>
    </xf>
    <xf numFmtId="0" fontId="31" fillId="0" borderId="0" xfId="0" applyFont="1" applyAlignment="1">
      <alignment horizontal="left" vertical="top"/>
    </xf>
    <xf numFmtId="0" fontId="0" fillId="0" borderId="0" xfId="0" applyAlignment="1">
      <alignment horizontal="right"/>
    </xf>
    <xf numFmtId="0" fontId="38" fillId="0" borderId="0" xfId="0" applyFont="1"/>
    <xf numFmtId="0" fontId="38" fillId="0" borderId="13" xfId="0" applyFont="1" applyBorder="1"/>
    <xf numFmtId="14" fontId="35" fillId="43" borderId="12" xfId="0" applyNumberFormat="1" applyFont="1" applyFill="1" applyBorder="1" applyAlignment="1">
      <alignment horizontal="right" vertical="center"/>
    </xf>
    <xf numFmtId="0" fontId="35" fillId="43" borderId="12" xfId="0" applyFont="1" applyFill="1" applyBorder="1" applyAlignment="1">
      <alignment horizontal="right" vertical="center"/>
    </xf>
    <xf numFmtId="0" fontId="39" fillId="0" borderId="11" xfId="42" applyFill="1" applyBorder="1" applyAlignment="1">
      <alignment horizontal="center"/>
    </xf>
    <xf numFmtId="0" fontId="32" fillId="0" borderId="35" xfId="0" applyFont="1" applyBorder="1" applyAlignment="1">
      <alignment vertical="top" wrapText="1"/>
    </xf>
    <xf numFmtId="0" fontId="32" fillId="0" borderId="36" xfId="0" applyFont="1" applyBorder="1" applyAlignment="1">
      <alignment vertical="top" wrapText="1"/>
    </xf>
    <xf numFmtId="0" fontId="32" fillId="0" borderId="37" xfId="0" applyFont="1" applyBorder="1" applyAlignment="1">
      <alignment vertical="top" wrapText="1"/>
    </xf>
    <xf numFmtId="0" fontId="0" fillId="0" borderId="38" xfId="0" applyBorder="1"/>
    <xf numFmtId="0" fontId="32" fillId="0" borderId="39" xfId="0" applyFont="1" applyBorder="1" applyAlignment="1">
      <alignment vertical="top" wrapText="1"/>
    </xf>
    <xf numFmtId="0" fontId="32" fillId="0" borderId="40" xfId="0" applyFont="1" applyBorder="1" applyAlignment="1">
      <alignment vertical="top" wrapText="1"/>
    </xf>
    <xf numFmtId="0" fontId="39" fillId="0" borderId="0" xfId="42" applyAlignment="1">
      <alignment horizontal="center" vertical="center" wrapText="1"/>
    </xf>
    <xf numFmtId="9" fontId="32" fillId="0" borderId="39" xfId="0" applyNumberFormat="1" applyFont="1" applyBorder="1" applyAlignment="1">
      <alignment vertical="top" wrapText="1"/>
    </xf>
    <xf numFmtId="0" fontId="32" fillId="0" borderId="41" xfId="0" applyFont="1" applyBorder="1" applyAlignment="1">
      <alignment vertical="top" wrapText="1"/>
    </xf>
    <xf numFmtId="0" fontId="16" fillId="0" borderId="0" xfId="0" applyFont="1"/>
    <xf numFmtId="14" fontId="35" fillId="39" borderId="33" xfId="0" applyNumberFormat="1" applyFont="1" applyFill="1" applyBorder="1" applyAlignment="1">
      <alignment horizontal="center" vertical="center"/>
    </xf>
    <xf numFmtId="0" fontId="40" fillId="0" borderId="0" xfId="0" applyFont="1"/>
    <xf numFmtId="0" fontId="35" fillId="39" borderId="29" xfId="0" applyFont="1" applyFill="1" applyBorder="1"/>
    <xf numFmtId="0" fontId="35" fillId="39" borderId="16" xfId="0" applyFont="1" applyFill="1" applyBorder="1" applyAlignment="1">
      <alignment horizontal="center" vertical="center"/>
    </xf>
    <xf numFmtId="0" fontId="32" fillId="0" borderId="0" xfId="0" applyFont="1" applyAlignment="1">
      <alignment vertical="top" wrapText="1"/>
    </xf>
    <xf numFmtId="0" fontId="0" fillId="0" borderId="0" xfId="0" applyAlignment="1">
      <alignment vertical="center"/>
    </xf>
    <xf numFmtId="0" fontId="32" fillId="0" borderId="37" xfId="0" applyFont="1" applyBorder="1" applyAlignment="1">
      <alignment vertical="center" wrapText="1"/>
    </xf>
    <xf numFmtId="0" fontId="0" fillId="0" borderId="38" xfId="0" applyBorder="1" applyAlignment="1">
      <alignment vertical="center"/>
    </xf>
    <xf numFmtId="0" fontId="32" fillId="0" borderId="35" xfId="0" applyFont="1" applyBorder="1" applyAlignment="1">
      <alignment vertical="center" wrapText="1"/>
    </xf>
    <xf numFmtId="0" fontId="32" fillId="0" borderId="39" xfId="0" applyFont="1" applyBorder="1" applyAlignment="1">
      <alignment vertical="center" wrapText="1"/>
    </xf>
    <xf numFmtId="0" fontId="32" fillId="0" borderId="40" xfId="0" applyFont="1" applyBorder="1" applyAlignment="1">
      <alignment vertical="center" wrapText="1"/>
    </xf>
    <xf numFmtId="9" fontId="32" fillId="0" borderId="37" xfId="0" applyNumberFormat="1" applyFont="1" applyBorder="1" applyAlignment="1">
      <alignment vertical="center" wrapText="1"/>
    </xf>
    <xf numFmtId="0" fontId="27" fillId="45" borderId="18" xfId="0" applyFont="1" applyFill="1" applyBorder="1" applyAlignment="1">
      <alignment horizontal="center" wrapText="1"/>
    </xf>
    <xf numFmtId="0" fontId="27" fillId="45" borderId="19" xfId="0" applyFont="1" applyFill="1" applyBorder="1" applyAlignment="1">
      <alignment horizontal="center" wrapText="1"/>
    </xf>
    <xf numFmtId="0" fontId="28" fillId="45" borderId="19" xfId="0" applyFont="1" applyFill="1" applyBorder="1"/>
    <xf numFmtId="0" fontId="28" fillId="45" borderId="20" xfId="0" applyFont="1" applyFill="1" applyBorder="1" applyAlignment="1">
      <alignment horizontal="center"/>
    </xf>
    <xf numFmtId="0" fontId="28" fillId="45" borderId="17" xfId="0" applyFont="1" applyFill="1" applyBorder="1" applyAlignment="1">
      <alignment horizontal="center"/>
    </xf>
    <xf numFmtId="0" fontId="0" fillId="46" borderId="21" xfId="0" applyFill="1" applyBorder="1" applyAlignment="1">
      <alignment horizontal="center" wrapText="1"/>
    </xf>
    <xf numFmtId="0" fontId="0" fillId="46" borderId="22" xfId="0" applyFill="1" applyBorder="1" applyAlignment="1">
      <alignment horizontal="center"/>
    </xf>
    <xf numFmtId="0" fontId="0" fillId="46" borderId="23" xfId="0" applyFill="1" applyBorder="1" applyAlignment="1">
      <alignment horizontal="center"/>
    </xf>
    <xf numFmtId="0" fontId="0" fillId="46" borderId="10" xfId="0" applyFill="1" applyBorder="1"/>
    <xf numFmtId="0" fontId="0" fillId="39" borderId="14" xfId="0" applyFill="1" applyBorder="1" applyAlignment="1">
      <alignment horizontal="left" wrapText="1"/>
    </xf>
    <xf numFmtId="0" fontId="0" fillId="39" borderId="15" xfId="0" applyFill="1" applyBorder="1" applyAlignment="1">
      <alignment horizontal="left" wrapText="1"/>
    </xf>
    <xf numFmtId="0" fontId="0" fillId="39" borderId="16" xfId="0" applyFill="1" applyBorder="1" applyAlignment="1">
      <alignment horizontal="left" wrapText="1"/>
    </xf>
    <xf numFmtId="0" fontId="0" fillId="39" borderId="31" xfId="0" applyFill="1" applyBorder="1" applyAlignment="1">
      <alignment vertical="center" wrapText="1"/>
    </xf>
    <xf numFmtId="0" fontId="0" fillId="39" borderId="44" xfId="0" applyFill="1" applyBorder="1" applyAlignment="1">
      <alignment vertical="center" wrapText="1"/>
    </xf>
    <xf numFmtId="0" fontId="0" fillId="39" borderId="32" xfId="0" applyFill="1" applyBorder="1" applyAlignment="1">
      <alignment vertical="center" wrapText="1"/>
    </xf>
    <xf numFmtId="0" fontId="32" fillId="0" borderId="45" xfId="0" applyFont="1" applyBorder="1" applyAlignment="1">
      <alignment vertical="top" wrapText="1"/>
    </xf>
    <xf numFmtId="0" fontId="31" fillId="0" borderId="24" xfId="0" applyFont="1" applyBorder="1" applyAlignment="1">
      <alignment vertical="top"/>
    </xf>
    <xf numFmtId="0" fontId="31" fillId="0" borderId="42" xfId="0" applyFont="1" applyBorder="1" applyAlignment="1">
      <alignment vertical="top"/>
    </xf>
    <xf numFmtId="0" fontId="31" fillId="0" borderId="25" xfId="0" applyFont="1" applyBorder="1" applyAlignment="1">
      <alignment vertical="top"/>
    </xf>
    <xf numFmtId="0" fontId="43" fillId="0" borderId="12" xfId="0" applyFont="1" applyBorder="1" applyAlignment="1">
      <alignment horizontal="center" vertical="center" wrapText="1"/>
    </xf>
    <xf numFmtId="0" fontId="0" fillId="0" borderId="0" xfId="0" applyAlignment="1">
      <alignment horizontal="left"/>
    </xf>
    <xf numFmtId="0" fontId="44" fillId="0" borderId="0" xfId="0" applyFont="1" applyAlignment="1">
      <alignment vertical="center"/>
    </xf>
    <xf numFmtId="0" fontId="0" fillId="0" borderId="13" xfId="0" applyBorder="1" applyAlignment="1">
      <alignment vertical="center"/>
    </xf>
    <xf numFmtId="0" fontId="30" fillId="0" borderId="12" xfId="0" applyFont="1" applyBorder="1" applyAlignment="1">
      <alignment vertical="center"/>
    </xf>
    <xf numFmtId="0" fontId="16" fillId="0" borderId="0" xfId="0" applyFont="1" applyAlignment="1">
      <alignment horizontal="right"/>
    </xf>
    <xf numFmtId="0" fontId="30" fillId="0" borderId="0" xfId="0" applyFont="1" applyAlignment="1">
      <alignment horizontal="left" vertical="top" wrapText="1"/>
    </xf>
    <xf numFmtId="0" fontId="16" fillId="43" borderId="0" xfId="0" applyFont="1" applyFill="1" applyAlignment="1">
      <alignment horizontal="left"/>
    </xf>
    <xf numFmtId="0" fontId="35" fillId="39" borderId="46" xfId="0" applyFont="1" applyFill="1" applyBorder="1" applyAlignment="1">
      <alignment horizontal="center" vertical="center"/>
    </xf>
    <xf numFmtId="0" fontId="35" fillId="39" borderId="10" xfId="0" applyFont="1" applyFill="1" applyBorder="1" applyAlignment="1">
      <alignment horizontal="center" vertical="center"/>
    </xf>
    <xf numFmtId="0" fontId="35" fillId="39" borderId="17" xfId="0" applyFont="1" applyFill="1" applyBorder="1" applyAlignment="1">
      <alignment horizontal="center" vertical="center"/>
    </xf>
    <xf numFmtId="0" fontId="34" fillId="39" borderId="14" xfId="0" applyFont="1" applyFill="1" applyBorder="1" applyAlignment="1">
      <alignment horizontal="center"/>
    </xf>
    <xf numFmtId="0" fontId="34" fillId="39" borderId="30" xfId="0" applyFont="1" applyFill="1" applyBorder="1" applyAlignment="1">
      <alignment horizontal="center"/>
    </xf>
    <xf numFmtId="0" fontId="34" fillId="39" borderId="14" xfId="0" applyFont="1" applyFill="1" applyBorder="1" applyAlignment="1">
      <alignment horizontal="left"/>
    </xf>
    <xf numFmtId="0" fontId="34" fillId="39" borderId="29" xfId="0" applyFont="1" applyFill="1" applyBorder="1" applyAlignment="1">
      <alignment horizontal="left"/>
    </xf>
    <xf numFmtId="0" fontId="34" fillId="39" borderId="30" xfId="0" applyFont="1" applyFill="1" applyBorder="1" applyAlignment="1">
      <alignment horizontal="left"/>
    </xf>
    <xf numFmtId="0" fontId="16" fillId="0" borderId="0" xfId="0" applyFont="1" applyAlignment="1">
      <alignment horizontal="left" vertical="center"/>
    </xf>
    <xf numFmtId="0" fontId="42" fillId="0" borderId="13" xfId="0" applyFont="1" applyBorder="1" applyAlignment="1">
      <alignment vertical="center" wrapText="1"/>
    </xf>
    <xf numFmtId="0" fontId="30" fillId="0" borderId="0" xfId="0" applyFont="1" applyAlignment="1">
      <alignment vertical="center"/>
    </xf>
    <xf numFmtId="0" fontId="43" fillId="0" borderId="12" xfId="0" applyFont="1" applyBorder="1" applyAlignment="1">
      <alignment horizontal="center" vertical="center"/>
    </xf>
    <xf numFmtId="0" fontId="42" fillId="0" borderId="0" xfId="0" applyFont="1" applyAlignment="1">
      <alignment horizontal="left" vertical="top"/>
    </xf>
    <xf numFmtId="0" fontId="46" fillId="34" borderId="0" xfId="0" applyFont="1" applyFill="1" applyAlignment="1">
      <alignment horizontal="center" vertical="center" wrapText="1"/>
    </xf>
    <xf numFmtId="0" fontId="20" fillId="34" borderId="12" xfId="0" applyFont="1" applyFill="1" applyBorder="1" applyAlignment="1">
      <alignment horizontal="center" vertical="center" wrapText="1"/>
    </xf>
    <xf numFmtId="0" fontId="45" fillId="34" borderId="47" xfId="0" applyFont="1" applyFill="1" applyBorder="1" applyAlignment="1">
      <alignment horizontal="center" vertical="center" wrapText="1"/>
    </xf>
    <xf numFmtId="0" fontId="24" fillId="35" borderId="47" xfId="0" applyFont="1" applyFill="1" applyBorder="1" applyAlignment="1">
      <alignment horizontal="center"/>
    </xf>
    <xf numFmtId="0" fontId="0" fillId="47" borderId="12" xfId="0" applyFill="1" applyBorder="1" applyAlignment="1">
      <alignment horizontal="center"/>
    </xf>
    <xf numFmtId="0" fontId="0" fillId="47" borderId="0" xfId="0" applyFill="1" applyAlignment="1">
      <alignment horizontal="center"/>
    </xf>
    <xf numFmtId="0" fontId="34" fillId="46" borderId="14" xfId="0" applyFont="1" applyFill="1" applyBorder="1"/>
    <xf numFmtId="0" fontId="35" fillId="46" borderId="46" xfId="0" applyFont="1" applyFill="1" applyBorder="1" applyAlignment="1">
      <alignment horizontal="center" vertical="center"/>
    </xf>
    <xf numFmtId="0" fontId="34" fillId="46" borderId="29" xfId="0" applyFont="1" applyFill="1" applyBorder="1"/>
    <xf numFmtId="0" fontId="35" fillId="46" borderId="10" xfId="0" applyFont="1" applyFill="1" applyBorder="1" applyAlignment="1">
      <alignment horizontal="center" vertical="center"/>
    </xf>
    <xf numFmtId="0" fontId="39" fillId="46" borderId="46" xfId="42" applyFill="1" applyBorder="1" applyAlignment="1">
      <alignment horizontal="center"/>
    </xf>
    <xf numFmtId="0" fontId="34" fillId="46" borderId="30" xfId="0" applyFont="1" applyFill="1" applyBorder="1"/>
    <xf numFmtId="0" fontId="36" fillId="48" borderId="32" xfId="0" applyFont="1" applyFill="1" applyBorder="1" applyAlignment="1">
      <alignment horizontal="left" vertical="center"/>
    </xf>
    <xf numFmtId="0" fontId="47" fillId="48" borderId="31" xfId="0" applyFont="1" applyFill="1" applyBorder="1" applyAlignment="1">
      <alignment horizontal="left" vertical="center"/>
    </xf>
    <xf numFmtId="0" fontId="24" fillId="37" borderId="47" xfId="0" applyFont="1" applyFill="1" applyBorder="1" applyAlignment="1">
      <alignment horizontal="center"/>
    </xf>
    <xf numFmtId="0" fontId="24" fillId="37" borderId="0" xfId="0" applyFont="1" applyFill="1" applyAlignment="1">
      <alignment horizontal="center"/>
    </xf>
    <xf numFmtId="0" fontId="0" fillId="37" borderId="12" xfId="0" applyFill="1" applyBorder="1" applyAlignment="1">
      <alignment horizontal="center"/>
    </xf>
    <xf numFmtId="0" fontId="35" fillId="43" borderId="0" xfId="0" applyFont="1" applyFill="1"/>
    <xf numFmtId="0" fontId="35" fillId="43" borderId="0" xfId="0" applyFont="1" applyFill="1" applyAlignment="1">
      <alignment horizontal="left"/>
    </xf>
    <xf numFmtId="14" fontId="35" fillId="43" borderId="0" xfId="0" applyNumberFormat="1" applyFont="1" applyFill="1"/>
    <xf numFmtId="0" fontId="34" fillId="43" borderId="0" xfId="0" applyFont="1" applyFill="1" applyAlignment="1">
      <alignment horizontal="left"/>
    </xf>
    <xf numFmtId="0" fontId="39" fillId="0" borderId="46" xfId="42" applyFill="1" applyBorder="1" applyAlignment="1">
      <alignment horizontal="center"/>
    </xf>
    <xf numFmtId="3" fontId="35" fillId="39" borderId="46" xfId="0" applyNumberFormat="1" applyFont="1" applyFill="1" applyBorder="1" applyAlignment="1">
      <alignment horizontal="center" vertical="center"/>
    </xf>
    <xf numFmtId="0" fontId="34" fillId="46" borderId="14" xfId="0" applyFont="1" applyFill="1" applyBorder="1" applyAlignment="1">
      <alignment horizontal="left"/>
    </xf>
    <xf numFmtId="0" fontId="35" fillId="46" borderId="17" xfId="0" applyFont="1" applyFill="1" applyBorder="1" applyAlignment="1">
      <alignment horizontal="center" vertical="center"/>
    </xf>
    <xf numFmtId="0" fontId="34" fillId="46" borderId="29" xfId="0" applyFont="1" applyFill="1" applyBorder="1" applyAlignment="1">
      <alignment horizontal="left"/>
    </xf>
    <xf numFmtId="0" fontId="34" fillId="46" borderId="30" xfId="0" applyFont="1" applyFill="1" applyBorder="1" applyAlignment="1">
      <alignment horizontal="left"/>
    </xf>
    <xf numFmtId="0" fontId="34" fillId="46" borderId="14" xfId="0" applyFont="1" applyFill="1" applyBorder="1" applyAlignment="1">
      <alignment horizontal="center"/>
    </xf>
    <xf numFmtId="0" fontId="34" fillId="46" borderId="30" xfId="0" applyFont="1" applyFill="1" applyBorder="1" applyAlignment="1">
      <alignment horizontal="center"/>
    </xf>
    <xf numFmtId="3" fontId="35" fillId="46" borderId="46" xfId="0" applyNumberFormat="1" applyFont="1" applyFill="1" applyBorder="1" applyAlignment="1">
      <alignment horizontal="center" vertical="center"/>
    </xf>
    <xf numFmtId="3" fontId="0" fillId="43" borderId="0" xfId="0" applyNumberFormat="1" applyFill="1"/>
    <xf numFmtId="0" fontId="35" fillId="43" borderId="0" xfId="0" applyFont="1" applyFill="1" applyAlignment="1">
      <alignment horizontal="center" vertical="center"/>
    </xf>
    <xf numFmtId="0" fontId="0" fillId="0" borderId="13" xfId="0" applyBorder="1" applyAlignment="1">
      <alignment horizontal="left" wrapText="1"/>
    </xf>
    <xf numFmtId="3" fontId="0" fillId="0" borderId="0" xfId="0" applyNumberFormat="1" applyAlignment="1">
      <alignment horizontal="left"/>
    </xf>
    <xf numFmtId="1" fontId="35" fillId="39" borderId="46" xfId="0" applyNumberFormat="1" applyFont="1" applyFill="1" applyBorder="1" applyAlignment="1">
      <alignment horizontal="center" vertical="center"/>
    </xf>
    <xf numFmtId="0" fontId="35" fillId="0" borderId="46" xfId="0" applyFont="1" applyBorder="1" applyAlignment="1">
      <alignment horizontal="center" vertical="center"/>
    </xf>
    <xf numFmtId="0" fontId="42" fillId="0" borderId="0" xfId="0" applyFont="1" applyAlignment="1">
      <alignment horizontal="left" vertical="top" wrapText="1"/>
    </xf>
    <xf numFmtId="3" fontId="35" fillId="0" borderId="46" xfId="0" applyNumberFormat="1" applyFont="1" applyBorder="1" applyAlignment="1">
      <alignment horizontal="center" vertical="center"/>
    </xf>
    <xf numFmtId="0" fontId="14" fillId="0" borderId="0" xfId="0" applyFont="1" applyAlignment="1">
      <alignment horizontal="center"/>
    </xf>
    <xf numFmtId="0" fontId="0" fillId="49" borderId="0" xfId="0" applyFill="1"/>
    <xf numFmtId="0" fontId="35" fillId="43" borderId="0" xfId="0" applyFont="1" applyFill="1" applyAlignment="1">
      <alignment horizontal="center"/>
    </xf>
    <xf numFmtId="0" fontId="35" fillId="49" borderId="0" xfId="0" applyFont="1" applyFill="1" applyAlignment="1">
      <alignment horizontal="center"/>
    </xf>
    <xf numFmtId="0" fontId="36" fillId="46" borderId="31" xfId="0" applyFont="1" applyFill="1" applyBorder="1" applyAlignment="1">
      <alignment horizontal="left" vertical="center"/>
    </xf>
    <xf numFmtId="0" fontId="36" fillId="46" borderId="32" xfId="0" applyFont="1" applyFill="1" applyBorder="1" applyAlignment="1">
      <alignment horizontal="left" vertical="center"/>
    </xf>
    <xf numFmtId="0" fontId="49" fillId="44" borderId="31" xfId="0" applyFont="1" applyFill="1" applyBorder="1" applyAlignment="1">
      <alignment horizontal="left" vertical="center"/>
    </xf>
    <xf numFmtId="0" fontId="49" fillId="44" borderId="32" xfId="0" applyFont="1" applyFill="1" applyBorder="1" applyAlignment="1">
      <alignment horizontal="left" vertical="center"/>
    </xf>
    <xf numFmtId="0" fontId="27" fillId="44" borderId="31" xfId="0" applyFont="1" applyFill="1" applyBorder="1" applyAlignment="1">
      <alignment horizontal="left" vertical="center"/>
    </xf>
    <xf numFmtId="0" fontId="27" fillId="44" borderId="32" xfId="0" applyFont="1" applyFill="1" applyBorder="1" applyAlignment="1">
      <alignment horizontal="left" vertical="center"/>
    </xf>
    <xf numFmtId="0" fontId="48" fillId="48" borderId="31" xfId="0" applyFont="1" applyFill="1" applyBorder="1" applyAlignment="1">
      <alignment horizontal="left" vertical="center"/>
    </xf>
    <xf numFmtId="0" fontId="48" fillId="48" borderId="32" xfId="0" applyFont="1" applyFill="1" applyBorder="1" applyAlignment="1">
      <alignment horizontal="left" vertical="center"/>
    </xf>
    <xf numFmtId="0" fontId="36" fillId="44" borderId="31" xfId="0" applyFont="1" applyFill="1" applyBorder="1" applyAlignment="1">
      <alignment horizontal="left" vertical="center"/>
    </xf>
    <xf numFmtId="0" fontId="36" fillId="44" borderId="32" xfId="0" applyFont="1" applyFill="1" applyBorder="1" applyAlignment="1">
      <alignment horizontal="left" vertical="center"/>
    </xf>
    <xf numFmtId="0" fontId="33" fillId="0" borderId="0" xfId="0" applyFont="1" applyAlignment="1">
      <alignment horizontal="center" wrapText="1"/>
    </xf>
    <xf numFmtId="0" fontId="31" fillId="0" borderId="0" xfId="0" applyFont="1" applyAlignment="1">
      <alignment horizontal="left" vertical="top"/>
    </xf>
    <xf numFmtId="0" fontId="31" fillId="0" borderId="0" xfId="0" applyFont="1" applyAlignment="1">
      <alignment horizontal="left" vertical="top" wrapText="1"/>
    </xf>
    <xf numFmtId="0" fontId="31" fillId="0" borderId="12" xfId="0" applyFont="1" applyBorder="1" applyAlignment="1">
      <alignment horizontal="center" vertical="center" wrapText="1"/>
    </xf>
    <xf numFmtId="0" fontId="30" fillId="0" borderId="12" xfId="0" applyFont="1" applyBorder="1" applyAlignment="1">
      <alignment horizontal="center" vertical="center" wrapText="1"/>
    </xf>
    <xf numFmtId="0" fontId="37" fillId="0" borderId="13" xfId="0" applyFont="1" applyBorder="1" applyAlignment="1">
      <alignment horizontal="center"/>
    </xf>
    <xf numFmtId="0" fontId="0" fillId="0" borderId="0" xfId="0" applyAlignment="1">
      <alignment horizontal="left" wrapText="1"/>
    </xf>
    <xf numFmtId="0" fontId="0" fillId="39" borderId="24" xfId="0" applyFill="1" applyBorder="1" applyAlignment="1">
      <alignment horizontal="left" vertical="center" wrapText="1"/>
    </xf>
    <xf numFmtId="0" fontId="0" fillId="39" borderId="42" xfId="0" applyFill="1" applyBorder="1" applyAlignment="1">
      <alignment horizontal="left" vertical="center" wrapText="1"/>
    </xf>
    <xf numFmtId="0" fontId="0" fillId="39" borderId="25" xfId="0" applyFill="1" applyBorder="1" applyAlignment="1">
      <alignment horizontal="left" vertical="center" wrapText="1"/>
    </xf>
    <xf numFmtId="14" fontId="31" fillId="0" borderId="0" xfId="0" applyNumberFormat="1" applyFont="1" applyAlignment="1">
      <alignment horizontal="left" vertical="top" wrapText="1"/>
    </xf>
    <xf numFmtId="0" fontId="0" fillId="0" borderId="43" xfId="0" applyBorder="1" applyAlignment="1">
      <alignment horizontal="center" wrapText="1"/>
    </xf>
    <xf numFmtId="0" fontId="30" fillId="0" borderId="12" xfId="0" applyFont="1" applyBorder="1" applyAlignment="1">
      <alignment horizontal="center" vertical="center"/>
    </xf>
    <xf numFmtId="0" fontId="31" fillId="0" borderId="12" xfId="0" applyFont="1" applyBorder="1" applyAlignment="1">
      <alignment horizontal="center" vertical="top" wrapText="1"/>
    </xf>
    <xf numFmtId="0" fontId="30" fillId="0" borderId="12" xfId="0" applyFont="1" applyBorder="1" applyAlignment="1">
      <alignment horizontal="center" vertical="top"/>
    </xf>
    <xf numFmtId="0" fontId="30" fillId="0" borderId="24" xfId="0" applyFont="1" applyBorder="1" applyAlignment="1">
      <alignment horizontal="left" vertical="top"/>
    </xf>
    <xf numFmtId="0" fontId="30" fillId="0" borderId="25" xfId="0" applyFont="1" applyBorder="1" applyAlignment="1">
      <alignment horizontal="left" vertical="top"/>
    </xf>
    <xf numFmtId="14" fontId="31" fillId="0" borderId="24" xfId="0" applyNumberFormat="1" applyFont="1" applyBorder="1" applyAlignment="1">
      <alignment horizontal="left" vertical="top" wrapText="1"/>
    </xf>
    <xf numFmtId="0" fontId="31" fillId="0" borderId="25" xfId="0" applyFont="1" applyBorder="1" applyAlignment="1">
      <alignment horizontal="left" vertical="top" wrapText="1"/>
    </xf>
    <xf numFmtId="0" fontId="42" fillId="0" borderId="0" xfId="0" applyFont="1" applyAlignment="1">
      <alignment horizontal="left" vertical="top" wrapText="1"/>
    </xf>
    <xf numFmtId="0" fontId="42" fillId="0" borderId="0" xfId="0" applyFont="1" applyAlignment="1">
      <alignment horizontal="left" vertical="top"/>
    </xf>
    <xf numFmtId="0" fontId="30" fillId="0" borderId="0" xfId="0" applyFont="1" applyAlignment="1">
      <alignment horizontal="left" vertical="top" wrapText="1"/>
    </xf>
    <xf numFmtId="3" fontId="42" fillId="0" borderId="0" xfId="0" applyNumberFormat="1" applyFont="1" applyAlignment="1">
      <alignment horizontal="left" vertical="center"/>
    </xf>
    <xf numFmtId="0" fontId="42" fillId="0" borderId="0" xfId="0" applyFont="1" applyAlignment="1">
      <alignment horizontal="left" vertical="center"/>
    </xf>
    <xf numFmtId="0" fontId="30" fillId="0" borderId="0" xfId="0" applyFont="1" applyAlignment="1">
      <alignment horizontal="left" vertical="top"/>
    </xf>
    <xf numFmtId="14" fontId="42" fillId="0" borderId="0" xfId="0" applyNumberFormat="1" applyFont="1" applyAlignment="1">
      <alignment horizontal="left" vertical="center" wrapText="1"/>
    </xf>
    <xf numFmtId="0" fontId="0" fillId="0" borderId="13" xfId="0" applyBorder="1" applyAlignment="1">
      <alignment horizontal="left" vertical="center"/>
    </xf>
    <xf numFmtId="0" fontId="43" fillId="0" borderId="12" xfId="0" applyFont="1" applyBorder="1" applyAlignment="1">
      <alignment horizontal="center" vertical="center" wrapText="1"/>
    </xf>
    <xf numFmtId="0" fontId="41" fillId="0" borderId="12" xfId="0" applyFont="1" applyBorder="1" applyAlignment="1">
      <alignment horizontal="center" vertical="center" wrapText="1"/>
    </xf>
    <xf numFmtId="0" fontId="30" fillId="0" borderId="24" xfId="0" applyFont="1" applyBorder="1" applyAlignment="1">
      <alignment horizontal="left" vertical="center"/>
    </xf>
    <xf numFmtId="0" fontId="30" fillId="0" borderId="25" xfId="0" applyFont="1" applyBorder="1" applyAlignment="1">
      <alignment horizontal="left" vertical="center"/>
    </xf>
    <xf numFmtId="0" fontId="31" fillId="0" borderId="24" xfId="0" applyFont="1" applyBorder="1" applyAlignment="1">
      <alignment horizontal="center" vertical="center" wrapText="1"/>
    </xf>
    <xf numFmtId="0" fontId="31" fillId="0" borderId="25" xfId="0" applyFont="1" applyBorder="1" applyAlignment="1">
      <alignment horizontal="center" vertical="center" wrapText="1"/>
    </xf>
    <xf numFmtId="0" fontId="31" fillId="0" borderId="12" xfId="0" applyFont="1" applyBorder="1" applyAlignment="1">
      <alignment horizontal="center" vertical="center"/>
    </xf>
    <xf numFmtId="0" fontId="44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16" fillId="0" borderId="0" xfId="0" applyFont="1" applyAlignment="1">
      <alignment horizontal="center"/>
    </xf>
    <xf numFmtId="0" fontId="0" fillId="0" borderId="42" xfId="0" applyBorder="1" applyAlignment="1">
      <alignment horizontal="center" vertical="center" wrapText="1"/>
    </xf>
    <xf numFmtId="0" fontId="0" fillId="0" borderId="25" xfId="0" applyBorder="1" applyAlignment="1">
      <alignment horizontal="center" vertical="center" wrapText="1"/>
    </xf>
    <xf numFmtId="0" fontId="0" fillId="39" borderId="12" xfId="0" applyFill="1" applyBorder="1" applyAlignment="1">
      <alignment horizontal="center" vertical="center" wrapText="1"/>
    </xf>
    <xf numFmtId="0" fontId="42" fillId="0" borderId="12" xfId="0" applyFont="1" applyBorder="1" applyAlignment="1">
      <alignment horizontal="center" vertical="center" wrapText="1"/>
    </xf>
    <xf numFmtId="0" fontId="46" fillId="34" borderId="31" xfId="0" applyFont="1" applyFill="1" applyBorder="1" applyAlignment="1">
      <alignment horizontal="center" vertical="center" wrapText="1"/>
    </xf>
    <xf numFmtId="0" fontId="46" fillId="34" borderId="44" xfId="0" applyFont="1" applyFill="1" applyBorder="1" applyAlignment="1">
      <alignment horizontal="center" vertical="center" wrapText="1"/>
    </xf>
    <xf numFmtId="0" fontId="46" fillId="34" borderId="32" xfId="0" applyFont="1" applyFill="1" applyBorder="1" applyAlignment="1">
      <alignment horizontal="center" vertical="center" wrapText="1"/>
    </xf>
    <xf numFmtId="0" fontId="46" fillId="37" borderId="31" xfId="0" applyFont="1" applyFill="1" applyBorder="1" applyAlignment="1">
      <alignment horizontal="center" vertical="center" wrapText="1"/>
    </xf>
    <xf numFmtId="0" fontId="46" fillId="37" borderId="44" xfId="0" applyFont="1" applyFill="1" applyBorder="1" applyAlignment="1">
      <alignment horizontal="center" vertical="center" wrapText="1"/>
    </xf>
    <xf numFmtId="0" fontId="16" fillId="39" borderId="0" xfId="0" applyFont="1" applyFill="1" applyAlignment="1">
      <alignment horizontal="left" vertical="center"/>
    </xf>
    <xf numFmtId="0" fontId="0" fillId="39" borderId="14" xfId="0" applyFill="1" applyBorder="1" applyAlignment="1">
      <alignment horizontal="center" wrapText="1"/>
    </xf>
    <xf numFmtId="0" fontId="0" fillId="39" borderId="15" xfId="0" applyFill="1" applyBorder="1" applyAlignment="1">
      <alignment horizontal="center" wrapText="1"/>
    </xf>
    <xf numFmtId="0" fontId="0" fillId="39" borderId="16" xfId="0" applyFill="1" applyBorder="1" applyAlignment="1">
      <alignment horizontal="center" wrapText="1"/>
    </xf>
    <xf numFmtId="0" fontId="22" fillId="0" borderId="13" xfId="0" applyFont="1" applyBorder="1" applyAlignment="1">
      <alignment horizontal="center"/>
    </xf>
    <xf numFmtId="0" fontId="0" fillId="0" borderId="0" xfId="0" applyAlignment="1">
      <alignment horizontal="center" wrapText="1"/>
    </xf>
    <xf numFmtId="0" fontId="32" fillId="0" borderId="0" xfId="0" applyFont="1" applyAlignment="1">
      <alignment horizontal="center" vertical="top" wrapText="1"/>
    </xf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2" builtinId="8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">
    <dxf>
      <numFmt numFmtId="0" formatCode="General"/>
    </dxf>
  </dxfs>
  <tableStyles count="0" defaultTableStyle="TableStyleMedium2" defaultPivotStyle="PivotStyleLight16"/>
  <colors>
    <mruColors>
      <color rgb="FF4FBBD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https://svgsilh.com/es/image/2113313.html" TargetMode="External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5" Type="http://schemas.openxmlformats.org/officeDocument/2006/relationships/hyperlink" Target="https://pixabay.com/en/letter-mail-mailing-email-mailbox-147563/" TargetMode="External"/><Relationship Id="rId4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https://svgsilh.com/es/image/2113313.html" TargetMode="External"/><Relationship Id="rId2" Type="http://schemas.openxmlformats.org/officeDocument/2006/relationships/image" Target="../media/image3.png"/><Relationship Id="rId1" Type="http://schemas.openxmlformats.org/officeDocument/2006/relationships/image" Target="../media/image5.png"/><Relationship Id="rId5" Type="http://schemas.openxmlformats.org/officeDocument/2006/relationships/hyperlink" Target="https://pixabay.com/en/letter-mail-mailing-email-mailbox-147563/" TargetMode="External"/><Relationship Id="rId4" Type="http://schemas.openxmlformats.org/officeDocument/2006/relationships/image" Target="../media/image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hyperlink" Target="https://svgsilh.com/es/image/2113313.html" TargetMode="External"/><Relationship Id="rId2" Type="http://schemas.openxmlformats.org/officeDocument/2006/relationships/image" Target="../media/image3.png"/><Relationship Id="rId1" Type="http://schemas.openxmlformats.org/officeDocument/2006/relationships/image" Target="../media/image5.png"/><Relationship Id="rId5" Type="http://schemas.openxmlformats.org/officeDocument/2006/relationships/hyperlink" Target="https://pixabay.com/en/letter-mail-mailing-email-mailbox-147563/" TargetMode="External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347383</xdr:colOff>
      <xdr:row>27</xdr:row>
      <xdr:rowOff>186017</xdr:rowOff>
    </xdr:from>
    <xdr:to>
      <xdr:col>2</xdr:col>
      <xdr:colOff>1613647</xdr:colOff>
      <xdr:row>29</xdr:row>
      <xdr:rowOff>107576</xdr:rowOff>
    </xdr:to>
    <xdr:sp macro="[0]!Descargar_MED" textlink="">
      <xdr:nvSpPr>
        <xdr:cNvPr id="2" name="Rectángulo: biselado 1">
          <a:extLst>
            <a:ext uri="{FF2B5EF4-FFF2-40B4-BE49-F238E27FC236}">
              <a16:creationId xmlns:a16="http://schemas.microsoft.com/office/drawing/2014/main" id="{910A4BCD-E582-4E10-A0F7-59133446681D}"/>
            </a:ext>
          </a:extLst>
        </xdr:cNvPr>
        <xdr:cNvSpPr/>
      </xdr:nvSpPr>
      <xdr:spPr>
        <a:xfrm>
          <a:off x="2900083" y="7625042"/>
          <a:ext cx="1266264" cy="302559"/>
        </a:xfrm>
        <a:prstGeom prst="bevel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1050"/>
            <a:t>Guardar</a:t>
          </a:r>
        </a:p>
      </xdr:txBody>
    </xdr:sp>
    <xdr:clientData/>
  </xdr:twoCellAnchor>
  <xdr:twoCellAnchor>
    <xdr:from>
      <xdr:col>2</xdr:col>
      <xdr:colOff>1848971</xdr:colOff>
      <xdr:row>28</xdr:row>
      <xdr:rowOff>11206</xdr:rowOff>
    </xdr:from>
    <xdr:to>
      <xdr:col>3</xdr:col>
      <xdr:colOff>11205</xdr:colOff>
      <xdr:row>29</xdr:row>
      <xdr:rowOff>123265</xdr:rowOff>
    </xdr:to>
    <xdr:sp macro="[0]!Descargar_MED" textlink="">
      <xdr:nvSpPr>
        <xdr:cNvPr id="3" name="Rectángulo: biselado 2">
          <a:extLst>
            <a:ext uri="{FF2B5EF4-FFF2-40B4-BE49-F238E27FC236}">
              <a16:creationId xmlns:a16="http://schemas.microsoft.com/office/drawing/2014/main" id="{F5F6702F-A8D6-447F-9AB7-FB2329DD5964}"/>
            </a:ext>
          </a:extLst>
        </xdr:cNvPr>
        <xdr:cNvSpPr/>
      </xdr:nvSpPr>
      <xdr:spPr>
        <a:xfrm>
          <a:off x="4401671" y="7640731"/>
          <a:ext cx="1267384" cy="302559"/>
        </a:xfrm>
        <a:prstGeom prst="bevel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1050"/>
            <a:t>Descargar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112059</xdr:colOff>
      <xdr:row>33</xdr:row>
      <xdr:rowOff>141193</xdr:rowOff>
    </xdr:from>
    <xdr:to>
      <xdr:col>2</xdr:col>
      <xdr:colOff>1378323</xdr:colOff>
      <xdr:row>35</xdr:row>
      <xdr:rowOff>85164</xdr:rowOff>
    </xdr:to>
    <xdr:sp macro="[0]!Guardar2" textlink="">
      <xdr:nvSpPr>
        <xdr:cNvPr id="16" name="Rectángulo: biselado 15">
          <a:extLst>
            <a:ext uri="{FF2B5EF4-FFF2-40B4-BE49-F238E27FC236}">
              <a16:creationId xmlns:a16="http://schemas.microsoft.com/office/drawing/2014/main" id="{9C5F44AD-7A25-4FAD-B3D5-F87B016E0B74}"/>
            </a:ext>
          </a:extLst>
        </xdr:cNvPr>
        <xdr:cNvSpPr/>
      </xdr:nvSpPr>
      <xdr:spPr>
        <a:xfrm>
          <a:off x="2667000" y="7951693"/>
          <a:ext cx="1266264" cy="324971"/>
        </a:xfrm>
        <a:prstGeom prst="bevel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1050"/>
            <a:t>Guardar</a:t>
          </a:r>
        </a:p>
      </xdr:txBody>
    </xdr:sp>
    <xdr:clientData/>
  </xdr:twoCellAnchor>
  <xdr:twoCellAnchor>
    <xdr:from>
      <xdr:col>2</xdr:col>
      <xdr:colOff>1837766</xdr:colOff>
      <xdr:row>33</xdr:row>
      <xdr:rowOff>134470</xdr:rowOff>
    </xdr:from>
    <xdr:to>
      <xdr:col>3</xdr:col>
      <xdr:colOff>0</xdr:colOff>
      <xdr:row>35</xdr:row>
      <xdr:rowOff>56029</xdr:rowOff>
    </xdr:to>
    <xdr:sp macro="[0]!Descargar" textlink="">
      <xdr:nvSpPr>
        <xdr:cNvPr id="8" name="Rectángulo: biselado 7">
          <a:extLst>
            <a:ext uri="{FF2B5EF4-FFF2-40B4-BE49-F238E27FC236}">
              <a16:creationId xmlns:a16="http://schemas.microsoft.com/office/drawing/2014/main" id="{87BC4FA0-9E81-402F-9D4A-5A73D53FCC6B}"/>
            </a:ext>
          </a:extLst>
        </xdr:cNvPr>
        <xdr:cNvSpPr/>
      </xdr:nvSpPr>
      <xdr:spPr>
        <a:xfrm>
          <a:off x="4392707" y="7944970"/>
          <a:ext cx="1266264" cy="302559"/>
        </a:xfrm>
        <a:prstGeom prst="bevel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1050"/>
            <a:t>Descargar</a:t>
          </a:r>
        </a:p>
      </xdr:txBody>
    </xdr:sp>
    <xdr:clientData/>
  </xdr:twoCellAnchor>
  <xdr:twoCellAnchor>
    <xdr:from>
      <xdr:col>3</xdr:col>
      <xdr:colOff>112059</xdr:colOff>
      <xdr:row>11</xdr:row>
      <xdr:rowOff>403412</xdr:rowOff>
    </xdr:from>
    <xdr:to>
      <xdr:col>4</xdr:col>
      <xdr:colOff>616323</xdr:colOff>
      <xdr:row>13</xdr:row>
      <xdr:rowOff>78442</xdr:rowOff>
    </xdr:to>
    <xdr:sp macro="[0]!Consulta" textlink="">
      <xdr:nvSpPr>
        <xdr:cNvPr id="11" name="Rectángulo: biselado 10">
          <a:extLst>
            <a:ext uri="{FF2B5EF4-FFF2-40B4-BE49-F238E27FC236}">
              <a16:creationId xmlns:a16="http://schemas.microsoft.com/office/drawing/2014/main" id="{1FACF889-CA0C-4540-88F0-3BAD650F2264}"/>
            </a:ext>
          </a:extLst>
        </xdr:cNvPr>
        <xdr:cNvSpPr/>
      </xdr:nvSpPr>
      <xdr:spPr>
        <a:xfrm>
          <a:off x="5771030" y="2823883"/>
          <a:ext cx="1266264" cy="302559"/>
        </a:xfrm>
        <a:prstGeom prst="bevel">
          <a:avLst/>
        </a:prstGeom>
        <a:solidFill>
          <a:srgbClr val="ED7D31"/>
        </a:solidFill>
        <a:ln w="12700" cap="flat" cmpd="sng" algn="ctr">
          <a:solidFill>
            <a:srgbClr val="ED7D31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s-CO" sz="105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Buscar</a:t>
          </a:r>
        </a:p>
      </xdr:txBody>
    </xdr:sp>
    <xdr:clientData/>
  </xdr:twoCellAnchor>
  <xdr:twoCellAnchor>
    <xdr:from>
      <xdr:col>5</xdr:col>
      <xdr:colOff>0</xdr:colOff>
      <xdr:row>2</xdr:row>
      <xdr:rowOff>0</xdr:rowOff>
    </xdr:from>
    <xdr:to>
      <xdr:col>6</xdr:col>
      <xdr:colOff>504264</xdr:colOff>
      <xdr:row>2</xdr:row>
      <xdr:rowOff>302559</xdr:rowOff>
    </xdr:to>
    <xdr:sp macro="[0]!Crear_Carpeta" textlink="">
      <xdr:nvSpPr>
        <xdr:cNvPr id="12" name="Rectángulo: biselado 11">
          <a:extLst>
            <a:ext uri="{FF2B5EF4-FFF2-40B4-BE49-F238E27FC236}">
              <a16:creationId xmlns:a16="http://schemas.microsoft.com/office/drawing/2014/main" id="{BAC2F346-F5DE-431C-B175-3B7E35BA835F}"/>
            </a:ext>
          </a:extLst>
        </xdr:cNvPr>
        <xdr:cNvSpPr/>
      </xdr:nvSpPr>
      <xdr:spPr>
        <a:xfrm>
          <a:off x="7182971" y="392206"/>
          <a:ext cx="1266264" cy="302559"/>
        </a:xfrm>
        <a:prstGeom prst="bevel">
          <a:avLst/>
        </a:prstGeom>
        <a:solidFill>
          <a:srgbClr val="ED7D31"/>
        </a:solidFill>
        <a:ln w="12700" cap="flat" cmpd="sng" algn="ctr">
          <a:solidFill>
            <a:srgbClr val="ED7D31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s-CO" sz="105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CREAR CARPETA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112059</xdr:colOff>
      <xdr:row>31</xdr:row>
      <xdr:rowOff>141193</xdr:rowOff>
    </xdr:from>
    <xdr:to>
      <xdr:col>2</xdr:col>
      <xdr:colOff>1378323</xdr:colOff>
      <xdr:row>33</xdr:row>
      <xdr:rowOff>85164</xdr:rowOff>
    </xdr:to>
    <xdr:sp macro="[0]!Guardar2" textlink="">
      <xdr:nvSpPr>
        <xdr:cNvPr id="2" name="Rectángulo: biselado 1">
          <a:extLst>
            <a:ext uri="{FF2B5EF4-FFF2-40B4-BE49-F238E27FC236}">
              <a16:creationId xmlns:a16="http://schemas.microsoft.com/office/drawing/2014/main" id="{51C7AD9F-D438-46DB-B103-623CC6844FD3}"/>
            </a:ext>
          </a:extLst>
        </xdr:cNvPr>
        <xdr:cNvSpPr/>
      </xdr:nvSpPr>
      <xdr:spPr>
        <a:xfrm>
          <a:off x="2664759" y="7856443"/>
          <a:ext cx="1266264" cy="324971"/>
        </a:xfrm>
        <a:prstGeom prst="bevel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1050"/>
            <a:t>Guardar</a:t>
          </a:r>
        </a:p>
      </xdr:txBody>
    </xdr:sp>
    <xdr:clientData/>
  </xdr:twoCellAnchor>
  <xdr:twoCellAnchor>
    <xdr:from>
      <xdr:col>2</xdr:col>
      <xdr:colOff>1837766</xdr:colOff>
      <xdr:row>31</xdr:row>
      <xdr:rowOff>134470</xdr:rowOff>
    </xdr:from>
    <xdr:to>
      <xdr:col>3</xdr:col>
      <xdr:colOff>0</xdr:colOff>
      <xdr:row>33</xdr:row>
      <xdr:rowOff>56029</xdr:rowOff>
    </xdr:to>
    <xdr:sp macro="[0]!Descargar_Equi" textlink="">
      <xdr:nvSpPr>
        <xdr:cNvPr id="3" name="Rectángulo: biselado 2">
          <a:extLst>
            <a:ext uri="{FF2B5EF4-FFF2-40B4-BE49-F238E27FC236}">
              <a16:creationId xmlns:a16="http://schemas.microsoft.com/office/drawing/2014/main" id="{0812485B-E096-48CA-940E-B6304795C38A}"/>
            </a:ext>
          </a:extLst>
        </xdr:cNvPr>
        <xdr:cNvSpPr/>
      </xdr:nvSpPr>
      <xdr:spPr>
        <a:xfrm>
          <a:off x="4390466" y="7849720"/>
          <a:ext cx="1267384" cy="302559"/>
        </a:xfrm>
        <a:prstGeom prst="bevel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1050"/>
            <a:t>Descargar</a:t>
          </a:r>
        </a:p>
      </xdr:txBody>
    </xdr:sp>
    <xdr:clientData/>
  </xdr:twoCellAnchor>
  <xdr:twoCellAnchor>
    <xdr:from>
      <xdr:col>3</xdr:col>
      <xdr:colOff>112059</xdr:colOff>
      <xdr:row>11</xdr:row>
      <xdr:rowOff>403412</xdr:rowOff>
    </xdr:from>
    <xdr:to>
      <xdr:col>4</xdr:col>
      <xdr:colOff>616323</xdr:colOff>
      <xdr:row>13</xdr:row>
      <xdr:rowOff>78442</xdr:rowOff>
    </xdr:to>
    <xdr:sp macro="[0]!Consulta" textlink="">
      <xdr:nvSpPr>
        <xdr:cNvPr id="4" name="Rectángulo: biselado 3">
          <a:extLst>
            <a:ext uri="{FF2B5EF4-FFF2-40B4-BE49-F238E27FC236}">
              <a16:creationId xmlns:a16="http://schemas.microsoft.com/office/drawing/2014/main" id="{E6C90EF1-B12E-4DB4-8760-AA66C6638078}"/>
            </a:ext>
          </a:extLst>
        </xdr:cNvPr>
        <xdr:cNvSpPr/>
      </xdr:nvSpPr>
      <xdr:spPr>
        <a:xfrm>
          <a:off x="5769909" y="2870387"/>
          <a:ext cx="1266264" cy="294155"/>
        </a:xfrm>
        <a:prstGeom prst="bevel">
          <a:avLst/>
        </a:prstGeom>
        <a:solidFill>
          <a:srgbClr val="ED7D31"/>
        </a:solidFill>
        <a:ln w="12700" cap="flat" cmpd="sng" algn="ctr">
          <a:solidFill>
            <a:srgbClr val="ED7D31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s-CO" sz="105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Buscar</a:t>
          </a:r>
        </a:p>
      </xdr:txBody>
    </xdr:sp>
    <xdr:clientData/>
  </xdr:twoCellAnchor>
  <xdr:twoCellAnchor>
    <xdr:from>
      <xdr:col>5</xdr:col>
      <xdr:colOff>0</xdr:colOff>
      <xdr:row>2</xdr:row>
      <xdr:rowOff>0</xdr:rowOff>
    </xdr:from>
    <xdr:to>
      <xdr:col>6</xdr:col>
      <xdr:colOff>504264</xdr:colOff>
      <xdr:row>2</xdr:row>
      <xdr:rowOff>302559</xdr:rowOff>
    </xdr:to>
    <xdr:sp macro="[0]!Crear_Carpeta" textlink="">
      <xdr:nvSpPr>
        <xdr:cNvPr id="5" name="Rectángulo: biselado 4">
          <a:extLst>
            <a:ext uri="{FF2B5EF4-FFF2-40B4-BE49-F238E27FC236}">
              <a16:creationId xmlns:a16="http://schemas.microsoft.com/office/drawing/2014/main" id="{5E4B5A06-9435-4AF4-949D-9178F24AFB1E}"/>
            </a:ext>
          </a:extLst>
        </xdr:cNvPr>
        <xdr:cNvSpPr/>
      </xdr:nvSpPr>
      <xdr:spPr>
        <a:xfrm>
          <a:off x="7181850" y="390525"/>
          <a:ext cx="1266264" cy="302559"/>
        </a:xfrm>
        <a:prstGeom prst="bevel">
          <a:avLst/>
        </a:prstGeom>
        <a:solidFill>
          <a:srgbClr val="ED7D31"/>
        </a:solidFill>
        <a:ln w="12700" cap="flat" cmpd="sng" algn="ctr">
          <a:solidFill>
            <a:srgbClr val="ED7D31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s-CO" sz="105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CREAR CARPETA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0</xdr:row>
      <xdr:rowOff>47625</xdr:rowOff>
    </xdr:from>
    <xdr:to>
      <xdr:col>12</xdr:col>
      <xdr:colOff>561976</xdr:colOff>
      <xdr:row>2</xdr:row>
      <xdr:rowOff>0</xdr:rowOff>
    </xdr:to>
    <xdr:sp macro="[0]!IRREGISTRO" textlink="">
      <xdr:nvSpPr>
        <xdr:cNvPr id="2" name="Rectángulo: biselado 1">
          <a:extLst>
            <a:ext uri="{FF2B5EF4-FFF2-40B4-BE49-F238E27FC236}">
              <a16:creationId xmlns:a16="http://schemas.microsoft.com/office/drawing/2014/main" id="{341099F2-6304-4BB8-B4D7-70FDCF8C61E3}"/>
            </a:ext>
          </a:extLst>
        </xdr:cNvPr>
        <xdr:cNvSpPr/>
      </xdr:nvSpPr>
      <xdr:spPr>
        <a:xfrm>
          <a:off x="9058275" y="47625"/>
          <a:ext cx="1152526" cy="333375"/>
        </a:xfrm>
        <a:prstGeom prst="bevel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CO" sz="1100"/>
            <a:t>Ir</a:t>
          </a:r>
          <a:r>
            <a:rPr lang="es-CO" sz="1100" baseline="0"/>
            <a:t> a registro</a:t>
          </a:r>
          <a:endParaRPr lang="es-CO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234089</xdr:colOff>
      <xdr:row>0</xdr:row>
      <xdr:rowOff>32288</xdr:rowOff>
    </xdr:from>
    <xdr:to>
      <xdr:col>7</xdr:col>
      <xdr:colOff>745814</xdr:colOff>
      <xdr:row>2</xdr:row>
      <xdr:rowOff>47804</xdr:rowOff>
    </xdr:to>
    <xdr:pic>
      <xdr:nvPicPr>
        <xdr:cNvPr id="8" name="Imagen 7" descr="cannabis medico">
          <a:extLst>
            <a:ext uri="{FF2B5EF4-FFF2-40B4-BE49-F238E27FC236}">
              <a16:creationId xmlns:a16="http://schemas.microsoft.com/office/drawing/2014/main" id="{F8D784E4-99A7-4941-B4D6-8B1219F1508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" t="78601" r="46703" b="12534"/>
        <a:stretch/>
      </xdr:blipFill>
      <xdr:spPr bwMode="auto">
        <a:xfrm>
          <a:off x="4512267" y="32288"/>
          <a:ext cx="2029267" cy="4029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5</xdr:col>
      <xdr:colOff>273843</xdr:colOff>
      <xdr:row>1</xdr:row>
      <xdr:rowOff>119063</xdr:rowOff>
    </xdr:from>
    <xdr:ext cx="996298" cy="264560"/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E8E92177-E75E-4214-AABE-F489AA9475BB}"/>
            </a:ext>
          </a:extLst>
        </xdr:cNvPr>
        <xdr:cNvSpPr txBox="1"/>
      </xdr:nvSpPr>
      <xdr:spPr>
        <a:xfrm>
          <a:off x="4398652" y="312792"/>
          <a:ext cx="99629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CO" sz="1100" baseline="0"/>
            <a:t>Médico aliado</a:t>
          </a:r>
          <a:endParaRPr lang="es-CO" sz="1100"/>
        </a:p>
      </xdr:txBody>
    </xdr:sp>
    <xdr:clientData/>
  </xdr:oneCellAnchor>
  <xdr:twoCellAnchor editAs="oneCell">
    <xdr:from>
      <xdr:col>1</xdr:col>
      <xdr:colOff>642940</xdr:colOff>
      <xdr:row>32</xdr:row>
      <xdr:rowOff>23815</xdr:rowOff>
    </xdr:from>
    <xdr:to>
      <xdr:col>2</xdr:col>
      <xdr:colOff>119066</xdr:colOff>
      <xdr:row>33</xdr:row>
      <xdr:rowOff>16419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15F58D7-8C92-4BB1-8C7C-00F815924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3"/>
            </a:ext>
          </a:extLst>
        </a:blip>
        <a:stretch>
          <a:fillRect/>
        </a:stretch>
      </xdr:blipFill>
      <xdr:spPr>
        <a:xfrm>
          <a:off x="1404940" y="8453440"/>
          <a:ext cx="323850" cy="183104"/>
        </a:xfrm>
        <a:prstGeom prst="rect">
          <a:avLst/>
        </a:prstGeom>
      </xdr:spPr>
    </xdr:pic>
    <xdr:clientData/>
  </xdr:twoCellAnchor>
  <xdr:twoCellAnchor editAs="oneCell">
    <xdr:from>
      <xdr:col>3</xdr:col>
      <xdr:colOff>742628</xdr:colOff>
      <xdr:row>32</xdr:row>
      <xdr:rowOff>40361</xdr:rowOff>
    </xdr:from>
    <xdr:to>
      <xdr:col>4</xdr:col>
      <xdr:colOff>11437</xdr:colOff>
      <xdr:row>33</xdr:row>
      <xdr:rowOff>8072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22780A9-CD13-42FD-B22A-1E906FDE6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5"/>
            </a:ext>
          </a:extLst>
        </a:blip>
        <a:stretch>
          <a:fillRect/>
        </a:stretch>
      </xdr:blipFill>
      <xdr:spPr>
        <a:xfrm>
          <a:off x="3152453" y="8469986"/>
          <a:ext cx="230834" cy="15821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321468</xdr:colOff>
      <xdr:row>0</xdr:row>
      <xdr:rowOff>83344</xdr:rowOff>
    </xdr:from>
    <xdr:to>
      <xdr:col>7</xdr:col>
      <xdr:colOff>326869</xdr:colOff>
      <xdr:row>1</xdr:row>
      <xdr:rowOff>142875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8D62FA9-7955-4437-9533-4D4AB13E89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0993" y="83344"/>
          <a:ext cx="1919926" cy="2500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5</xdr:col>
      <xdr:colOff>273843</xdr:colOff>
      <xdr:row>1</xdr:row>
      <xdr:rowOff>119063</xdr:rowOff>
    </xdr:from>
    <xdr:ext cx="1211870" cy="264560"/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60742E9B-A663-4104-9443-661696F6E12A}"/>
            </a:ext>
          </a:extLst>
        </xdr:cNvPr>
        <xdr:cNvSpPr txBox="1"/>
      </xdr:nvSpPr>
      <xdr:spPr>
        <a:xfrm>
          <a:off x="4093368" y="309563"/>
          <a:ext cx="121187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CO" sz="1100"/>
            <a:t>Veterinario</a:t>
          </a:r>
          <a:r>
            <a:rPr lang="es-CO" sz="1100" baseline="0"/>
            <a:t> aliado</a:t>
          </a:r>
          <a:endParaRPr lang="es-CO" sz="1100"/>
        </a:p>
      </xdr:txBody>
    </xdr:sp>
    <xdr:clientData/>
  </xdr:oneCellAnchor>
  <xdr:twoCellAnchor editAs="oneCell">
    <xdr:from>
      <xdr:col>0</xdr:col>
      <xdr:colOff>388762</xdr:colOff>
      <xdr:row>29</xdr:row>
      <xdr:rowOff>47494</xdr:rowOff>
    </xdr:from>
    <xdr:to>
      <xdr:col>1</xdr:col>
      <xdr:colOff>47495</xdr:colOff>
      <xdr:row>29</xdr:row>
      <xdr:rowOff>230598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B547D50-9CE7-40AE-8538-308C8E0AD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3"/>
            </a:ext>
          </a:extLst>
        </a:blip>
        <a:stretch>
          <a:fillRect/>
        </a:stretch>
      </xdr:blipFill>
      <xdr:spPr>
        <a:xfrm>
          <a:off x="388762" y="8979827"/>
          <a:ext cx="325483" cy="183104"/>
        </a:xfrm>
        <a:prstGeom prst="rect">
          <a:avLst/>
        </a:prstGeom>
      </xdr:spPr>
    </xdr:pic>
    <xdr:clientData/>
  </xdr:twoCellAnchor>
  <xdr:twoCellAnchor editAs="oneCell">
    <xdr:from>
      <xdr:col>1</xdr:col>
      <xdr:colOff>764691</xdr:colOff>
      <xdr:row>2</xdr:row>
      <xdr:rowOff>34800</xdr:rowOff>
    </xdr:from>
    <xdr:to>
      <xdr:col>1</xdr:col>
      <xdr:colOff>994072</xdr:colOff>
      <xdr:row>2</xdr:row>
      <xdr:rowOff>196240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59DDCAA4-1E69-4073-A1C7-54DC2D6D9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5"/>
            </a:ext>
          </a:extLst>
        </a:blip>
        <a:stretch>
          <a:fillRect/>
        </a:stretch>
      </xdr:blipFill>
      <xdr:spPr>
        <a:xfrm>
          <a:off x="1431441" y="415800"/>
          <a:ext cx="229381" cy="16144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321468</xdr:colOff>
      <xdr:row>0</xdr:row>
      <xdr:rowOff>83344</xdr:rowOff>
    </xdr:from>
    <xdr:to>
      <xdr:col>7</xdr:col>
      <xdr:colOff>326869</xdr:colOff>
      <xdr:row>1</xdr:row>
      <xdr:rowOff>142875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362B26EF-99E4-372C-92CD-96B3412542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31468" y="83344"/>
          <a:ext cx="1923315" cy="2500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5</xdr:col>
      <xdr:colOff>273843</xdr:colOff>
      <xdr:row>1</xdr:row>
      <xdr:rowOff>119063</xdr:rowOff>
    </xdr:from>
    <xdr:ext cx="1211870" cy="264560"/>
    <xdr:sp macro="" textlink="">
      <xdr:nvSpPr>
        <xdr:cNvPr id="7" name="CuadroTexto 6">
          <a:extLst>
            <a:ext uri="{FF2B5EF4-FFF2-40B4-BE49-F238E27FC236}">
              <a16:creationId xmlns:a16="http://schemas.microsoft.com/office/drawing/2014/main" id="{F8CDFA67-7E7D-20C3-915A-97E49C53B076}"/>
            </a:ext>
          </a:extLst>
        </xdr:cNvPr>
        <xdr:cNvSpPr txBox="1"/>
      </xdr:nvSpPr>
      <xdr:spPr>
        <a:xfrm>
          <a:off x="4398652" y="312792"/>
          <a:ext cx="121187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CO" sz="1100"/>
            <a:t>Veterinario</a:t>
          </a:r>
          <a:r>
            <a:rPr lang="es-CO" sz="1100" baseline="0"/>
            <a:t> aliado</a:t>
          </a:r>
          <a:endParaRPr lang="es-CO" sz="1100"/>
        </a:p>
      </xdr:txBody>
    </xdr:sp>
    <xdr:clientData/>
  </xdr:oneCellAnchor>
  <xdr:twoCellAnchor editAs="oneCell">
    <xdr:from>
      <xdr:col>1</xdr:col>
      <xdr:colOff>759179</xdr:colOff>
      <xdr:row>28</xdr:row>
      <xdr:rowOff>15744</xdr:rowOff>
    </xdr:from>
    <xdr:to>
      <xdr:col>2</xdr:col>
      <xdr:colOff>68662</xdr:colOff>
      <xdr:row>29</xdr:row>
      <xdr:rowOff>8348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6AF6D8D-1D8D-01EB-E250-18E169802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3"/>
            </a:ext>
          </a:extLst>
        </a:blip>
        <a:stretch>
          <a:fillRect/>
        </a:stretch>
      </xdr:blipFill>
      <xdr:spPr>
        <a:xfrm>
          <a:off x="1425929" y="8683494"/>
          <a:ext cx="325483" cy="183104"/>
        </a:xfrm>
        <a:prstGeom prst="rect">
          <a:avLst/>
        </a:prstGeom>
      </xdr:spPr>
    </xdr:pic>
    <xdr:clientData/>
  </xdr:twoCellAnchor>
  <xdr:twoCellAnchor editAs="oneCell">
    <xdr:from>
      <xdr:col>2</xdr:col>
      <xdr:colOff>108524</xdr:colOff>
      <xdr:row>1</xdr:row>
      <xdr:rowOff>24217</xdr:rowOff>
    </xdr:from>
    <xdr:to>
      <xdr:col>2</xdr:col>
      <xdr:colOff>337905</xdr:colOff>
      <xdr:row>1</xdr:row>
      <xdr:rowOff>185657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8C53357D-46DB-4CE2-A4EB-0E1AA7718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5"/>
            </a:ext>
          </a:extLst>
        </a:blip>
        <a:stretch>
          <a:fillRect/>
        </a:stretch>
      </xdr:blipFill>
      <xdr:spPr>
        <a:xfrm>
          <a:off x="1791274" y="214717"/>
          <a:ext cx="229381" cy="16144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89DB48A-75A9-41D2-99BE-FB1E330B7886}" name="Tabla2" displayName="Tabla2" ref="A3:R7" totalsRowShown="0">
  <autoFilter ref="A3:R7" xr:uid="{B89DB48A-75A9-41D2-99BE-FB1E330B7886}"/>
  <tableColumns count="18">
    <tableColumn id="1" xr3:uid="{019BAF09-FE1A-4737-85F0-78A39188E295}" name="Cedula"/>
    <tableColumn id="2" xr3:uid="{115AEE86-88D2-4D56-879F-6ECF0614E2AF}" name="Propietario"/>
    <tableColumn id="3" xr3:uid="{12A71F53-265C-4DA6-A391-8F492FEE4CEC}" name="Telefono"/>
    <tableColumn id="4" xr3:uid="{49123BA4-615E-445F-9C28-4A8B1775224A}" name="Direccion"/>
    <tableColumn id="19" xr3:uid="{BB6C16E3-FBD4-498F-8AEB-7A1A088B81F3}" name="Municipio"/>
    <tableColumn id="5" xr3:uid="{19AF5980-A9A8-4104-B289-0F337270AF58}" name="Departamento"/>
    <tableColumn id="6" xr3:uid="{731739E9-4384-4BC3-835F-E9B5D859E95E}" name="Paciente"/>
    <tableColumn id="7" xr3:uid="{5C40E545-1DF7-4EE5-A1D5-157C82051DCA}" name="Especie"/>
    <tableColumn id="8" xr3:uid="{C3350935-A0F6-43D4-A568-250C59342302}" name="Peso"/>
    <tableColumn id="9" xr3:uid="{37FF32CA-FBDD-43E0-8B26-89058765E31F}" name="Edad"/>
    <tableColumn id="10" xr3:uid="{F39FFC36-7651-4259-9F37-8422823C13E5}" name="Raza"/>
    <tableColumn id="11" xr3:uid="{44D9D197-F60E-4661-A58C-1E28CBA3E4D8}" name="Sexo"/>
    <tableColumn id="12" xr3:uid="{D74B7796-9883-4D32-B434-9B386D51A9C2}" name="Fecha de prescripción"/>
    <tableColumn id="13" xr3:uid="{B57F8B7A-DDBD-4FA5-8473-11D7AFD869D9}" name="No. Prescripcion"/>
    <tableColumn id="14" xr3:uid="{33842E4F-2965-4267-8F9D-EF757A5E91FF}" name="Diagnostico"/>
    <tableColumn id="15" xr3:uid="{6844F763-78D1-4172-9D0F-F5F4505F1985}" name="Presentación"/>
    <tableColumn id="16" xr3:uid="{BD8CE941-FF8C-42A1-A7F6-B02468C1839F}" name="No Historia Clinica"/>
    <tableColumn id="17" xr3:uid="{3042AA08-C079-4983-BCF5-DAA8CB8AEF1F}" name="Lugar pescripcion" dataDxfId="0"/>
  </tableColumns>
  <tableStyleInfo name="TableStyleLight1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vitalpetsveterinaria@gmail.com" TargetMode="External"/></Relationships>
</file>

<file path=xl/worksheets/_rels/sheet2.xml.rels><?xml version="1.0" encoding="UTF-8" standalone="yes"?>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hyperlink" Target="mailto:kanavii.lulos@gmail.com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mailto:Jose.nanez@klean-vet.com" TargetMode="External"/><Relationship Id="rId1" Type="http://schemas.openxmlformats.org/officeDocument/2006/relationships/hyperlink" Target="mailto:laura.duarte@klean-vet.com" TargetMode="External"/><Relationship Id="rId6" Type="http://schemas.openxmlformats.org/officeDocument/2006/relationships/hyperlink" Target="mailto:Camilo.Artunduaga@Klean-vet.com" TargetMode="External"/><Relationship Id="rId5" Type="http://schemas.openxmlformats.org/officeDocument/2006/relationships/hyperlink" Target="mailto:lhog88@gmail.com" TargetMode="External"/><Relationship Id="rId4" Type="http://schemas.openxmlformats.org/officeDocument/2006/relationships/hyperlink" Target="mailto:vitalpetesveterinaria@gmail,com" TargetMode="External"/></Relationships>
</file>

<file path=xl/worksheets/_rels/sheet3.xml.rels><?xml version="1.0" encoding="UTF-8" standalone="yes"?>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jose.nanez@klean-vet.com" TargetMode="Externa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hyperlink" Target="mailto:jmopvet@yahoo.com" TargetMode="External"/></Relationships>
</file>

<file path=xl/worksheets/_rels/sheet6.xml.rels><?xml version="1.0" encoding="UTF-8" standalone="yes"?>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/Relationships>
</file>

<file path=xl/worksheets/_rels/sheet7.xml.rels><?xml version="1.0" encoding="UTF-8" standalone="yes"?>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<Relationships xmlns="http://schemas.openxmlformats.org/package/2006/relationships"><Relationship Id="rId3" Type="http://schemas.openxmlformats.org/officeDocument/2006/relationships/hyperlink" Target="https://klean-med.com/condiciones/dolor-cronico/" TargetMode="External"/><Relationship Id="rId7" Type="http://schemas.openxmlformats.org/officeDocument/2006/relationships/printerSettings" Target="../printerSettings/printerSettings10.bin"/><Relationship Id="rId2" Type="http://schemas.openxmlformats.org/officeDocument/2006/relationships/hyperlink" Target="https://klean-med.com/condiciones/neuropatia/" TargetMode="External"/><Relationship Id="rId1" Type="http://schemas.openxmlformats.org/officeDocument/2006/relationships/hyperlink" Target="https://klean-med.com/condiciones/ansiedad/" TargetMode="External"/><Relationship Id="rId6" Type="http://schemas.openxmlformats.org/officeDocument/2006/relationships/hyperlink" Target="https://klean-med.com/condiciones/sindrome-del-intestino-irritable/" TargetMode="External"/><Relationship Id="rId5" Type="http://schemas.openxmlformats.org/officeDocument/2006/relationships/hyperlink" Target="https://klean-med.com/condiciones/falta-de-apetito/" TargetMode="External"/><Relationship Id="rId4" Type="http://schemas.openxmlformats.org/officeDocument/2006/relationships/hyperlink" Target="https://klean-med.com/condiciones/insomnio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E9347-100A-4AC1-9A37-E5606B939807}">
  <sheetPr codeName="Hoja8"/>
  <sheetViews>
    <sheetView topLeftCell="A6" zoomScale="85" zoomScaleNormal="85" workbookViewId="0">
      <selection activeCell="D34" sqref="D34"/>
    </sheetView>
  </sheetViews>
  <sheetFormatPr baseColWidth="10" defaultRowHeight="15"/>
  <cols>
    <col min="1" max="1" width="11.42578125" style="48"/>
    <col min="2" max="2" width="26.85546875" style="48" customWidth="1"/>
    <col min="3" max="3" width="46.5703125" style="49" customWidth="1"/>
    <col min="4" max="7" width="11.42578125" style="48"/>
    <col min="8" max="8" width="22.7109375" style="48" customWidth="1"/>
    <col min="9" max="16384" width="11.42578125" style="48"/>
  </cols>
  <sheetData>
    <row r="2" spans="2:4" ht="15.75" thickBot="1"/>
    <row r="3" spans="2:4" ht="32.25" customHeight="1" thickBot="1">
      <c r="B3" t="s" s="172">
        <v>175</v>
      </c>
      <c r="C3" s="173"/>
    </row>
    <row r="4" spans="2:4" ht="15.75">
      <c r="B4" t="s" s="52">
        <v>176</v>
      </c>
      <c r="C4" t="s" s="56">
        <v>192</v>
      </c>
    </row>
    <row r="5" spans="2:4" ht="15.75">
      <c r="B5" t="s" s="53">
        <v>95</v>
      </c>
      <c r="C5" s="57">
        <v>66777655</v>
      </c>
      <c r="D5" s="48"/>
    </row>
    <row r="6" spans="2:4" ht="15.75">
      <c r="B6" t="s" s="53">
        <v>76</v>
      </c>
      <c r="C6" t="s" s="57">
        <v>136</v>
      </c>
    </row>
    <row r="7" spans="2:4" ht="15.75">
      <c r="B7" t="s" s="53">
        <v>77</v>
      </c>
      <c r="C7" t="s" s="57">
        <v>137</v>
      </c>
    </row>
    <row r="8" spans="2:4" ht="15.75">
      <c r="B8" t="s" s="53">
        <v>96</v>
      </c>
      <c r="C8" s="57">
        <v>3209988766</v>
      </c>
    </row>
    <row r="9" spans="2:4" ht="16.5" thickBot="1">
      <c r="B9" t="s" s="54">
        <v>93</v>
      </c>
      <c r="C9" t="s" s="67">
        <v>138</v>
      </c>
    </row>
    <row r="10" spans="2:4">
      <c r="C10" s="50"/>
    </row>
    <row r="11" spans="2:4" ht="15.75" thickBot="1"/>
    <row r="12" spans="2:4" ht="32.25" customHeight="1" thickBot="1">
      <c r="B12" t="s" s="172">
        <v>172</v>
      </c>
      <c r="C12" s="173"/>
    </row>
    <row r="13" spans="2:4" ht="16.5" thickBot="1">
      <c r="B13" t="s" s="52">
        <v>100</v>
      </c>
      <c r="C13" s="56">
        <v>2344444</v>
      </c>
    </row>
    <row r="14" spans="2:4" ht="16.5" thickBot="1">
      <c r="B14" t="s" s="53">
        <v>173</v>
      </c>
      <c r="C14" t="s" s="56">
        <v>193</v>
      </c>
    </row>
    <row r="15" spans="2:4" ht="16.5" thickBot="1">
      <c r="B15" t="s" s="53">
        <v>174</v>
      </c>
      <c r="C15" s="78">
        <v>32123</v>
      </c>
    </row>
    <row r="16" spans="2:4" ht="16.5" thickBot="1">
      <c r="B16" t="s" s="53">
        <v>92</v>
      </c>
      <c r="C16" s="56">
        <v>311898922</v>
      </c>
    </row>
    <row r="17" spans="2:6" ht="16.5" thickBot="1">
      <c r="B17" t="s" s="53">
        <v>101</v>
      </c>
      <c r="C17" t="s" s="56">
        <v>134</v>
      </c>
    </row>
    <row r="18" spans="2:6" ht="16.5" thickBot="1">
      <c r="B18" t="s" s="53">
        <v>124</v>
      </c>
      <c r="C18" t="s" s="56">
        <v>135</v>
      </c>
    </row>
    <row r="19" spans="2:6" ht="16.5" thickBot="1">
      <c r="B19" t="s" s="54">
        <v>102</v>
      </c>
      <c r="C19" t="s" s="60">
        <v>130</v>
      </c>
    </row>
    <row r="20" spans="2:6">
      <c r="B20" s="48"/>
      <c r="C20" s="48"/>
      <c r="F20" s="51"/>
    </row>
    <row r="21" spans="2:6">
      <c r="B21" s="48"/>
      <c r="C21" s="49"/>
    </row>
    <row r="23" spans="2:6" ht="15.75" thickBot="1"/>
    <row r="24" spans="2:6" ht="34.5" customHeight="1" thickBot="1">
      <c r="B24" t="s" s="172">
        <v>129</v>
      </c>
      <c r="C24" s="173"/>
    </row>
    <row r="25" spans="2:6" ht="16.5" thickBot="1">
      <c r="B25" t="s" s="58">
        <v>103</v>
      </c>
      <c r="C25" t="s" s="56">
        <v>141</v>
      </c>
    </row>
    <row r="26" spans="2:6" ht="16.5" thickBot="1">
      <c r="B26" t="s" s="80">
        <v>53</v>
      </c>
      <c r="C26" t="s" s="81">
        <v>178</v>
      </c>
    </row>
    <row r="27" spans="2:6" ht="16.5" thickBot="1">
      <c r="B27" t="s" s="59">
        <v>54</v>
      </c>
      <c r="C27" s="60">
        <f>+'CALCULADOR DOSIS MED'!C12</f>
      </c>
    </row>
    <row r="29" spans="2:6">
      <c r="C29" s="48"/>
    </row>
    <row r="30" spans="2:6">
      <c r="C30" s="48"/>
    </row>
    <row r="31" spans="2:6">
      <c r="C31" s="48"/>
    </row>
    <row r="32" spans="2:6" ht="15.75">
      <c r="B32" t="s" s="55">
        <v>112</v>
      </c>
      <c r="C32" s="65">
        <f ca="1">+TODAY()</f>
      </c>
    </row>
    <row r="33" spans="2:3" ht="15.75">
      <c r="B33" t="s" s="55">
        <v>118</v>
      </c>
      <c r="C33" s="66">
        <v>5000</v>
      </c>
    </row>
    <row r="34" spans="2:3" ht="15.75">
      <c r="B34" t="s" s="55">
        <v>114</v>
      </c>
      <c r="C34" s="66">
        <v>5000</v>
      </c>
    </row>
    <row r="35" spans="2:3" ht="15.75">
      <c r="B35" t="s" s="55">
        <v>115</v>
      </c>
      <c r="C35" s="66">
        <f>+C7</f>
      </c>
    </row>
  </sheetData>
  <mergeCells count="3">
    <mergeCell ref="B3:C3"/>
    <mergeCell ref="B12:C12"/>
    <mergeCell ref="B24:C24"/>
  </mergeCells>
  <hyperlinks>
    <hyperlink ref="C9" r:id="rId1" xr:uid="{FAD3F3E8-4CE5-4A77-9F15-08EA1DC08A44}"/>
  </hyperlinks>
  <pageMargins left="0.7" right="0.7" top="0.75" bottom="0.75" header="0.3" footer="0.3"/>
  <pageSetup paperSize="9" orientation="portrait" r:id="rId2"/>
  <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4EC20BAF-2E22-47F2-8482-0D53875B6BDE}">
          <x14:formula1>
            <xm:f>Hoja1!$A$2:$A$11</xm:f>
          </x14:formula1>
          <xm:sqref>C25</xm:sqref>
        </x14:dataValidation>
        <x14:dataValidation type="list" allowBlank="1" showInputMessage="1" showErrorMessage="1" xr:uid="{CEB407EF-F428-45F5-B892-80AF4F5A9007}">
          <x14:formula1>
            <xm:f>Hoja1!$D$17:$D$18</xm:f>
          </x14:formula1>
          <xm:sqref>C26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60D57-5338-40C7-92B2-0023C3FB7609}">
  <sheetPr codeName="Hoja1"/>
  <sheetViews>
    <sheetView topLeftCell="A21" zoomScale="120" zoomScaleNormal="120" workbookViewId="0">
      <selection activeCell="C33" sqref="C33"/>
    </sheetView>
  </sheetViews>
  <sheetFormatPr baseColWidth="10" defaultRowHeight="15.75"/>
  <cols>
    <col min="1" max="1" width="11.42578125" style="147"/>
    <col min="2" max="2" width="26.85546875" style="147" customWidth="1"/>
    <col min="3" max="3" width="58.5703125" style="148" customWidth="1"/>
    <col min="4" max="4" width="11.42578125" style="147"/>
    <col min="5" max="5" width="22.85546875" style="170" customWidth="1"/>
    <col min="6" max="6" width="11.42578125" style="147"/>
    <col min="7" max="7" width="12.85546875" style="147" bestFit="1" customWidth="1"/>
    <col min="8" max="8" width="22.7109375" style="147" customWidth="1"/>
    <col min="9" max="12" width="11.42578125" style="147"/>
    <col min="13" max="13" width="40.28515625" style="147" bestFit="1" customWidth="1"/>
    <col min="14" max="14" width="11.42578125" style="147"/>
    <col min="15" max="15" width="26.5703125" style="147" bestFit="1" customWidth="1"/>
    <col min="16" max="16" width="28.42578125" style="147" customWidth="1"/>
    <col min="17" max="16384" width="11.42578125" style="147"/>
  </cols>
  <sheetData>
    <row r="1" spans="2:16" ht="16.5" thickBot="1"/>
    <row r="2" spans="2:16" ht="16.5" thickBot="1">
      <c r="L2" t="s" s="52">
        <v>94</v>
      </c>
      <c r="M2" t="s" s="117">
        <v>240</v>
      </c>
    </row>
    <row r="3" spans="2:16" ht="32.25" customHeight="1" thickBot="1">
      <c r="B3" t="s" s="174">
        <v>126</v>
      </c>
      <c r="C3" s="175"/>
      <c r="L3" t="s" s="53">
        <v>95</v>
      </c>
      <c r="M3" s="164">
        <v>45592</v>
      </c>
      <c r="O3" t="s" s="174">
        <v>126</v>
      </c>
      <c r="P3" s="175"/>
    </row>
    <row r="4" spans="2:16" ht="16.5" thickBot="1">
      <c r="B4" t="s" s="52">
        <v>94</v>
      </c>
      <c r="C4" t="s" s="117">
        <v>260</v>
      </c>
      <c r="L4" t="s" s="53">
        <v>76</v>
      </c>
      <c r="M4" t="s" s="164">
        <v>241</v>
      </c>
      <c r="O4" t="s" s="52">
        <v>94</v>
      </c>
      <c r="P4" t="s" s="117">
        <v>257</v>
      </c>
    </row>
    <row r="5" spans="2:16" ht="16.5" thickBot="1">
      <c r="B5" t="s" s="53">
        <v>95</v>
      </c>
      <c r="C5" s="164">
        <v>43111</v>
      </c>
      <c r="D5" s="147"/>
      <c r="L5" t="s" s="53">
        <v>205</v>
      </c>
      <c r="M5" t="s" s="118">
        <v>245</v>
      </c>
      <c r="O5" t="s" s="53">
        <v>95</v>
      </c>
      <c r="P5" s="164">
        <v>38517</v>
      </c>
    </row>
    <row r="6" spans="2:16" ht="16.5" thickBot="1">
      <c r="B6" t="s" s="53">
        <v>76</v>
      </c>
      <c r="C6" t="s" s="164">
        <v>261</v>
      </c>
      <c r="L6" t="s" s="53">
        <v>96</v>
      </c>
      <c r="M6" s="165">
        <v>3223585271</v>
      </c>
      <c r="O6" t="s" s="53">
        <v>76</v>
      </c>
      <c r="P6" t="s" s="164">
        <v>258</v>
      </c>
    </row>
    <row r="7" spans="2:16" ht="16.5" thickBot="1">
      <c r="B7" t="s" s="53">
        <v>205</v>
      </c>
      <c r="C7" t="s" s="118">
        <v>119</v>
      </c>
      <c r="L7" t="s" s="53">
        <v>93</v>
      </c>
      <c r="M7" t="s" s="151">
        <v>242</v>
      </c>
      <c r="O7" t="s" s="53">
        <v>205</v>
      </c>
      <c r="P7" t="s" s="118">
        <v>245</v>
      </c>
    </row>
    <row r="8" spans="2:16" ht="16.5" thickBot="1">
      <c r="B8" t="s" s="53">
        <v>96</v>
      </c>
      <c r="C8" s="165">
        <v>3013219213</v>
      </c>
      <c r="E8" t="s" s="171">
        <v>264</v>
      </c>
      <c r="L8" t="s" s="54">
        <v>170</v>
      </c>
      <c r="M8" s="152">
        <v>1032482333</v>
      </c>
      <c r="O8" t="s" s="53">
        <v>96</v>
      </c>
      <c r="P8" s="165">
        <v>3152946916</v>
      </c>
    </row>
    <row r="9" spans="2:16" ht="16.5" thickBot="1">
      <c r="B9" t="s" s="53">
        <v>93</v>
      </c>
      <c r="C9" t="s" s="151">
        <v>262</v>
      </c>
      <c r="M9" s="148"/>
      <c r="O9" t="s" s="53">
        <v>93</v>
      </c>
      <c r="P9" t="s" s="151">
        <v>259</v>
      </c>
    </row>
    <row r="10" spans="2:16" ht="16.5" thickBot="1">
      <c r="B10" t="s" s="54">
        <v>170</v>
      </c>
      <c r="C10" s="152">
        <v>1144059057</v>
      </c>
      <c r="L10" t="s" s="176">
        <v>127</v>
      </c>
      <c r="M10" s="177"/>
      <c r="O10" t="s" s="54">
        <v>170</v>
      </c>
      <c r="P10" s="152">
        <v>1107051375</v>
      </c>
    </row>
    <row r="11" spans="2:16" ht="16.5" thickBot="1">
      <c r="L11" t="s" s="52">
        <v>100</v>
      </c>
      <c r="M11" s="152">
        <v>38552923</v>
      </c>
    </row>
    <row r="12" spans="2:16" ht="32.25" customHeight="1" thickBot="1">
      <c r="B12" t="s" s="176">
        <v>127</v>
      </c>
      <c r="C12" s="177"/>
      <c r="L12" t="s" s="53">
        <v>99</v>
      </c>
      <c r="M12" t="s" s="117">
        <v>243</v>
      </c>
    </row>
    <row r="13" spans="2:16" ht="16.5" thickBot="1">
      <c r="B13" t="s" s="52">
        <v>100</v>
      </c>
      <c r="C13" s="167">
        <f>+C10</f>
      </c>
      <c r="L13" t="s" s="53">
        <v>92</v>
      </c>
      <c r="M13" s="165">
        <v>3116172631</v>
      </c>
    </row>
    <row r="14" spans="2:16" ht="16.5" thickBot="1">
      <c r="B14" t="s" s="53">
        <v>99</v>
      </c>
      <c r="C14" s="117">
        <f>+C4</f>
      </c>
      <c r="L14" t="s" s="53">
        <v>206</v>
      </c>
      <c r="M14" t="s" s="164">
        <v>244</v>
      </c>
    </row>
    <row r="15" spans="2:16" ht="16.5" thickBot="1">
      <c r="B15" t="s" s="53">
        <v>92</v>
      </c>
      <c r="C15" s="165">
        <f>+C8</f>
      </c>
      <c r="L15" t="s" s="53">
        <v>124</v>
      </c>
      <c r="M15" t="s" s="118">
        <v>119</v>
      </c>
    </row>
    <row r="16" spans="2:16" ht="16.5" thickBot="1">
      <c r="B16" t="s" s="53">
        <v>206</v>
      </c>
      <c r="C16" s="164">
        <f>+C6</f>
      </c>
      <c r="E16" t="s" s="171">
        <v>264</v>
      </c>
      <c r="L16" t="s" s="54">
        <v>102</v>
      </c>
      <c r="M16" t="s" s="118">
        <v>232</v>
      </c>
    </row>
    <row r="17" spans="2:13" ht="16.5" thickBot="1">
      <c r="B17" t="s" s="53">
        <v>124</v>
      </c>
      <c r="C17" s="118">
        <f>+C7</f>
      </c>
    </row>
    <row r="18" spans="2:13" ht="16.5" thickBot="1">
      <c r="B18" t="s" s="54">
        <v>102</v>
      </c>
      <c r="C18" t="s" s="118">
        <v>232</v>
      </c>
    </row>
    <row r="19" spans="2:13" ht="16.5" thickBot="1">
      <c r="B19" t="s" s="54">
        <v>255</v>
      </c>
      <c r="C19" s="118">
        <f>+C9</f>
      </c>
      <c r="F19" s="149"/>
      <c r="L19" t="s" s="174">
        <v>126</v>
      </c>
      <c r="M19" s="175"/>
    </row>
    <row r="20" spans="2:13" ht="16.5" thickBot="1">
      <c r="B20" s="147"/>
      <c r="C20" s="148"/>
      <c r="L20" t="s" s="52">
        <v>94</v>
      </c>
      <c r="M20" t="s" s="117">
        <v>246</v>
      </c>
    </row>
    <row r="21" spans="2:13" ht="37.5" customHeight="1" thickBot="1">
      <c r="B21" t="s" s="176">
        <v>128</v>
      </c>
      <c r="C21" s="177"/>
      <c r="L21" t="s" s="53">
        <v>95</v>
      </c>
      <c r="M21" s="164">
        <v>45592</v>
      </c>
    </row>
    <row r="22" spans="2:13" ht="16.5" thickBot="1">
      <c r="B22" t="s" s="122">
        <v>97</v>
      </c>
      <c r="C22" t="s" s="119">
        <v>263</v>
      </c>
      <c r="L22" t="s" s="53">
        <v>76</v>
      </c>
      <c r="M22" t="s" s="164">
        <v>241</v>
      </c>
    </row>
    <row r="23" spans="2:13" ht="16.5" thickBot="1">
      <c r="B23" t="s" s="123">
        <v>98</v>
      </c>
      <c r="C23" t="s" s="119">
        <v>120</v>
      </c>
      <c r="L23" t="s" s="53">
        <v>205</v>
      </c>
      <c r="M23" t="s" s="118">
        <v>245</v>
      </c>
    </row>
    <row r="24" spans="2:13" ht="16.5" thickBot="1">
      <c r="B24" t="s" s="123">
        <v>0</v>
      </c>
      <c r="C24" s="119">
        <v>20</v>
      </c>
      <c r="L24" t="s" s="53">
        <v>96</v>
      </c>
      <c r="M24" s="165">
        <v>3169181379</v>
      </c>
    </row>
    <row r="25" spans="2:13" ht="16.5" thickBot="1">
      <c r="B25" t="s" s="123">
        <v>110</v>
      </c>
      <c r="C25" s="119">
        <v>10</v>
      </c>
      <c r="L25" t="s" s="53">
        <v>93</v>
      </c>
      <c r="M25" t="s" s="151">
        <v>248</v>
      </c>
    </row>
    <row r="26" spans="2:13" ht="16.5" thickBot="1">
      <c r="B26" t="s" s="123">
        <v>111</v>
      </c>
      <c r="C26" t="s" s="119">
        <v>256</v>
      </c>
      <c r="L26" t="s" s="54">
        <v>170</v>
      </c>
      <c r="M26" s="152">
        <v>1075234195</v>
      </c>
    </row>
    <row r="27" spans="2:13" ht="16.5" thickBot="1">
      <c r="B27" t="s" s="124">
        <v>116</v>
      </c>
      <c r="C27" t="s" s="117">
        <v>122</v>
      </c>
      <c r="M27" s="148"/>
    </row>
    <row r="28" spans="2:13" ht="16.5" thickBot="1">
      <c r="L28" t="s" s="176">
        <v>127</v>
      </c>
      <c r="M28" s="177"/>
    </row>
    <row r="29" spans="2:13" ht="16.5" thickBot="1">
      <c r="L29" t="s" s="52">
        <v>100</v>
      </c>
      <c r="M29" s="152">
        <v>19097202</v>
      </c>
    </row>
    <row r="30" spans="2:13" ht="34.5" customHeight="1" thickBot="1">
      <c r="B30" t="s" s="176">
        <v>129</v>
      </c>
      <c r="C30" s="177"/>
      <c r="L30" t="s" s="53">
        <v>99</v>
      </c>
      <c r="M30" t="s" s="117">
        <v>247</v>
      </c>
    </row>
    <row r="31" spans="2:13" ht="16.5" thickBot="1">
      <c r="B31" t="s" s="120">
        <v>103</v>
      </c>
      <c r="C31" t="s" s="119">
        <v>34</v>
      </c>
      <c r="L31" t="s" s="53">
        <v>92</v>
      </c>
      <c r="M31" s="165">
        <v>3105818164</v>
      </c>
    </row>
    <row r="32" spans="2:13" ht="16.5" thickBot="1">
      <c r="B32" t="s" s="121">
        <v>54</v>
      </c>
      <c r="C32" t="s" s="117">
        <v>123</v>
      </c>
      <c r="L32" t="s" s="53">
        <v>206</v>
      </c>
      <c r="M32" t="s" s="164">
        <v>195</v>
      </c>
    </row>
    <row r="33" spans="2:13" ht="16.5" thickBot="1">
      <c r="B33" t="s" s="121">
        <v>207</v>
      </c>
      <c r="C33" s="119">
        <v>2</v>
      </c>
      <c r="L33" t="s" s="53">
        <v>124</v>
      </c>
      <c r="M33" t="s" s="118">
        <v>119</v>
      </c>
    </row>
    <row r="34" spans="2:13" ht="16.5" thickBot="1">
      <c r="C34" s="147"/>
      <c r="L34" t="s" s="54">
        <v>102</v>
      </c>
      <c r="M34" t="s" s="118">
        <v>232</v>
      </c>
    </row>
    <row r="35" spans="2:13" ht="16.5" thickBot="1">
      <c r="C35" s="147"/>
    </row>
    <row r="36" spans="2:13" ht="16.5" thickBot="1">
      <c r="C36" s="147"/>
      <c r="L36" t="s" s="174">
        <v>126</v>
      </c>
      <c r="M36" s="175"/>
    </row>
    <row r="37" spans="2:13" ht="16.5" thickBot="1">
      <c r="B37" t="s" s="55">
        <v>112</v>
      </c>
      <c r="C37" s="65">
        <f ca="1">+TODAY()</f>
      </c>
      <c r="L37" t="s" s="52">
        <v>94</v>
      </c>
      <c r="M37" t="s" s="117">
        <v>249</v>
      </c>
    </row>
    <row r="38" spans="2:13" ht="16.5" thickBot="1">
      <c r="B38" t="s" s="55">
        <v>118</v>
      </c>
      <c r="C38" s="66">
        <v>21465</v>
      </c>
      <c r="L38" t="s" s="53">
        <v>95</v>
      </c>
      <c r="M38" s="164">
        <v>4399</v>
      </c>
    </row>
    <row r="39" spans="2:13" ht="16.5" thickBot="1">
      <c r="B39" t="s" s="55">
        <v>114</v>
      </c>
      <c r="C39" s="66">
        <v>21465</v>
      </c>
      <c r="L39" t="s" s="53">
        <v>76</v>
      </c>
      <c r="M39" t="s" s="164">
        <v>250</v>
      </c>
    </row>
    <row r="40" spans="2:13" ht="16.5" thickBot="1">
      <c r="B40" t="s" s="55">
        <v>115</v>
      </c>
      <c r="C40" s="66">
        <f>+C7</f>
      </c>
      <c r="L40" t="s" s="53">
        <v>205</v>
      </c>
      <c r="M40" t="s" s="118">
        <v>245</v>
      </c>
    </row>
    <row r="41" spans="2:13" ht="16.5" thickBot="1">
      <c r="L41" t="s" s="53">
        <v>96</v>
      </c>
      <c r="M41" s="165">
        <v>3137443983</v>
      </c>
    </row>
    <row r="42" spans="2:13" ht="16.5" thickBot="1">
      <c r="L42" t="s" s="53">
        <v>93</v>
      </c>
      <c r="M42" t="s" s="151">
        <v>251</v>
      </c>
    </row>
    <row r="43" spans="2:13" ht="16.5" thickBot="1">
      <c r="C43" s="150"/>
      <c r="L43" t="s" s="54">
        <v>170</v>
      </c>
      <c r="M43" s="165">
        <v>1143840604</v>
      </c>
    </row>
    <row r="45" spans="2:13" ht="16.5" thickBot="1"/>
    <row r="46" spans="2:13" ht="16.5" thickBot="1">
      <c r="L46" t="s" s="174">
        <v>126</v>
      </c>
      <c r="M46" s="175"/>
    </row>
    <row r="47" spans="2:13" ht="16.5" thickBot="1">
      <c r="L47" t="s" s="52">
        <v>94</v>
      </c>
      <c r="M47" t="s" s="117">
        <v>252</v>
      </c>
    </row>
    <row r="48" spans="2:13" ht="16.5" thickBot="1">
      <c r="L48" t="s" s="53">
        <v>95</v>
      </c>
      <c r="M48" s="164">
        <v>27013</v>
      </c>
    </row>
    <row r="49" spans="12:13" ht="16.5" thickBot="1">
      <c r="L49" t="s" s="53">
        <v>76</v>
      </c>
      <c r="M49" t="s" s="164">
        <v>136</v>
      </c>
    </row>
    <row r="50" spans="12:13" ht="16.5" thickBot="1">
      <c r="L50" t="s" s="53">
        <v>205</v>
      </c>
      <c r="M50" t="s" s="118">
        <v>137</v>
      </c>
    </row>
    <row r="51" spans="12:13" ht="16.5" thickBot="1">
      <c r="L51" t="s" s="53">
        <v>96</v>
      </c>
      <c r="M51" s="165">
        <v>3135989719</v>
      </c>
    </row>
    <row r="52" spans="12:13" ht="16.5" thickBot="1">
      <c r="L52" t="s" s="53">
        <v>93</v>
      </c>
      <c r="M52" t="s" s="151">
        <v>253</v>
      </c>
    </row>
    <row r="53" spans="12:13" ht="16.5" thickBot="1">
      <c r="L53" t="s" s="54">
        <v>170</v>
      </c>
      <c r="M53" s="152">
        <v>1129566308</v>
      </c>
    </row>
    <row r="54" spans="12:13" ht="16.5" thickBot="1">
      <c r="M54" s="148"/>
    </row>
    <row r="55" spans="12:13" ht="16.5" thickBot="1">
      <c r="L55" t="s" s="176">
        <v>127</v>
      </c>
      <c r="M55" s="177"/>
    </row>
    <row r="56" spans="12:13" ht="16.5" thickBot="1">
      <c r="L56" t="s" s="52">
        <v>100</v>
      </c>
      <c r="M56" s="167">
        <f>+M53</f>
      </c>
    </row>
    <row r="57" spans="12:13" ht="16.5" thickBot="1">
      <c r="L57" t="s" s="53">
        <v>99</v>
      </c>
      <c r="M57" s="117">
        <f>+M47</f>
      </c>
    </row>
    <row r="58" spans="12:13" ht="16.5" thickBot="1">
      <c r="L58" t="s" s="53">
        <v>92</v>
      </c>
      <c r="M58" s="165">
        <f>+M51</f>
      </c>
    </row>
    <row r="59" spans="12:13" ht="16.5" thickBot="1">
      <c r="L59" t="s" s="53">
        <v>206</v>
      </c>
      <c r="M59" s="164">
        <f>+M49</f>
      </c>
    </row>
    <row r="60" spans="12:13" ht="16.5" thickBot="1">
      <c r="L60" t="s" s="53">
        <v>124</v>
      </c>
      <c r="M60" s="118">
        <f>+M50</f>
      </c>
    </row>
    <row r="61" spans="12:13" ht="16.5" thickBot="1">
      <c r="L61" t="s" s="54">
        <v>102</v>
      </c>
      <c r="M61" t="s" s="118">
        <v>254</v>
      </c>
    </row>
  </sheetData>
  <mergeCells count="11">
    <mergeCell ref="L46:M46"/>
    <mergeCell ref="L55:M55"/>
    <mergeCell ref="O3:P3"/>
    <mergeCell ref="L36:M36"/>
    <mergeCell ref="B3:C3"/>
    <mergeCell ref="B12:C12"/>
    <mergeCell ref="B21:C21"/>
    <mergeCell ref="B30:C30"/>
    <mergeCell ref="L10:M10"/>
    <mergeCell ref="L19:M19"/>
    <mergeCell ref="L28:M28"/>
  </mergeCells>
  <dataValidations count="1">
    <dataValidation type="list" allowBlank="1" showInputMessage="1" showErrorMessage="1" sqref="C27" xr:uid="{19D97851-BB1A-433D-B9B8-AC6A60C35CE9}">
      <formula1>Sexo</formula1>
    </dataValidation>
  </dataValidations>
  <hyperlinks>
    <hyperlink ref="M7" r:id="rId1" xr:uid="{6F3825C2-9E48-4F36-83B0-CB5A05F2F1D5}"/>
    <hyperlink ref="M25" r:id="rId2" xr:uid="{13A8E896-1335-4E69-9862-8695682B3AB3}"/>
    <hyperlink ref="M42" r:id="rId3" xr:uid="{1E90A688-B923-4196-BE68-6F08A4D9A54C}"/>
    <hyperlink ref="M52" r:id="rId4" xr:uid="{B02946F7-C5CC-49D2-BABC-46A9864A1B7C}"/>
    <hyperlink ref="P9" r:id="rId5" xr:uid="{BFEC8CDD-932C-49A0-8FDB-815D8580D8FD}"/>
    <hyperlink ref="C9" r:id="rId6" xr:uid="{CB968AAB-DD16-4F22-874D-54A9E5A4CB0F}"/>
  </hyperlinks>
  <pageMargins left="0.7" right="0.7" top="0.75" bottom="0.75" header="0.3" footer="0.3"/>
  <pageSetup paperSize="9" orientation="portrait" r:id="rId7"/>
  <drawing r:id="rId8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861A1168-CB32-458D-B59F-807DDFAE3CBA}">
          <x14:formula1>
            <xm:f>Tablas!$P$4:$P$8</xm:f>
          </x14:formula1>
          <xm:sqref>C23</xm:sqref>
        </x14:dataValidation>
        <x14:dataValidation type="list" allowBlank="1" showInputMessage="1" showErrorMessage="1" xr:uid="{1E29AA20-958D-40C8-A6AA-02CCD9FF5520}">
          <x14:formula1>
            <xm:f>Tablas!$A$4:$A$25</xm:f>
          </x14:formula1>
          <xm:sqref>C31</xm:sqref>
        </x14:dataValidation>
        <x14:dataValidation type="list" allowBlank="1" showInputMessage="1" showErrorMessage="1" xr:uid="{57ABD3D2-C901-4E0C-A8BE-0FF7BCC41E2B}">
          <x14:formula1>
            <xm:f>Tablas!$L$8:$L$11</xm:f>
          </x14:formula1>
          <xm:sqref>C32</xm:sqref>
        </x14:dataValidation>
        <x14:dataValidation type="list" allowBlank="1" showInputMessage="1" showErrorMessage="1" xr:uid="{683846D4-B5EC-40F1-8110-5A47076582A2}">
          <x14:formula1>
            <xm:f>'CALCULADOR DOSIS GOTAS ML'!$L$25:$L$30</xm:f>
          </x14:formula1>
          <xm:sqref>C33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09BDB-AC52-499E-A051-C4EB06793B07}">
  <sheetPr codeName="Hoja13"/>
  <sheetViews>
    <sheetView topLeftCell="A18" zoomScale="85" zoomScaleNormal="85" workbookViewId="0">
      <selection activeCell="C30" sqref="C30"/>
    </sheetView>
  </sheetViews>
  <sheetFormatPr baseColWidth="10" defaultRowHeight="15"/>
  <cols>
    <col min="1" max="1" width="11.42578125" style="48"/>
    <col min="2" max="2" width="26.85546875" style="48" customWidth="1"/>
    <col min="3" max="3" width="46.5703125" style="49" customWidth="1"/>
    <col min="4" max="7" width="11.42578125" style="48"/>
    <col min="8" max="8" width="22.7109375" style="48" customWidth="1"/>
    <col min="9" max="10" width="11.42578125" style="48"/>
    <col min="11" max="11" width="17.28515625" style="48" customWidth="1"/>
    <col min="12" max="16384" width="11.42578125" style="48"/>
  </cols>
  <sheetData>
    <row r="2" spans="2:4" ht="15.75" thickBot="1"/>
    <row r="3" spans="2:4" ht="32.25" customHeight="1" thickBot="1">
      <c r="B3" t="s" s="143">
        <v>126</v>
      </c>
      <c r="C3" s="142"/>
    </row>
    <row r="4" spans="2:4" ht="16.5" thickBot="1">
      <c r="B4" t="s" s="136">
        <v>94</v>
      </c>
      <c r="C4" t="s" s="137">
        <v>229</v>
      </c>
    </row>
    <row r="5" spans="2:4" ht="16.5" thickBot="1">
      <c r="B5" t="s" s="138">
        <v>95</v>
      </c>
      <c r="C5" s="137">
        <v>24974</v>
      </c>
      <c r="D5" s="48"/>
    </row>
    <row r="6" spans="2:4" ht="16.5" thickBot="1">
      <c r="B6" t="s" s="138">
        <v>76</v>
      </c>
      <c r="C6" t="s" s="139">
        <v>231</v>
      </c>
    </row>
    <row r="7" spans="2:4" ht="16.5" thickBot="1">
      <c r="B7" t="s" s="138">
        <v>205</v>
      </c>
      <c r="C7" t="s" s="139">
        <v>233</v>
      </c>
    </row>
    <row r="8" spans="2:4" ht="16.5" thickBot="1">
      <c r="B8" t="s" s="138">
        <v>96</v>
      </c>
      <c r="C8" s="137">
        <v>3169181379</v>
      </c>
    </row>
    <row r="9" spans="2:4" ht="16.5" thickBot="1">
      <c r="B9" t="s" s="138">
        <v>93</v>
      </c>
      <c r="C9" t="s" s="140">
        <v>230</v>
      </c>
    </row>
    <row r="10" spans="2:4" ht="16.5" thickBot="1">
      <c r="B10" t="s" s="141">
        <v>170</v>
      </c>
      <c r="C10" s="159">
        <v>1075234195</v>
      </c>
    </row>
    <row r="11" spans="2:4" ht="15.75" thickBot="1"/>
    <row r="12" spans="2:4" ht="32.25" customHeight="1" thickBot="1">
      <c r="B12" t="s" s="143">
        <v>127</v>
      </c>
      <c r="C12" s="142"/>
    </row>
    <row r="13" spans="2:4" ht="16.5" thickBot="1">
      <c r="B13" t="s" s="136">
        <v>100</v>
      </c>
      <c r="C13" s="159">
        <v>1072713064</v>
      </c>
    </row>
    <row r="14" spans="2:4" ht="16.5" thickBot="1">
      <c r="B14" t="s" s="138">
        <v>99</v>
      </c>
      <c r="C14" t="s" s="137">
        <v>234</v>
      </c>
    </row>
    <row r="15" spans="2:4" ht="16.5" thickBot="1">
      <c r="B15" t="s" s="138">
        <v>92</v>
      </c>
      <c r="C15" s="137">
        <v>3138179938</v>
      </c>
    </row>
    <row r="16" spans="2:4" ht="16.5" thickBot="1">
      <c r="B16" t="s" s="138">
        <v>206</v>
      </c>
      <c r="C16" t="s" s="139">
        <v>235</v>
      </c>
    </row>
    <row r="17" spans="2:11" ht="16.5" thickBot="1">
      <c r="B17" t="s" s="138">
        <v>124</v>
      </c>
      <c r="C17" t="s" s="137">
        <v>236</v>
      </c>
    </row>
    <row r="18" spans="2:11" ht="16.5" thickBot="1">
      <c r="B18" t="s" s="141">
        <v>102</v>
      </c>
      <c r="C18" t="s" s="137">
        <v>202</v>
      </c>
    </row>
    <row r="19" spans="2:11" ht="15.75" thickBot="1">
      <c r="B19" s="48"/>
      <c r="C19" s="48"/>
      <c r="F19" s="51"/>
    </row>
    <row r="20" spans="2:11" ht="37.5" customHeight="1" thickBot="1">
      <c r="B20" t="s" s="178">
        <v>225</v>
      </c>
      <c r="C20" s="179"/>
      <c r="K20" s="160"/>
    </row>
    <row r="21" spans="2:11" ht="16.5" thickBot="1">
      <c r="B21" t="s" s="153">
        <v>97</v>
      </c>
      <c r="C21" t="s" s="154">
        <v>237</v>
      </c>
      <c r="K21" s="160"/>
    </row>
    <row r="22" spans="2:11" ht="16.5" thickBot="1">
      <c r="B22" t="s" s="155">
        <v>98</v>
      </c>
      <c r="C22" t="s" s="154">
        <v>210</v>
      </c>
      <c r="K22" s="160"/>
    </row>
    <row r="23" spans="2:11" ht="16.5" thickBot="1">
      <c r="B23" t="s" s="155">
        <v>0</v>
      </c>
      <c r="C23" s="154">
        <v>300</v>
      </c>
      <c r="K23" s="160"/>
    </row>
    <row r="24" spans="2:11" ht="16.5" thickBot="1">
      <c r="B24" t="s" s="155">
        <v>110</v>
      </c>
      <c r="C24" s="154">
        <v>7</v>
      </c>
      <c r="K24" s="160"/>
    </row>
    <row r="25" spans="2:11" ht="16.5" thickBot="1">
      <c r="B25" t="s" s="155">
        <v>111</v>
      </c>
      <c r="C25" t="s" s="154">
        <v>227</v>
      </c>
      <c r="K25" s="160"/>
    </row>
    <row r="26" spans="2:11" ht="16.5" thickBot="1">
      <c r="B26" t="s" s="156">
        <v>116</v>
      </c>
      <c r="C26" t="s" s="137">
        <v>121</v>
      </c>
    </row>
    <row r="27" spans="2:11" ht="15.75" thickBot="1"/>
    <row r="28" spans="2:11" ht="34.5" customHeight="1" thickBot="1">
      <c r="B28" t="s" s="178">
        <v>129</v>
      </c>
      <c r="C28" s="179"/>
      <c r="I28" t="s" s="48">
        <v>224</v>
      </c>
    </row>
    <row r="29" spans="2:11" ht="16.5" thickBot="1">
      <c r="B29" t="s" s="157">
        <v>103</v>
      </c>
      <c r="C29" t="s" s="154">
        <v>238</v>
      </c>
    </row>
    <row r="30" spans="2:11" ht="16.5" thickBot="1">
      <c r="B30" t="s" s="158">
        <v>54</v>
      </c>
      <c r="C30" t="s" s="137">
        <v>228</v>
      </c>
    </row>
    <row r="31" spans="2:11" ht="16.5" thickBot="1">
      <c r="B31" t="s" s="158">
        <v>207</v>
      </c>
      <c r="C31" s="154">
        <v>1</v>
      </c>
    </row>
    <row r="32" spans="2:11">
      <c r="C32" s="48"/>
    </row>
    <row r="33" spans="2:11">
      <c r="C33" s="48"/>
    </row>
    <row r="34" spans="2:11">
      <c r="C34" s="48"/>
    </row>
    <row r="35" spans="2:11" ht="15.75">
      <c r="B35" t="s" s="55">
        <v>112</v>
      </c>
      <c r="C35" s="65">
        <f ca="1">+TODAY()</f>
      </c>
    </row>
    <row r="36" spans="2:11" ht="15.75">
      <c r="B36" t="s" s="55">
        <v>118</v>
      </c>
      <c r="C36" s="66">
        <v>219087</v>
      </c>
      <c r="K36" s="161"/>
    </row>
    <row r="37" spans="2:11" ht="15.75">
      <c r="B37" t="s" s="55">
        <v>114</v>
      </c>
      <c r="C37" s="66">
        <v>219087</v>
      </c>
    </row>
    <row r="38" spans="2:11" ht="15.75">
      <c r="B38" t="s" s="55">
        <v>115</v>
      </c>
      <c r="C38" s="66">
        <f>+C7</f>
      </c>
    </row>
    <row r="41" spans="2:11">
      <c r="C41" s="116"/>
    </row>
  </sheetData>
  <mergeCells count="2">
    <mergeCell ref="B20:C20"/>
    <mergeCell ref="B28:C28"/>
  </mergeCells>
  <dataValidations count="1">
    <dataValidation type="list" allowBlank="1" showInputMessage="1" showErrorMessage="1" sqref="C26" xr:uid="{79D5AB7B-4677-4D84-BE04-3E25753DAE32}">
      <formula1>Sexo</formula1>
    </dataValidation>
  </dataValidations>
  <hyperlinks>
    <hyperlink ref="C9" r:id="rId1" xr:uid="{A8F0246C-7EFB-4929-B8D6-90D5DEC0015D}"/>
  </hyperlinks>
  <pageMargins left="0.7" right="0.7" top="0.75" bottom="0.75" header="0.3" footer="0.3"/>
  <pageSetup paperSize="9" orientation="portrait" r:id="rId2"/>
  <drawing r:id="rId3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86D1DEBF-85E3-4876-A147-9126981FD8FB}">
          <x14:formula1>
            <xm:f>'CALCULADOR DOSIS GOTAS ML'!$L$25:$L$30</xm:f>
          </x14:formula1>
          <xm:sqref>C31</xm:sqref>
        </x14:dataValidation>
        <x14:dataValidation type="list" allowBlank="1" showInputMessage="1" showErrorMessage="1" xr:uid="{B50243B4-5F4B-4DBF-996D-116B66E24DE3}">
          <x14:formula1>
            <xm:f>Tablas!$P$6:$P$8</xm:f>
          </x14:formula1>
          <xm:sqref>C22</xm:sqref>
        </x14:dataValidation>
        <x14:dataValidation type="list" allowBlank="1" showInputMessage="1" showErrorMessage="1" xr:uid="{A17AB5BD-4168-4F59-ADA4-658FA31524E8}">
          <x14:formula1>
            <xm:f>'Calculadora Equina'!$B$7:$B$14</xm:f>
          </x14:formula1>
          <xm:sqref>C29 K36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A5A52-1F55-40D0-B74D-40F3A6FAE78F}">
  <sheetPr codeName="Hoja11"/>
  <sheetViews>
    <sheetView topLeftCell="A4" workbookViewId="0">
      <selection activeCell="B20" sqref="B20"/>
    </sheetView>
  </sheetViews>
  <sheetFormatPr baseColWidth="10" defaultRowHeight="15"/>
  <cols>
    <col min="2" max="2" width="31.5703125" customWidth="1"/>
  </cols>
  <sheetData>
    <row r="1" spans="1:2" ht="15.75">
      <c r="A1" t="s" s="52">
        <v>94</v>
      </c>
      <c r="B1" t="s" s="56">
        <v>198</v>
      </c>
    </row>
    <row r="2" spans="1:2" ht="15.75">
      <c r="A2" t="s" s="53">
        <v>95</v>
      </c>
      <c r="B2" s="57">
        <v>7459</v>
      </c>
    </row>
    <row r="3" spans="1:2" ht="15.75">
      <c r="A3" t="s" s="53">
        <v>76</v>
      </c>
      <c r="B3" t="s" s="57">
        <v>199</v>
      </c>
    </row>
    <row r="4" spans="1:2" ht="15.75">
      <c r="A4" t="s" s="53">
        <v>77</v>
      </c>
      <c r="B4" t="s" s="57">
        <v>200</v>
      </c>
    </row>
    <row r="5" spans="1:2" ht="15.75">
      <c r="A5" t="s" s="53">
        <v>96</v>
      </c>
      <c r="B5" s="57">
        <v>3153536218</v>
      </c>
    </row>
    <row r="6" spans="1:2" ht="16.5" thickBot="1">
      <c r="A6" t="s" s="54">
        <v>93</v>
      </c>
      <c r="B6" t="s" s="67">
        <v>201</v>
      </c>
    </row>
    <row r="7" spans="1:2">
      <c r="A7" s="48"/>
      <c r="B7" s="50"/>
    </row>
    <row r="8" spans="1:2" ht="15.75" thickBot="1">
      <c r="A8" s="48"/>
      <c r="B8" s="49"/>
    </row>
    <row r="9" spans="1:2" ht="19.5" thickBot="1">
      <c r="A9" t="s" s="180">
        <v>127</v>
      </c>
      <c r="B9" s="181"/>
    </row>
    <row r="10" spans="1:2" ht="16.5" thickBot="1">
      <c r="A10" t="s" s="52">
        <v>100</v>
      </c>
      <c r="B10" s="56">
        <v>79285191</v>
      </c>
    </row>
    <row r="11" spans="1:2" ht="15.75">
      <c r="A11" t="s" s="53">
        <v>99</v>
      </c>
      <c r="B11" t="s" s="56">
        <v>198</v>
      </c>
    </row>
    <row r="12" spans="1:2" ht="15.75">
      <c r="A12" t="s" s="53">
        <v>92</v>
      </c>
      <c r="B12" s="57">
        <v>3153536218</v>
      </c>
    </row>
    <row r="13" spans="1:2" ht="15.75">
      <c r="A13" t="s" s="53">
        <v>101</v>
      </c>
      <c r="B13" t="s" s="57">
        <v>199</v>
      </c>
    </row>
    <row r="14" spans="1:2" ht="16.5" thickBot="1">
      <c r="A14" t="s" s="53">
        <v>124</v>
      </c>
      <c r="B14" t="s" s="57">
        <v>200</v>
      </c>
    </row>
    <row r="15" spans="1:2" ht="16.5" thickBot="1">
      <c r="A15" t="s" s="54">
        <v>102</v>
      </c>
      <c r="B15" t="s" s="60">
        <v>202</v>
      </c>
    </row>
  </sheetData>
  <mergeCells count="1">
    <mergeCell ref="A9:B9"/>
  </mergeCells>
  <hyperlinks>
    <hyperlink ref="B6" r:id="rId1" xr:uid="{3E9C91DE-4651-478A-836A-08D65E17BC98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10CCF-094A-4375-AE7C-2514966E3030}">
  <sheetPr codeName="Hoja3"/>
  <sheetViews>
    <sheetView topLeftCell="F1" workbookViewId="0">
      <selection activeCell="O3" sqref="O3"/>
    </sheetView>
  </sheetViews>
  <sheetFormatPr baseColWidth="10" defaultRowHeight="15"/>
  <cols>
    <col min="1" max="1" width="14.5703125" customWidth="1"/>
    <col min="6" max="6" width="17.28515625" customWidth="1"/>
    <col min="7" max="7" width="13.42578125" customWidth="1"/>
    <col min="8" max="8" width="14.42578125" customWidth="1"/>
    <col min="13" max="13" width="23.28515625" customWidth="1"/>
    <col min="14" max="14" width="21" customWidth="1"/>
    <col min="16" max="16" width="23.28515625" bestFit="1" customWidth="1"/>
  </cols>
  <sheetData>
    <row r="2" spans="1:18">
      <c r="A2" t="s" s="45">
        <v>100</v>
      </c>
      <c r="B2" t="s" s="46">
        <v>99</v>
      </c>
      <c r="C2" t="s" s="46">
        <v>92</v>
      </c>
      <c r="D2" t="s" s="46">
        <v>101</v>
      </c>
      <c r="E2" t="s" s="46">
        <v>124</v>
      </c>
      <c r="F2" t="s" s="46">
        <v>102</v>
      </c>
      <c r="G2" t="s" s="46">
        <v>97</v>
      </c>
      <c r="H2" t="s" s="46">
        <v>98</v>
      </c>
      <c r="I2" t="s" s="46">
        <v>0</v>
      </c>
      <c r="J2" t="s" s="46">
        <v>110</v>
      </c>
      <c r="K2" t="s" s="46">
        <v>111</v>
      </c>
      <c r="L2" t="s" s="46">
        <v>116</v>
      </c>
      <c r="M2" t="s" s="46">
        <v>112</v>
      </c>
      <c r="N2" t="s" s="46">
        <v>118</v>
      </c>
      <c r="O2" t="s" s="46">
        <v>103</v>
      </c>
      <c r="P2" t="s" s="46">
        <v>54</v>
      </c>
      <c r="Q2" t="s" s="46">
        <v>114</v>
      </c>
      <c r="R2" t="s" s="47">
        <v>115</v>
      </c>
    </row>
    <row r="3" spans="1:18">
      <c r="A3">
        <v>94446435</v>
      </c>
      <c r="B3">
        <f>IFERROR(VLOOKUP(A3,Tabla2[],2,0),"")</f>
      </c>
      <c r="C3">
        <f>IFERROR(VLOOKUP(A3,Tabla2[],3,0),"")</f>
      </c>
      <c r="D3">
        <f>IFERROR(VLOOKUP(A3,Tabla2[],4,0),"")</f>
      </c>
      <c r="E3">
        <f>IFERROR(VLOOKUP(A3,Tabla2[],5,0),"")</f>
      </c>
      <c r="F3">
        <f>IFERROR(VLOOKUP(A3,Tabla2[],6,0),"")</f>
      </c>
      <c r="G3">
        <f>IFERROR(VLOOKUP(A3,Tabla2[],7,0),"")</f>
      </c>
      <c r="H3">
        <f>IFERROR(VLOOKUP(A3,Tabla2[],8,0),"")</f>
      </c>
      <c r="I3">
        <f>IFERROR(VLOOKUP(A3,Tabla2[],9,0),"")</f>
      </c>
      <c r="J3">
        <f>IFERROR(VLOOKUP(A3,Tabla2[],10,0),"")</f>
      </c>
      <c r="K3">
        <f>IFERROR(VLOOKUP(A3,Tabla2[],11,0),"")</f>
      </c>
      <c r="L3">
        <f>IFERROR(VLOOKUP(A3,Tabla2[],12,0),"")</f>
      </c>
      <c r="M3">
        <f>IFERROR(VLOOKUP(A3,Tabla2[],13,0),"")</f>
      </c>
      <c r="N3">
        <f>IFERROR(VLOOKUP(A3,Tabla2[],14,0),"")</f>
      </c>
      <c r="O3">
        <f>IFERROR(VLOOKUP(A3,Tabla2[],15,0),"")</f>
      </c>
      <c r="P3">
        <f>IFERROR(VLOOKUP(A3,Tabla2[],16,0),"")</f>
      </c>
      <c r="Q3">
        <f>IFERROR(VLOOKUP(A3,Tabla2[],17,0),"")</f>
      </c>
      <c r="R3">
        <f>IFERROR(VLOOKUP(A3,Tabla2[],18,0),"")</f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B550A-CACD-4FF3-8BC7-E3B2D1A9314B}">
  <sheetPr codeName="Hoja2"/>
  <sheetViews>
    <sheetView workbookViewId="0">
      <selection activeCell="O3" sqref="O3"/>
    </sheetView>
  </sheetViews>
  <sheetFormatPr baseColWidth="10" defaultRowHeight="15"/>
  <cols>
    <col min="1" max="1" width="24.28515625" customWidth="1"/>
    <col min="2" max="2" width="23.42578125" customWidth="1"/>
    <col min="3" max="3" width="24.28515625" customWidth="1"/>
    <col min="4" max="4" width="24" customWidth="1"/>
    <col min="5" max="5" width="20.140625" customWidth="1"/>
    <col min="6" max="6" width="19" customWidth="1"/>
    <col min="7" max="7" width="22" customWidth="1"/>
    <col min="8" max="8" width="15" customWidth="1"/>
    <col min="9" max="9" width="13.85546875" customWidth="1"/>
    <col min="10" max="10" width="13.140625" customWidth="1"/>
    <col min="13" max="13" width="24.140625" customWidth="1"/>
    <col min="14" max="14" width="17.5703125" customWidth="1"/>
    <col min="15" max="15" width="25.42578125" customWidth="1"/>
    <col min="16" max="16" width="24.28515625" customWidth="1"/>
    <col min="17" max="17" width="23.42578125" customWidth="1"/>
    <col min="18" max="18" width="18.42578125" customWidth="1"/>
  </cols>
  <sheetData>
    <row r="1" spans="1:18" ht="15" customHeight="1">
      <c r="B1" t="s" s="182">
        <v>109</v>
      </c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2"/>
      <c r="P1" s="182"/>
    </row>
    <row r="2" spans="1:18" ht="15" customHeight="1">
      <c r="B2" s="182"/>
      <c r="C2" s="182"/>
      <c r="D2" s="182"/>
      <c r="E2" s="182"/>
      <c r="F2" s="182"/>
      <c r="G2" s="182"/>
      <c r="H2" s="182"/>
      <c r="I2" s="182"/>
      <c r="J2" s="182"/>
      <c r="K2" s="182"/>
      <c r="L2" s="182"/>
      <c r="M2" s="182"/>
      <c r="N2" s="182"/>
      <c r="O2" s="182"/>
      <c r="P2" s="182"/>
    </row>
    <row r="3" spans="1:18" ht="15.75" thickBot="1">
      <c r="A3" t="s">
        <v>100</v>
      </c>
      <c r="B3" t="s">
        <v>99</v>
      </c>
      <c r="C3" t="s">
        <v>92</v>
      </c>
      <c r="D3" t="s">
        <v>101</v>
      </c>
      <c r="E3" t="s">
        <v>124</v>
      </c>
      <c r="F3" t="s">
        <v>102</v>
      </c>
      <c r="G3" t="s">
        <v>97</v>
      </c>
      <c r="H3" t="s">
        <v>98</v>
      </c>
      <c r="I3" t="s">
        <v>0</v>
      </c>
      <c r="J3" t="s">
        <v>110</v>
      </c>
      <c r="K3" t="s">
        <v>111</v>
      </c>
      <c r="L3" t="s">
        <v>116</v>
      </c>
      <c r="M3" t="s">
        <v>112</v>
      </c>
      <c r="N3" t="s">
        <v>118</v>
      </c>
      <c r="O3" t="s">
        <v>103</v>
      </c>
      <c r="P3" t="s">
        <v>54</v>
      </c>
      <c r="Q3" t="s">
        <v>114</v>
      </c>
      <c r="R3" t="s">
        <v>115</v>
      </c>
    </row>
    <row r="4" spans="1:18" ht="16.5" thickBot="1">
      <c r="A4">
        <v>94446435</v>
      </c>
      <c r="B4" t="s">
        <v>194</v>
      </c>
      <c r="C4">
        <v>320787303</v>
      </c>
      <c r="D4" t="s">
        <v>195</v>
      </c>
      <c r="E4" t="s">
        <v>119</v>
      </c>
      <c r="F4" t="s">
        <v>130</v>
      </c>
      <c r="G4" t="s">
        <v>196</v>
      </c>
      <c r="H4" t="s">
        <v>113</v>
      </c>
      <c r="I4">
        <v>5</v>
      </c>
      <c r="J4">
        <v>12</v>
      </c>
      <c r="K4" t="s">
        <v>197</v>
      </c>
      <c r="L4" t="s">
        <v>122</v>
      </c>
      <c r="M4">
        <v>44742</v>
      </c>
      <c r="N4" s="66">
        <v>109</v>
      </c>
      <c r="O4" t="s">
        <v>27</v>
      </c>
      <c r="P4" t="s" s="60">
        <v>61</v>
      </c>
      <c r="Q4">
        <v>109</v>
      </c>
      <c r="R4" t="s">
        <v>137</v>
      </c>
    </row>
    <row r="5" spans="1:18" ht="15.75">
      <c r="A5" t="s">
        <v>61</v>
      </c>
      <c r="B5" t="s">
        <v>194</v>
      </c>
      <c r="C5">
        <v>320787303</v>
      </c>
      <c r="D5" t="s">
        <v>195</v>
      </c>
      <c r="E5" t="s">
        <v>119</v>
      </c>
      <c r="F5" t="s">
        <v>130</v>
      </c>
      <c r="G5" t="s">
        <v>196</v>
      </c>
      <c r="H5" t="s">
        <v>113</v>
      </c>
      <c r="I5">
        <v>5</v>
      </c>
      <c r="J5">
        <v>12</v>
      </c>
      <c r="K5" t="s">
        <v>197</v>
      </c>
      <c r="L5" t="s">
        <v>122</v>
      </c>
      <c r="M5" s="65">
        <v>44742</v>
      </c>
      <c r="N5">
        <v>108</v>
      </c>
      <c r="O5" t="s" s="56">
        <v>27</v>
      </c>
      <c r="P5" t="s">
        <v>61</v>
      </c>
      <c r="Q5">
        <v>108</v>
      </c>
      <c r="R5" t="s">
        <v>137</v>
      </c>
    </row>
    <row r="6" spans="1:18" ht="15.75">
      <c r="A6">
        <v>94446435</v>
      </c>
      <c r="B6" t="s">
        <v>194</v>
      </c>
      <c r="C6">
        <v>320787303</v>
      </c>
      <c r="D6" t="s">
        <v>195</v>
      </c>
      <c r="E6" t="s">
        <v>119</v>
      </c>
      <c r="F6" t="s">
        <v>130</v>
      </c>
      <c r="G6" t="s">
        <v>196</v>
      </c>
      <c r="H6" t="s">
        <v>113</v>
      </c>
      <c r="I6">
        <v>5</v>
      </c>
      <c r="J6">
        <v>12</v>
      </c>
      <c r="K6" t="s">
        <v>197</v>
      </c>
      <c r="L6" t="s">
        <v>122</v>
      </c>
      <c r="M6">
        <v>44742</v>
      </c>
      <c r="N6" s="66">
        <v>108</v>
      </c>
      <c r="O6" t="s">
        <v>27</v>
      </c>
      <c r="P6" t="s">
        <v>62</v>
      </c>
      <c r="Q6">
        <v>108</v>
      </c>
      <c r="R6" t="s">
        <v>137</v>
      </c>
    </row>
  </sheetData>
  <mergeCells count="1">
    <mergeCell ref="B1:P2"/>
  </mergeCells>
  <pageMargins left="0.7" right="0.7" top="0.75" bottom="0.75" header="0.3" footer="0.3"/>
  <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DDA0B1E-1DB8-4E11-979B-BDB1526BC4CB}">
          <x14:formula1>
            <xm:f>Tablas!$A$4:$A$25</xm:f>
          </x14:formula1>
          <xm:sqref>O5</xm:sqref>
        </x14:dataValidation>
        <x14:dataValidation type="list" allowBlank="1" showInputMessage="1" showErrorMessage="1" xr:uid="{A4FEB995-895D-4E53-8152-4C79D9766EC8}">
          <x14:formula1>
            <xm:f>Tablas!$L$8:$L$11</xm:f>
          </x14:formula1>
          <xm:sqref>P4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8F8B6-1BEB-4A76-8D7E-051220206CDE}">
  <sheetPr codeName="Hoja7"/>
  <sheetViews>
    <sheetView showGridLines="0" topLeftCell="A13" zoomScale="118" zoomScaleNormal="118" workbookViewId="0">
      <selection activeCell="K12" sqref="K12"/>
    </sheetView>
  </sheetViews>
  <sheetFormatPr baseColWidth="10" defaultRowHeight="15"/>
  <cols>
    <col min="1" max="1" width="13.7109375" bestFit="1" customWidth="1"/>
    <col min="2" max="2" width="12.7109375" customWidth="1"/>
    <col min="3" max="3" width="12" customWidth="1"/>
    <col min="4" max="4" width="14.42578125" customWidth="1"/>
  </cols>
  <sheetData>
    <row r="1" spans="1:10">
      <c r="A1" s="63">
        <f>'Registro MED'!C4</f>
      </c>
    </row>
    <row r="2" spans="1:10">
      <c r="A2" s="63">
        <f>'Registro MED'!C6</f>
      </c>
    </row>
    <row r="3" spans="1:10">
      <c r="A3" s="64">
        <f>'Registro MED'!C7</f>
      </c>
      <c r="B3" s="37"/>
      <c r="C3" s="37"/>
      <c r="D3" s="37"/>
      <c r="E3" s="37"/>
      <c r="F3" s="37"/>
      <c r="G3" s="37"/>
      <c r="H3" s="37"/>
    </row>
    <row r="5" spans="1:10" ht="15" customHeight="1">
      <c r="E5" t="s" s="36">
        <v>83</v>
      </c>
      <c r="F5" s="36"/>
      <c r="G5" s="183">
        <f ca="1">_xlfn.CONCAT(YEAR(C12)," -",'Registro MED'!C33)</f>
      </c>
      <c r="H5" s="183"/>
    </row>
    <row r="6" spans="1:10">
      <c r="A6" t="s" s="36">
        <v>68</v>
      </c>
      <c r="B6" s="36"/>
      <c r="C6" s="184">
        <f>'Registro MED'!C4</f>
      </c>
      <c r="D6" s="184">
        <f>'Registro MED'!F9</f>
      </c>
      <c r="E6" t="s" s="36">
        <v>82</v>
      </c>
      <c r="G6" s="183">
        <f>_xlfn.CONCAT("HC-"," ",'Registro MED'!C34)</f>
      </c>
      <c r="H6" s="183"/>
    </row>
    <row r="7" spans="1:10">
      <c r="A7" t="s" s="35">
        <v>69</v>
      </c>
      <c r="B7" s="35"/>
      <c r="C7" s="184">
        <f>+'Registro MED'!C14</f>
      </c>
      <c r="D7" s="184"/>
      <c r="E7" t="s" s="36">
        <v>74</v>
      </c>
      <c r="G7" s="61">
        <f>+'Registro MED'!C16</f>
      </c>
      <c r="H7" s="61"/>
    </row>
    <row r="8" spans="1:10" ht="17.25">
      <c r="A8" t="s" s="77">
        <v>170</v>
      </c>
      <c r="B8" s="35"/>
      <c r="C8" s="184">
        <f>+'Registro MED'!C13</f>
      </c>
      <c r="D8" s="184"/>
      <c r="E8" t="s" s="36">
        <v>76</v>
      </c>
      <c r="G8" s="61">
        <f>+'Registro MED'!C17</f>
      </c>
      <c r="H8" s="61"/>
      <c r="J8" s="79"/>
    </row>
    <row r="9" spans="1:10">
      <c r="A9" t="s" s="35">
        <v>171</v>
      </c>
      <c r="B9" s="35"/>
      <c r="C9" s="192">
        <f>+'Registro MED'!C15</f>
      </c>
      <c r="D9" s="192"/>
      <c r="E9" t="s" s="35">
        <v>77</v>
      </c>
      <c r="G9" s="183">
        <f>+'Registro MED'!C18</f>
      </c>
      <c r="H9" s="183"/>
    </row>
    <row r="10" spans="1:10">
      <c r="A10" t="s" s="35">
        <v>73</v>
      </c>
      <c r="B10" s="35"/>
      <c r="C10" s="184">
        <f ca="1">(YEAR(NOW())-YEAR(C9))</f>
      </c>
      <c r="D10" s="184"/>
      <c r="E10" t="s" s="36">
        <v>78</v>
      </c>
      <c r="G10" s="183">
        <f>+'Registro MED'!C19</f>
      </c>
      <c r="H10" s="183"/>
    </row>
    <row r="11" spans="1:10">
      <c r="A11" s="35"/>
      <c r="B11" s="35"/>
      <c r="C11" s="184"/>
      <c r="D11" s="184"/>
    </row>
    <row r="12" spans="1:10">
      <c r="A12" t="s" s="35">
        <v>79</v>
      </c>
      <c r="B12" s="35"/>
      <c r="C12" s="192">
        <f ca="1">+'Registro MED'!C32</f>
      </c>
      <c r="D12" s="184"/>
    </row>
    <row r="13" spans="1:10">
      <c r="A13" t="s" s="36">
        <v>81</v>
      </c>
      <c r="B13" s="35"/>
      <c r="C13" s="192">
        <f>+'Registro MED'!C25</f>
      </c>
      <c r="D13" s="184"/>
      <c r="E13" t="s" s="36">
        <v>80</v>
      </c>
      <c r="G13" t="s" s="183">
        <v>131</v>
      </c>
      <c r="H13" s="183"/>
    </row>
    <row r="15" spans="1:10">
      <c r="A15" t="s" s="196">
        <v>63</v>
      </c>
      <c r="B15" s="196"/>
      <c r="C15" s="196"/>
      <c r="D15" t="s" s="38">
        <v>54</v>
      </c>
      <c r="E15" t="s" s="196">
        <v>84</v>
      </c>
      <c r="F15" s="196"/>
      <c r="G15" s="196"/>
      <c r="H15" t="s" s="39">
        <v>85</v>
      </c>
    </row>
    <row r="16" spans="1:10" ht="86.25" customHeight="1">
      <c r="A16" s="185">
        <f>+'CALCULADOR DOSIS MED'!C11</f>
      </c>
      <c r="B16" s="185"/>
      <c r="C16" s="185"/>
      <c r="D16" s="43">
        <f>+'CALCULADOR DOSIS MED'!C12</f>
      </c>
      <c r="E16" t="s" s="186">
        <v>181</v>
      </c>
      <c r="F16" s="186"/>
      <c r="G16" s="186"/>
      <c r="H16" t="s" s="43">
        <v>91</v>
      </c>
    </row>
    <row r="17" spans="1:12">
      <c r="A17" t="s" s="196">
        <v>86</v>
      </c>
      <c r="B17" s="196"/>
      <c r="C17" s="196"/>
      <c r="D17" s="196"/>
      <c r="E17" s="196"/>
      <c r="F17" s="196"/>
      <c r="G17" s="196"/>
      <c r="H17" s="196"/>
      <c r="I17" s="36"/>
      <c r="J17" s="36"/>
      <c r="K17" s="36"/>
      <c r="L17" s="36"/>
    </row>
    <row r="18" spans="1:12">
      <c r="A18" t="s" s="197">
        <v>87</v>
      </c>
      <c r="B18" s="198"/>
      <c r="C18" s="199">
        <f>+C13</f>
      </c>
      <c r="D18" s="200"/>
      <c r="E18" t="s" s="38">
        <v>53</v>
      </c>
      <c r="F18" s="106">
        <f>+'CALCULADOR DOSIS MED'!C13</f>
      </c>
      <c r="G18" s="107"/>
      <c r="H18" s="108"/>
      <c r="I18" s="36"/>
    </row>
    <row r="19" spans="1:12" ht="84" customHeight="1">
      <c r="A19" s="189">
        <f>+'CALCULADOR DOSIS MED'!C10</f>
      </c>
      <c r="B19" s="190"/>
      <c r="C19" s="190"/>
      <c r="D19" s="190"/>
      <c r="E19" s="190"/>
      <c r="F19" s="190"/>
      <c r="G19" s="190"/>
      <c r="H19" s="191"/>
      <c r="I19" s="34"/>
      <c r="K19" s="34"/>
      <c r="L19" s="34"/>
    </row>
    <row r="20" spans="1:12" ht="15" customHeight="1">
      <c r="A20" t="s" s="194">
        <v>89</v>
      </c>
      <c r="B20" s="194"/>
      <c r="C20" t="s" s="195">
        <v>180</v>
      </c>
      <c r="D20" s="195"/>
      <c r="E20" s="195"/>
      <c r="F20" s="195"/>
      <c r="G20" s="195"/>
      <c r="H20" s="195"/>
      <c r="I20" s="34"/>
      <c r="J20" s="34"/>
      <c r="K20" s="34"/>
      <c r="L20" s="34"/>
    </row>
    <row r="21" spans="1:12">
      <c r="A21" s="194"/>
      <c r="B21" s="194"/>
      <c r="C21" s="195"/>
      <c r="D21" s="195"/>
      <c r="E21" s="195"/>
      <c r="F21" s="195"/>
      <c r="G21" s="195"/>
      <c r="H21" s="195"/>
    </row>
    <row r="22" spans="1:12">
      <c r="A22" s="194"/>
      <c r="B22" s="194"/>
      <c r="C22" s="195"/>
      <c r="D22" s="195"/>
      <c r="E22" s="195"/>
      <c r="F22" s="195"/>
      <c r="G22" s="195"/>
      <c r="H22" s="195"/>
    </row>
    <row r="24" spans="1:12" ht="16.5">
      <c r="A24" s="187">
        <f>+B25</f>
      </c>
      <c r="B24" s="187"/>
    </row>
    <row r="25" spans="1:12">
      <c r="A25" t="s" s="62">
        <v>132</v>
      </c>
      <c r="B25" s="63">
        <f>'Registro MED'!C4</f>
      </c>
    </row>
    <row r="26" spans="1:12">
      <c r="A26" t="s" s="62">
        <v>133</v>
      </c>
      <c r="B26" s="63">
        <f>'Registro MED'!C5</f>
      </c>
    </row>
    <row r="32" spans="1:12" ht="57" customHeight="1">
      <c r="A32" s="37"/>
      <c r="B32" s="37"/>
      <c r="C32" s="37"/>
      <c r="D32" s="37"/>
      <c r="E32" s="37"/>
      <c r="F32" s="37"/>
      <c r="G32" s="37"/>
      <c r="H32" s="37"/>
    </row>
    <row r="33" spans="3:7" ht="15" customHeight="1">
      <c r="C33" s="188">
        <f>'Registro MED'!C8</f>
      </c>
      <c r="D33" s="188">
        <f>'Registro MED'!F38</f>
      </c>
      <c r="E33" s="193">
        <f>'Registro MED'!C9</f>
      </c>
      <c r="F33" s="193"/>
      <c r="G33" s="193"/>
    </row>
  </sheetData>
  <mergeCells count="26">
    <mergeCell ref="A24:B24"/>
    <mergeCell ref="C33:D33"/>
    <mergeCell ref="A19:H19"/>
    <mergeCell ref="C9:D9"/>
    <mergeCell ref="C13:D13"/>
    <mergeCell ref="E33:G33"/>
    <mergeCell ref="A20:B22"/>
    <mergeCell ref="C20:H22"/>
    <mergeCell ref="A17:H17"/>
    <mergeCell ref="A18:B18"/>
    <mergeCell ref="C18:D18"/>
    <mergeCell ref="C12:D12"/>
    <mergeCell ref="G10:H10"/>
    <mergeCell ref="G13:H13"/>
    <mergeCell ref="A15:C15"/>
    <mergeCell ref="E15:G15"/>
    <mergeCell ref="G5:H5"/>
    <mergeCell ref="C6:D6"/>
    <mergeCell ref="G6:H6"/>
    <mergeCell ref="C8:D8"/>
    <mergeCell ref="A16:C16"/>
    <mergeCell ref="E16:G16"/>
    <mergeCell ref="C7:D7"/>
    <mergeCell ref="C10:D10"/>
    <mergeCell ref="C11:D11"/>
    <mergeCell ref="G9:H9"/>
  </mergeCells>
  <pageMargins left="0.25" right="0.25" top="0.75" bottom="0.75" header="0.3" footer="0.3"/>
  <pageSetup paperSize="156" orientation="portrait" r:id="rId1"/>
  <drawing r:id="rId2"/>
  <picture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5FBED-B646-460A-9C40-C026DD2A51FF}">
  <sheetPr codeName="Hoja12"/>
  <sheetViews>
    <sheetView showGridLines="0" zoomScale="90" zoomScaleNormal="90" workbookViewId="0">
      <selection activeCell="C6" sqref="C6:D6"/>
    </sheetView>
  </sheetViews>
  <sheetFormatPr baseColWidth="10" defaultRowHeight="15"/>
  <cols>
    <col min="1" max="1" width="10" customWidth="1"/>
    <col min="2" max="2" width="15.28515625" customWidth="1"/>
    <col min="3" max="3" width="10.140625" customWidth="1"/>
    <col min="4" max="4" width="14.42578125" customWidth="1"/>
    <col min="5" max="5" width="8.85546875" customWidth="1"/>
    <col min="6" max="6" width="9.42578125" customWidth="1"/>
    <col min="7" max="7" width="19.28515625" customWidth="1"/>
    <col min="8" max="8" width="9" customWidth="1"/>
    <col min="10" max="10" width="11.85546875" bestFit="1" customWidth="1"/>
  </cols>
  <sheetData>
    <row r="1" spans="1:8">
      <c r="A1" s="63">
        <f>+Registro2!C4</f>
      </c>
    </row>
    <row r="2" spans="1:8">
      <c r="A2" s="63">
        <f>+Registro2!C6</f>
      </c>
    </row>
    <row r="3" spans="1:8" ht="17.25" customHeight="1">
      <c r="A3" s="64">
        <f>+Registro2!C7</f>
      </c>
      <c r="B3" s="37"/>
      <c r="C3" s="112">
        <f>+Registro2!C9</f>
      </c>
      <c r="D3" s="112"/>
      <c r="E3" s="37"/>
      <c r="F3" s="37"/>
      <c r="G3" s="37"/>
      <c r="H3" s="37"/>
    </row>
    <row r="5" spans="1:8" ht="15" customHeight="1">
      <c r="E5" t="s" s="36">
        <v>83</v>
      </c>
      <c r="F5" s="36"/>
      <c r="G5" s="202">
        <f ca="1">_xlfn.CONCAT("EQ-",YEAR(C13)," -",Registro2!C36)</f>
      </c>
      <c r="H5" s="202"/>
    </row>
    <row r="6" spans="1:8" ht="30.75" customHeight="1">
      <c r="B6" t="s" s="35">
        <v>68</v>
      </c>
      <c r="C6" s="201">
        <f>+Registro2!C4</f>
      </c>
      <c r="D6" s="201"/>
      <c r="E6" t="s" s="36">
        <v>82</v>
      </c>
      <c r="G6" s="202">
        <f>_xlfn.CONCAT("HC-EQ-"," ",Registro2!C37)</f>
      </c>
      <c r="H6" s="202"/>
    </row>
    <row r="7" spans="1:8" ht="27" customHeight="1">
      <c r="B7" t="s" s="115">
        <v>69</v>
      </c>
      <c r="C7" s="201">
        <f>+Registro2!C21</f>
      </c>
      <c r="D7" s="201"/>
      <c r="E7" t="s" s="203">
        <v>70</v>
      </c>
      <c r="F7" s="203"/>
      <c r="G7" s="204">
        <f>+Registro2!C13</f>
      </c>
      <c r="H7" s="205"/>
    </row>
    <row r="8" spans="1:8">
      <c r="B8" t="s" s="35">
        <v>71</v>
      </c>
      <c r="C8" s="201">
        <f>+Registro2!C23</f>
      </c>
      <c r="D8" s="201"/>
      <c r="E8" t="s" s="206">
        <v>72</v>
      </c>
      <c r="F8" s="206"/>
      <c r="G8" s="202">
        <f>+Registro2!C14</f>
      </c>
      <c r="H8" s="202"/>
    </row>
    <row r="9" spans="1:8">
      <c r="B9" t="s" s="35">
        <v>73</v>
      </c>
      <c r="C9" s="201">
        <f>+Registro2!C24</f>
      </c>
      <c r="D9" s="201"/>
      <c r="E9" t="s" s="36">
        <v>74</v>
      </c>
      <c r="G9" s="202">
        <f>+Registro2!C15</f>
      </c>
      <c r="H9" s="202"/>
    </row>
    <row r="10" spans="1:8">
      <c r="B10" t="s" s="35">
        <v>222</v>
      </c>
      <c r="C10" s="201">
        <f>+Registro2!C22</f>
      </c>
      <c r="D10" s="201"/>
      <c r="E10" s="36"/>
      <c r="G10" s="129"/>
      <c r="H10" s="129"/>
    </row>
    <row r="11" spans="1:8" ht="33" customHeight="1">
      <c r="B11" t="s" s="35">
        <v>75</v>
      </c>
      <c r="C11" s="201">
        <f>+Registro2!C25</f>
      </c>
      <c r="D11" s="201"/>
      <c r="E11" t="s" s="36">
        <v>76</v>
      </c>
      <c r="G11" s="201">
        <f>+Registro2!C16</f>
      </c>
      <c r="H11" s="201"/>
    </row>
    <row r="12" spans="1:8">
      <c r="B12" t="s" s="35">
        <v>117</v>
      </c>
      <c r="C12" s="201">
        <f>+Registro2!C26</f>
      </c>
      <c r="D12" s="201"/>
      <c r="E12" t="s" s="35">
        <v>77</v>
      </c>
      <c r="G12" s="202">
        <f>+Registro2!C17</f>
      </c>
      <c r="H12" s="202"/>
    </row>
    <row r="13" spans="1:8" ht="24" customHeight="1">
      <c r="B13" t="s" s="115">
        <v>79</v>
      </c>
      <c r="C13" s="207">
        <f ca="1">+Registro2!C35</f>
      </c>
      <c r="D13" s="207"/>
      <c r="E13" t="s" s="36">
        <v>78</v>
      </c>
      <c r="G13" s="202">
        <f>+Registro2!C18</f>
      </c>
      <c r="H13" s="202"/>
    </row>
    <row r="14" spans="1:8" ht="31.5" customHeight="1">
      <c r="B14" t="s" s="35">
        <v>81</v>
      </c>
      <c r="C14" s="201">
        <f>+Registro2!C29</f>
      </c>
      <c r="D14" s="201"/>
      <c r="E14" t="s" s="36">
        <v>80</v>
      </c>
      <c r="G14" t="s" s="202">
        <v>131</v>
      </c>
      <c r="H14" s="202"/>
    </row>
    <row r="15" spans="1:8" s="83" customFormat="1" ht="16.5" customHeight="1">
      <c r="B15" t="s" s="125">
        <v>208</v>
      </c>
      <c r="C15" s="126">
        <f>+Registro2!C31</f>
      </c>
      <c r="D15" s="126"/>
      <c r="E15" t="s" s="127">
        <v>209</v>
      </c>
      <c cm="1" r="G15" s="208">
        <f t="array" ref="G15">_xlfn.IFS(C15 &lt;= 2, " Un mes",AND(C15&gt;2,C15&lt;3)," dos meses",C15&gt;=3, "tres meses")</f>
      </c>
      <c r="H15" s="208"/>
    </row>
    <row r="16" spans="1:8">
      <c r="A16" t="s" s="196">
        <v>63</v>
      </c>
      <c r="B16" s="196"/>
      <c r="C16" s="196"/>
      <c r="D16" t="s" s="38">
        <v>54</v>
      </c>
      <c r="E16" t="s" s="196">
        <v>84</v>
      </c>
      <c r="F16" s="196"/>
      <c r="G16" s="196"/>
      <c r="H16" t="s" s="39">
        <v>85</v>
      </c>
    </row>
    <row r="17" spans="1:12" ht="117.75" customHeight="1">
      <c r="A17" t="s" s="210">
        <v>221</v>
      </c>
      <c r="B17" s="210"/>
      <c r="C17" s="210"/>
      <c r="D17" s="109">
        <f>Registro2!C30</f>
      </c>
      <c r="E17" t="s" s="209">
        <v>204</v>
      </c>
      <c r="F17" s="209"/>
      <c r="G17" s="209"/>
      <c r="H17" s="128">
        <f>CONCATENATE(C15," Unidades")</f>
      </c>
    </row>
    <row r="18" spans="1:12">
      <c r="A18" t="s" s="194">
        <v>86</v>
      </c>
      <c r="B18" s="194"/>
      <c r="C18" s="194"/>
      <c r="D18" s="194"/>
      <c r="E18" s="194"/>
      <c r="F18" s="194"/>
      <c r="G18" s="194"/>
      <c r="H18" s="194"/>
      <c r="I18" s="36"/>
      <c r="J18" s="36"/>
      <c r="K18" s="36"/>
      <c r="L18" s="36"/>
    </row>
    <row r="19" spans="1:12" ht="21.75" customHeight="1">
      <c r="A19" t="s" s="211">
        <v>87</v>
      </c>
      <c r="B19" s="212"/>
      <c r="C19" s="213">
        <f>+C14</f>
      </c>
      <c r="D19" s="214"/>
      <c r="E19" t="s" s="113">
        <v>53</v>
      </c>
      <c r="F19" t="s" s="215">
        <v>223</v>
      </c>
      <c r="G19" s="215"/>
      <c r="H19" s="215"/>
      <c r="I19" s="36"/>
    </row>
    <row r="20" spans="1:12">
      <c r="A20" t="s" s="194">
        <v>2</v>
      </c>
      <c r="B20" s="194"/>
      <c r="C20" t="s" s="194">
        <v>3</v>
      </c>
      <c r="D20" s="194"/>
      <c r="E20" t="s" s="194">
        <v>4</v>
      </c>
      <c r="F20" s="194"/>
      <c r="G20" t="s" s="194">
        <v>5</v>
      </c>
      <c r="H20" s="194"/>
      <c r="I20" s="36"/>
      <c r="K20" s="36"/>
      <c r="L20" s="36"/>
    </row>
    <row r="21" spans="1:12" ht="92.25" customHeight="1">
      <c cm="1" r="A21" s="219">
        <f t="array" ref="A21">_xlfn.IFS(C10='Calculadora Equina'!J5,CONCATENATE("Suministrar ",VLOOKUP(C14,'Calculadora Equina'!B7:Z14,2,FALSE)," mgs al día. Durante la primera semana administrar ",VLOOKUP(C14,'Calculadora Equina'!B7:Z14,3,FALSE),"mL una vez al día" ),C10='Calculadora Equina'!R5,CONCATENATE("Suministrar ",VLOOKUP(C14,'Calculadora Equina'!B7:Z14,10,FALSE)," mgs al día. Durante la primera semana administrar ",VLOOKUP(C14,'Calculadora Equina'!B7:R14,11,FALSE),"mL una vez al día." ),C10='Calculadora Equina'!Z5,CONCATENATE("Suministrar ",VLOOKUP(C14,'Calculadora Equina'!B7:Z14,18,FALSE)," mgs al día. Durante la primera semana administrar ",VLOOKUP(C14,'Calculadora Equina'!B7:Z14,19,FALSE),"mL una vez al día." ))</f>
      </c>
      <c r="B21" s="220"/>
      <c cm="1" r="C21" s="219">
        <f t="array" ref="C21">_xlfn.IFS(C10='Calculadora Equina'!J5,CONCATENATE("Suministrar ",VLOOKUP(C14,'Calculadora Equina'!B7:Z14,4,FALSE)," mgs al día. Durante la primera semana administrar ",VLOOKUP(C14,'Calculadora Equina'!B7:Z14,5,FALSE),"mL una vez al día" ),C10='Calculadora Equina'!R5,CONCATENATE("Suministrar ",VLOOKUP(C14,'Calculadora Equina'!B7:Z14,12,FALSE)," mgs al día. Durante la primera semana administrar ",VLOOKUP(C14,'Calculadora Equina'!B7:R14,13,FALSE),"mL una vez al día." ),C10='Calculadora Equina'!Z5,CONCATENATE("Suministrar ",VLOOKUP(C14,'Calculadora Equina'!B7:Z14,20,FALSE)," mgs al día. Durante la primera semana administrar ",VLOOKUP(C14,'Calculadora Equina'!B7:Z14,21,FALSE),"mL una vez al día." ))</f>
      </c>
      <c r="D21" s="220"/>
      <c cm="1" r="E21" s="221">
        <f t="array" ref="E21">_xlfn.IFS(C10='Calculadora Equina'!J5,CONCATENATE("Suministrar ",VLOOKUP(C14,'Calculadora Equina'!B7:Z14,6,FALSE)," mgs al día. Durante la primera semana administrar ",VLOOKUP(C14,'Calculadora Equina'!B7:Z14,7,FALSE),"mL una vez al día" ),C10='Calculadora Equina'!R5,CONCATENATE("Suministrar ",VLOOKUP(C14,'Calculadora Equina'!B7:Z14,14,FALSE)," mgs al día. Durante la primera semana administrar ",VLOOKUP(C14,'Calculadora Equina'!B7:R14,15,FALSE),"mL una vez al día." ),C10='Calculadora Equina'!Z5,CONCATENATE("Suministrar ",VLOOKUP(C14,'Calculadora Equina'!B7:Z14,22,FALSE)," mgs al día. Durante la primera semana administrar ",VLOOKUP(C14,'Calculadora Equina'!B7:Z14,23,FALSE),"mL una vez al día." ))</f>
      </c>
      <c r="F21" s="221"/>
      <c cm="1" r="G21" s="222">
        <f t="array" ref="G21">_xlfn.IFS(C10='Calculadora Equina'!J5,CONCATENATE("Suministrar ",VLOOKUP(C14,'Calculadora Equina'!B7:Z14,8,FALSE)," mgs al día. Durante la primera semana administrar ",VLOOKUP(C14,'Calculadora Equina'!B7:Z14,9,FALSE),"mL una vez al día" ),C10='Calculadora Equina'!R5,CONCATENATE("Suministrar ",VLOOKUP(C14,'Calculadora Equina'!B7:Z14,16,FALSE)," mgs al día. Durante la primera semana administrar ",VLOOKUP(C14,'Calculadora Equina'!B7:R14,17,FALSE),"mL una vez al día." ),C10='Calculadora Equina'!Z5,CONCATENATE("Suministrar ",VLOOKUP(C14,'Calculadora Equina'!B7:Z14,24,FALSE)," mgs al día. Durante la primera semana administrar ",VLOOKUP(C14,'Calculadora Equina'!B7:Z14,25,FALSE),"mL una vez al día." ))</f>
      </c>
      <c r="H21" s="222"/>
      <c r="I21" s="34"/>
      <c r="K21" s="34"/>
      <c r="L21" s="34"/>
    </row>
    <row r="22" spans="1:12" ht="15" customHeight="1">
      <c r="A22" t="s" s="194">
        <v>89</v>
      </c>
      <c r="B22" s="194"/>
      <c r="C22" t="s" s="185">
        <v>90</v>
      </c>
      <c r="D22" s="185"/>
      <c r="E22" s="185"/>
      <c r="F22" s="185"/>
      <c r="G22" s="185"/>
      <c r="H22" s="185"/>
      <c r="I22" s="34"/>
      <c r="J22" s="34"/>
      <c r="K22" s="34"/>
      <c r="L22" s="34"/>
    </row>
    <row r="23" spans="1:12">
      <c r="A23" s="194"/>
      <c r="B23" s="194"/>
      <c r="C23" s="185"/>
      <c r="D23" s="185"/>
      <c r="E23" s="185"/>
      <c r="F23" s="185"/>
      <c r="G23" s="185"/>
      <c r="H23" s="185"/>
    </row>
    <row r="24" spans="1:12">
      <c r="A24" s="194"/>
      <c r="B24" s="194"/>
      <c r="C24" s="185"/>
      <c r="D24" s="185"/>
      <c r="E24" s="185"/>
      <c r="F24" s="185"/>
      <c r="G24" s="185"/>
      <c r="H24" s="185"/>
    </row>
    <row r="26" spans="1:12" ht="21">
      <c r="A26" s="216">
        <f>+B27</f>
      </c>
      <c r="B26" s="216"/>
      <c r="C26" s="216"/>
      <c r="D26" s="111"/>
    </row>
    <row r="27" spans="1:12">
      <c r="A27" t="s" s="62">
        <v>132</v>
      </c>
      <c r="B27" s="217">
        <f>+Registro2!C4</f>
      </c>
      <c r="C27" s="217"/>
      <c r="D27" s="217"/>
    </row>
    <row r="28" spans="1:12">
      <c r="A28" t="s" s="62">
        <v>133</v>
      </c>
      <c r="B28" s="110">
        <f xml:space="preserve">   +Registro2!C5</f>
      </c>
      <c r="E28" s="218"/>
      <c r="F28" s="218"/>
      <c r="G28" s="218"/>
      <c r="H28" s="218"/>
    </row>
    <row r="29" spans="1:12">
      <c r="A29" t="s" s="114">
        <v>203</v>
      </c>
      <c r="B29" s="163">
        <f>+Registro2!C10</f>
      </c>
    </row>
    <row r="30" spans="1:12" ht="18" customHeight="1">
      <c r="A30" s="37"/>
      <c r="B30" s="162">
        <f>+Registro2!C8</f>
      </c>
      <c r="C30" s="37"/>
      <c r="D30" s="37"/>
      <c r="E30" s="37"/>
      <c r="F30" s="37"/>
      <c r="G30" s="37"/>
      <c r="H30" s="37"/>
    </row>
    <row r="36" spans="3:3">
      <c r="C36">
        <v>3</v>
      </c>
    </row>
    <row r="37" spans="3:3">
      <c r="C37">
        <v>3</v>
      </c>
    </row>
  </sheetData>
  <mergeCells count="42">
    <mergeCell ref="A26:C26"/>
    <mergeCell ref="B27:D27"/>
    <mergeCell ref="E28:H28"/>
    <mergeCell ref="A21:B21"/>
    <mergeCell ref="C21:D21"/>
    <mergeCell ref="E21:F21"/>
    <mergeCell ref="G21:H21"/>
    <mergeCell ref="A22:B24"/>
    <mergeCell ref="C22:H24"/>
    <mergeCell ref="A19:B19"/>
    <mergeCell ref="C19:D19"/>
    <mergeCell ref="F19:H19"/>
    <mergeCell ref="A20:B20"/>
    <mergeCell ref="C20:D20"/>
    <mergeCell ref="E20:F20"/>
    <mergeCell ref="G20:H20"/>
    <mergeCell ref="A18:H18"/>
    <mergeCell ref="C12:D12"/>
    <mergeCell ref="G12:H12"/>
    <mergeCell ref="C13:D13"/>
    <mergeCell ref="G13:H13"/>
    <mergeCell ref="C14:D14"/>
    <mergeCell ref="G14:H14"/>
    <mergeCell ref="G15:H15"/>
    <mergeCell ref="A16:C16"/>
    <mergeCell ref="E16:G16"/>
    <mergeCell ref="E17:G17"/>
    <mergeCell ref="A17:C17"/>
    <mergeCell ref="C10:D10"/>
    <mergeCell ref="C11:D11"/>
    <mergeCell ref="G11:H11"/>
    <mergeCell ref="G5:H5"/>
    <mergeCell ref="C6:D6"/>
    <mergeCell ref="G6:H6"/>
    <mergeCell ref="C7:D7"/>
    <mergeCell ref="E7:F7"/>
    <mergeCell ref="G7:H7"/>
    <mergeCell ref="C8:D8"/>
    <mergeCell ref="E8:F8"/>
    <mergeCell ref="G8:H8"/>
    <mergeCell ref="C9:D9"/>
    <mergeCell ref="G9:H9"/>
  </mergeCells>
  <pageMargins left="0.25" right="0.25" top="0.75" bottom="0.75" header="0.3" footer="0.3"/>
  <pageSetup paperSize="156" orientation="portrait" r:id="rId1"/>
  <drawing r:id="rId2"/>
  <picture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ED4D8-4B8A-4EBA-A943-6D2115D92FC1}">
  <sheetPr codeName="Hoja4"/>
  <sheetViews>
    <sheetView showGridLines="0" tabSelected="1" topLeftCell="A3" zoomScale="90" zoomScaleNormal="90" workbookViewId="0">
      <selection activeCell="D17" sqref="D17"/>
    </sheetView>
  </sheetViews>
  <sheetFormatPr baseColWidth="10" defaultRowHeight="15"/>
  <cols>
    <col min="1" max="1" width="10" customWidth="1"/>
    <col min="2" max="2" width="15.28515625" customWidth="1"/>
    <col min="3" max="3" width="10.140625" customWidth="1"/>
    <col min="4" max="4" width="13" customWidth="1"/>
    <col min="5" max="5" width="8.85546875" customWidth="1"/>
    <col min="6" max="6" width="9.42578125" customWidth="1"/>
    <col min="7" max="7" width="19.28515625" customWidth="1"/>
    <col min="8" max="8" width="9" customWidth="1"/>
    <col min="9" max="9" width="16.7109375" bestFit="1" customWidth="1"/>
  </cols>
  <sheetData>
    <row r="1" spans="1:9">
      <c r="A1" s="63">
        <f>+Registro!C4</f>
      </c>
    </row>
    <row r="2" spans="1:9">
      <c r="A2" s="63">
        <f>+Registro!C6</f>
      </c>
    </row>
    <row r="3" spans="1:9" ht="17.25" customHeight="1">
      <c r="A3" s="64">
        <f>+Registro!C7</f>
      </c>
      <c r="B3" s="37"/>
      <c r="C3" s="112">
        <f>+Registro!C9</f>
      </c>
      <c r="D3" s="112"/>
      <c r="E3" s="37"/>
      <c r="F3" s="37"/>
      <c r="G3" s="37"/>
      <c r="H3" s="37"/>
    </row>
    <row r="5" spans="1:9" ht="15" customHeight="1">
      <c r="E5" t="s" s="36">
        <v>83</v>
      </c>
      <c r="F5" s="36"/>
      <c r="G5" s="202">
        <f ca="1">_xlfn.CONCAT(YEAR(C13)," -",Registro!C38)</f>
      </c>
      <c r="H5" s="202"/>
    </row>
    <row r="6" spans="1:9" ht="30.75" customHeight="1">
      <c r="B6" t="s" s="35">
        <v>68</v>
      </c>
      <c r="C6" s="201">
        <f>+Registro!C4</f>
      </c>
      <c r="D6" s="201"/>
      <c r="E6" t="s" s="36">
        <v>82</v>
      </c>
      <c r="G6" s="202">
        <f>_xlfn.CONCAT("HC-"," ",Registro!C39)</f>
      </c>
      <c r="H6" s="202"/>
    </row>
    <row r="7" spans="1:9" ht="27" customHeight="1">
      <c r="B7" t="s" s="115">
        <v>69</v>
      </c>
      <c r="C7" s="201">
        <f>+Registro!C22</f>
      </c>
      <c r="D7" s="201"/>
      <c r="E7" t="s" s="203">
        <v>70</v>
      </c>
      <c r="F7" s="203"/>
      <c r="G7" s="205">
        <f>+Registro!C13</f>
      </c>
      <c r="H7" s="205"/>
    </row>
    <row r="8" spans="1:9">
      <c r="B8" t="s" s="35">
        <v>71</v>
      </c>
      <c r="C8" s="201">
        <f>+Registro!C24</f>
      </c>
      <c r="D8" s="201"/>
      <c r="E8" t="s" s="206">
        <v>72</v>
      </c>
      <c r="F8" s="206"/>
      <c r="G8" s="202">
        <f>+Registro!C14</f>
      </c>
      <c r="H8" s="202"/>
    </row>
    <row r="9" spans="1:9">
      <c r="B9" s="35"/>
      <c r="C9" s="166"/>
      <c r="D9" s="166"/>
      <c r="E9" t="s" s="35">
        <v>93</v>
      </c>
      <c r="F9" s="35"/>
      <c r="G9" s="129">
        <f>+Registro!C19</f>
      </c>
      <c r="H9" s="129"/>
    </row>
    <row r="10" spans="1:9">
      <c r="B10" t="s" s="35">
        <v>73</v>
      </c>
      <c r="C10" s="201">
        <f>+Registro!C25</f>
      </c>
      <c r="D10" s="201"/>
      <c r="E10" t="s" s="36">
        <v>74</v>
      </c>
      <c r="G10" s="202">
        <f>+Registro!C15</f>
      </c>
      <c r="H10" s="202"/>
    </row>
    <row r="11" spans="1:9" ht="33" customHeight="1">
      <c r="B11" t="s" s="35">
        <v>75</v>
      </c>
      <c r="C11" s="201">
        <f>+Registro!C26</f>
      </c>
      <c r="D11" s="201"/>
      <c r="E11" t="s" s="36">
        <v>76</v>
      </c>
      <c r="G11" s="201">
        <f>+Registro!C16</f>
      </c>
      <c r="H11" s="201"/>
    </row>
    <row r="12" spans="1:9">
      <c r="B12" t="s" s="35">
        <v>117</v>
      </c>
      <c r="C12" s="201">
        <f>+Registro!C27</f>
      </c>
      <c r="D12" s="201"/>
      <c r="E12" t="s" s="35">
        <v>77</v>
      </c>
      <c r="G12" s="202">
        <f>+Registro!C17</f>
      </c>
      <c r="H12" s="202"/>
      <c r="I12" t="s" s="169">
        <v>264</v>
      </c>
    </row>
    <row r="13" spans="1:9" ht="24" customHeight="1">
      <c r="B13" t="s" s="115">
        <v>79</v>
      </c>
      <c r="C13" s="207">
        <f ca="1">+Registro!C37</f>
      </c>
      <c r="D13" s="207"/>
      <c r="E13" t="s" s="36">
        <v>78</v>
      </c>
      <c r="G13" s="202">
        <f>+Registro!C18</f>
      </c>
      <c r="H13" s="202"/>
    </row>
    <row r="14" spans="1:9" ht="15" customHeight="1">
      <c r="B14" t="s" s="35">
        <v>81</v>
      </c>
      <c r="C14" s="201">
        <f>+Registro!C31</f>
      </c>
      <c r="D14" s="201"/>
      <c r="E14" t="s" s="36">
        <v>80</v>
      </c>
      <c r="G14" t="s" s="202">
        <v>131</v>
      </c>
      <c r="H14" s="202"/>
    </row>
    <row r="15" spans="1:9" s="83" customFormat="1" ht="16.5" customHeight="1">
      <c r="B15" t="s" s="125">
        <v>208</v>
      </c>
      <c r="C15" s="126">
        <f>+Registro!C33</f>
      </c>
      <c r="D15" s="126"/>
      <c r="E15" t="s" s="127">
        <v>209</v>
      </c>
      <c cm="1" r="G15" s="208">
        <f t="array" ref="G15">_xlfn.IFS(C15 &lt;= 2, " Un mes",AND(C15&gt;2,C15&lt;5)," dos meses",C15&gt;=5, "tres meses")</f>
      </c>
      <c r="H15" s="208"/>
    </row>
    <row r="16" spans="1:9">
      <c r="A16" t="s" s="196">
        <v>63</v>
      </c>
      <c r="B16" s="196"/>
      <c r="C16" s="196"/>
      <c r="D16" t="s" s="38">
        <v>54</v>
      </c>
      <c r="E16" t="s" s="196">
        <v>84</v>
      </c>
      <c r="F16" s="196"/>
      <c r="G16" s="196"/>
      <c r="H16" t="s" s="39">
        <v>85</v>
      </c>
    </row>
    <row r="17" spans="1:12" ht="117.75" customHeight="1">
      <c r="A17" s="210">
        <f>VLOOKUP('CALCULADOR DOSIS GOTAS ML'!G8,Tablas!L15:O16,2,FALSE)</f>
      </c>
      <c r="B17" s="210"/>
      <c r="C17" s="210"/>
      <c r="D17" s="109">
        <f>+'CALCULADOR DOSIS GOTAS ML'!F7</f>
      </c>
      <c r="E17" t="s" s="209">
        <v>204</v>
      </c>
      <c r="F17" s="209"/>
      <c r="G17" s="209"/>
      <c r="H17" s="128">
        <f>CONCATENATE(C15," Unidades")</f>
      </c>
    </row>
    <row r="18" spans="1:12">
      <c r="A18" t="s" s="194">
        <v>86</v>
      </c>
      <c r="B18" s="194"/>
      <c r="C18" s="194"/>
      <c r="D18" s="194"/>
      <c r="E18" s="194"/>
      <c r="F18" s="194"/>
      <c r="G18" s="194"/>
      <c r="H18" s="194"/>
      <c r="I18" s="36"/>
      <c r="J18" s="36"/>
      <c r="K18" s="36"/>
      <c r="L18" s="36"/>
    </row>
    <row r="19" spans="1:12" ht="24" customHeight="1">
      <c r="A19" t="s" s="211">
        <v>87</v>
      </c>
      <c r="B19" s="212"/>
      <c r="C19" s="213">
        <f>+C14</f>
      </c>
      <c r="D19" s="214"/>
      <c r="E19" t="s" s="113">
        <v>53</v>
      </c>
      <c r="F19" t="s" s="215">
        <v>226</v>
      </c>
      <c r="G19" s="215"/>
      <c r="H19" s="215"/>
      <c r="I19" s="36"/>
    </row>
    <row r="20" spans="1:12">
      <c r="A20" t="s" s="194">
        <v>2</v>
      </c>
      <c r="B20" s="194"/>
      <c r="C20" t="s" s="194">
        <v>3</v>
      </c>
      <c r="D20" s="194"/>
      <c r="E20" t="s" s="194">
        <v>4</v>
      </c>
      <c r="F20" s="194"/>
      <c r="G20" t="s" s="194">
        <v>5</v>
      </c>
      <c r="H20" s="194"/>
      <c r="I20" s="36"/>
      <c r="K20" s="36"/>
      <c r="L20" s="36"/>
    </row>
    <row r="21" spans="1:12" ht="92.25" customHeight="1">
      <c r="A21" s="221">
        <f>IF(C15=1,'CALCULADOR DOSIS GOTAS ML'!$C$10,"Suministrar 1 mL cada 12 horas durante el tratamiento prescrito")</f>
      </c>
      <c r="B21" s="221"/>
      <c r="C21" s="222">
        <f>IF(C15=1,'CALCULADOR DOSIS GOTAS ML'!$C$11,"Suministrar 1 mL cada 12 horas durante el tratamiento prescrito")</f>
      </c>
      <c r="D21" s="222"/>
      <c r="E21" s="221">
        <f>IF(C15=1,'CALCULADOR DOSIS GOTAS ML'!$C$12,"Suministrar 1 mL cada 12 horas durante el tratamiento prescrito")</f>
      </c>
      <c r="F21" s="221"/>
      <c r="G21" s="222">
        <f>IF(C15=1,'CALCULADOR DOSIS GOTAS ML'!$C$13,"Suministrar 1 mL cada 12 horas durante el tratamiento prescrito")</f>
      </c>
      <c r="H21" s="222"/>
      <c r="I21" s="34"/>
      <c r="K21" s="34"/>
      <c r="L21" s="34"/>
    </row>
    <row r="22" spans="1:12" ht="15" customHeight="1">
      <c r="A22" t="s" s="194">
        <v>89</v>
      </c>
      <c r="B22" s="194"/>
      <c r="C22" t="s" s="185">
        <v>90</v>
      </c>
      <c r="D22" s="185"/>
      <c r="E22" s="185"/>
      <c r="F22" s="185"/>
      <c r="G22" s="185"/>
      <c r="H22" s="185"/>
      <c r="I22" s="34"/>
      <c r="J22" s="34"/>
      <c r="K22" s="34"/>
      <c r="L22" s="34"/>
    </row>
    <row r="23" spans="1:12">
      <c r="A23" s="194"/>
      <c r="B23" s="194"/>
      <c r="C23" s="185"/>
      <c r="D23" s="185"/>
      <c r="E23" s="185"/>
      <c r="F23" s="185"/>
      <c r="G23" s="185"/>
      <c r="H23" s="185"/>
    </row>
    <row r="24" spans="1:12">
      <c r="A24" s="194"/>
      <c r="B24" s="194"/>
      <c r="C24" s="185"/>
      <c r="D24" s="185"/>
      <c r="E24" s="185"/>
      <c r="F24" s="185"/>
      <c r="G24" s="185"/>
      <c r="H24" s="185"/>
    </row>
    <row r="26" spans="1:12" ht="21">
      <c r="A26" s="216">
        <f>+B27</f>
      </c>
      <c r="B26" s="216"/>
      <c r="C26" s="216"/>
      <c r="D26" s="111"/>
    </row>
    <row r="27" spans="1:12">
      <c r="A27" t="s" s="62">
        <v>132</v>
      </c>
      <c r="B27" s="217">
        <f>+Registro!C4</f>
      </c>
      <c r="C27" s="217"/>
      <c r="D27" s="217"/>
    </row>
    <row r="28" spans="1:12">
      <c r="A28" t="s" s="62">
        <v>133</v>
      </c>
      <c r="B28" s="110">
        <f>+Registro!C5</f>
      </c>
      <c r="E28" s="218"/>
      <c r="F28" s="218"/>
      <c r="G28" s="218"/>
      <c r="H28" s="218"/>
    </row>
    <row r="29" spans="1:12">
      <c r="A29" t="s" s="114">
        <v>203</v>
      </c>
      <c r="B29" s="110">
        <f>+Registro!C10</f>
      </c>
      <c r="C29" s="188">
        <f>+Registro!C8</f>
      </c>
      <c r="D29" s="188"/>
      <c r="F29" t="s">
        <v>239</v>
      </c>
    </row>
    <row r="30" spans="1:12">
      <c r="A30" s="37"/>
      <c r="B30" s="37"/>
      <c r="C30" s="37"/>
      <c r="D30" s="37"/>
      <c r="E30" s="37"/>
      <c r="F30" s="37"/>
      <c r="G30" s="37"/>
      <c r="H30" s="37"/>
    </row>
  </sheetData>
  <mergeCells count="42">
    <mergeCell ref="C29:D29"/>
    <mergeCell ref="G21:H21"/>
    <mergeCell ref="F19:H19"/>
    <mergeCell ref="C22:H24"/>
    <mergeCell ref="A22:B24"/>
    <mergeCell ref="A19:B19"/>
    <mergeCell ref="C19:D19"/>
    <mergeCell ref="A26:C26"/>
    <mergeCell ref="A20:B20"/>
    <mergeCell ref="A21:B21"/>
    <mergeCell ref="C21:D21"/>
    <mergeCell ref="C20:D20"/>
    <mergeCell ref="E20:F20"/>
    <mergeCell ref="E21:F21"/>
    <mergeCell ref="G20:H20"/>
    <mergeCell ref="E28:H28"/>
    <mergeCell ref="G5:H5"/>
    <mergeCell ref="G6:H6"/>
    <mergeCell ref="G7:H7"/>
    <mergeCell ref="G8:H8"/>
    <mergeCell ref="G10:H10"/>
    <mergeCell ref="C6:D6"/>
    <mergeCell ref="C7:D7"/>
    <mergeCell ref="C8:D8"/>
    <mergeCell ref="C10:D10"/>
    <mergeCell ref="C11:D11"/>
    <mergeCell ref="C14:D14"/>
    <mergeCell ref="E7:F7"/>
    <mergeCell ref="E8:F8"/>
    <mergeCell ref="B27:D27"/>
    <mergeCell ref="G15:H15"/>
    <mergeCell ref="C12:D12"/>
    <mergeCell ref="C13:D13"/>
    <mergeCell ref="G11:H11"/>
    <mergeCell ref="G12:H12"/>
    <mergeCell ref="G13:H13"/>
    <mergeCell ref="G14:H14"/>
    <mergeCell ref="E16:G16"/>
    <mergeCell ref="A16:C16"/>
    <mergeCell ref="A18:H18"/>
    <mergeCell ref="A17:C17"/>
    <mergeCell ref="E17:G17"/>
  </mergeCells>
  <pageMargins left="0.25" right="0.25" top="0.75" bottom="0.75" header="0.3" footer="0.3"/>
  <pageSetup paperSize="156" orientation="portrait" r:id="rId1"/>
  <drawing r:id="rId2"/>
  <picture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FF034-FB88-4DA0-8085-42442EB4AA60}">
  <sheetPr codeName="Hoja14"/>
  <sheetViews>
    <sheetView zoomScale="60" zoomScaleNormal="60" workbookViewId="0">
      <selection activeCell="A5" sqref="A5"/>
    </sheetView>
  </sheetViews>
  <sheetFormatPr baseColWidth="10" defaultRowHeight="15"/>
  <cols>
    <col min="2" max="2" width="24.85546875" customWidth="1"/>
    <col min="3" max="3" width="15.5703125" bestFit="1" customWidth="1"/>
    <col min="4" max="4" width="15.5703125" customWidth="1"/>
    <col min="5" max="5" width="15.5703125" bestFit="1" customWidth="1"/>
    <col min="6" max="6" width="15.5703125" customWidth="1"/>
    <col min="7" max="7" width="15.5703125" bestFit="1" customWidth="1"/>
    <col min="8" max="8" width="15.5703125" customWidth="1"/>
    <col min="9" max="9" width="15.5703125" bestFit="1" customWidth="1"/>
    <col min="10" max="10" width="15.5703125" customWidth="1"/>
    <col min="11" max="11" width="15.5703125" bestFit="1" customWidth="1"/>
    <col min="19" max="19" width="15.5703125" bestFit="1" customWidth="1"/>
  </cols>
  <sheetData>
    <row r="4" spans="2:26" ht="15.75" thickBot="1"/>
    <row r="5" spans="2:26" ht="68.25" customHeight="1" thickBot="1">
      <c r="B5" t="s" s="223">
        <v>213</v>
      </c>
      <c r="C5" s="224"/>
      <c r="D5" s="224"/>
      <c r="E5" s="224"/>
      <c r="F5" s="224"/>
      <c r="G5" s="224"/>
      <c r="H5" s="224"/>
      <c r="I5" s="225"/>
      <c r="J5" t="s" s="130">
        <v>210</v>
      </c>
      <c r="K5" t="s" s="226">
        <v>219</v>
      </c>
      <c r="L5" s="227"/>
      <c r="M5" s="227"/>
      <c r="N5" s="227"/>
      <c r="O5" s="227"/>
      <c r="P5" s="227"/>
      <c r="Q5" s="227"/>
      <c r="R5" t="s" s="130">
        <v>212</v>
      </c>
      <c r="S5" t="s" s="223">
        <v>220</v>
      </c>
      <c r="T5" s="224"/>
      <c r="U5" s="224"/>
      <c r="V5" s="224"/>
      <c r="W5" s="224"/>
      <c r="X5" s="224"/>
      <c r="Y5" s="224"/>
      <c r="Z5" t="s" s="130">
        <v>211</v>
      </c>
    </row>
    <row r="6" spans="2:26" ht="25.5">
      <c r="B6" t="s" s="132">
        <v>214</v>
      </c>
      <c r="C6" t="s" s="133">
        <v>43</v>
      </c>
      <c r="D6" s="133"/>
      <c r="E6" t="s" s="133">
        <v>44</v>
      </c>
      <c r="F6" s="133"/>
      <c r="G6" t="s" s="133">
        <v>45</v>
      </c>
      <c r="H6" s="133"/>
      <c r="I6" t="s" s="133">
        <v>46</v>
      </c>
      <c r="J6" s="12"/>
      <c r="K6" t="s" s="144">
        <v>43</v>
      </c>
      <c r="L6" s="144"/>
      <c r="M6" t="s" s="144">
        <v>44</v>
      </c>
      <c r="N6" s="144"/>
      <c r="O6" t="s" s="144">
        <v>45</v>
      </c>
      <c r="P6" s="144"/>
      <c r="Q6" t="s" s="144">
        <v>46</v>
      </c>
      <c r="R6" s="145"/>
      <c r="S6" t="s" s="133">
        <v>43</v>
      </c>
      <c r="T6" s="133"/>
      <c r="U6" t="s" s="133">
        <v>44</v>
      </c>
      <c r="V6" s="133"/>
      <c r="W6" t="s" s="133">
        <v>45</v>
      </c>
      <c r="X6" s="133"/>
      <c r="Y6" t="s" s="133">
        <v>46</v>
      </c>
      <c r="Z6" s="12"/>
    </row>
    <row r="7" spans="2:26" ht="15.75">
      <c r="B7" t="s" s="131">
        <v>215</v>
      </c>
      <c r="C7" s="134">
        <f>+D7*30</f>
      </c>
      <c r="D7" s="134">
        <v>2</v>
      </c>
      <c r="E7" s="134">
        <v>80</v>
      </c>
      <c r="F7" s="134">
        <v>2.5</v>
      </c>
      <c r="G7" s="134">
        <v>100</v>
      </c>
      <c r="H7" s="134">
        <v>3.5</v>
      </c>
      <c r="I7" s="134">
        <v>120</v>
      </c>
      <c r="J7" s="134">
        <f>+I7/30</f>
      </c>
      <c r="K7" s="146">
        <f t="shared" ref="K7:K14" si="0">+L7*30</f>
      </c>
      <c r="L7" s="146">
        <v>0.75</v>
      </c>
      <c r="M7" s="146">
        <f t="shared" ref="M7:M14" si="1">+N7*30</f>
      </c>
      <c r="N7" s="146">
        <v>1.5</v>
      </c>
      <c r="O7" s="146">
        <f t="shared" ref="O7:O14" si="2">+P7*30</f>
      </c>
      <c r="P7" s="146">
        <v>2</v>
      </c>
      <c r="Q7" s="146">
        <f t="shared" ref="Q7:Q14" si="3">30*R7</f>
      </c>
      <c r="R7" s="146">
        <v>2.5</v>
      </c>
      <c r="S7" s="134">
        <f>+T7*30</f>
      </c>
      <c r="T7" s="134">
        <v>3.5</v>
      </c>
      <c r="U7" s="134">
        <f>+V7*30</f>
      </c>
      <c r="V7" s="134">
        <v>4</v>
      </c>
      <c r="W7" s="134">
        <f>+X7*30</f>
      </c>
      <c r="X7" s="134">
        <v>4.5</v>
      </c>
      <c r="Y7" s="134">
        <f>+Z7*30</f>
      </c>
      <c r="Z7" s="135">
        <v>5</v>
      </c>
    </row>
    <row r="8" spans="2:26" ht="15.75">
      <c r="B8" t="s" s="131">
        <v>34</v>
      </c>
      <c r="C8" s="134">
        <f t="shared" ref="C8:C14" si="4">+D8*30</f>
      </c>
      <c r="D8" s="134">
        <v>2</v>
      </c>
      <c r="E8" s="134">
        <v>80</v>
      </c>
      <c r="F8" s="134">
        <v>2.5</v>
      </c>
      <c r="G8" s="134">
        <v>100</v>
      </c>
      <c r="H8" s="134">
        <v>3.5</v>
      </c>
      <c r="I8" s="134">
        <v>120</v>
      </c>
      <c r="J8" s="134">
        <f t="shared" ref="J8:J14" si="5">+I8/30</f>
      </c>
      <c r="K8" s="146">
        <f t="shared" si="0"/>
      </c>
      <c r="L8" s="146">
        <v>0.75</v>
      </c>
      <c r="M8" s="146">
        <f t="shared" si="1"/>
      </c>
      <c r="N8" s="146">
        <v>1.5</v>
      </c>
      <c r="O8" s="146">
        <f t="shared" si="2"/>
      </c>
      <c r="P8" s="146">
        <v>2</v>
      </c>
      <c r="Q8" s="146">
        <f t="shared" si="3"/>
      </c>
      <c r="R8" s="146">
        <v>2.5</v>
      </c>
      <c r="S8" s="134">
        <f t="shared" ref="S8:S14" si="6">+T8*30</f>
      </c>
      <c r="T8" s="134">
        <v>3.5</v>
      </c>
      <c r="U8" s="134">
        <f t="shared" ref="U8:U14" si="7">+V8*30</f>
      </c>
      <c r="V8" s="134">
        <v>4</v>
      </c>
      <c r="W8" s="134">
        <f t="shared" ref="W8:W14" si="8">+X8*30</f>
      </c>
      <c r="X8" s="134">
        <v>4.5</v>
      </c>
      <c r="Y8" s="134">
        <f t="shared" ref="Y8:Y14" si="9">+Z8*30</f>
      </c>
      <c r="Z8" s="135">
        <v>5</v>
      </c>
    </row>
    <row r="9" spans="2:26" ht="31.5">
      <c r="B9" t="s" s="131">
        <v>216</v>
      </c>
      <c r="C9" s="134">
        <f t="shared" si="4"/>
      </c>
      <c r="D9" s="134">
        <v>1.5</v>
      </c>
      <c r="E9" s="134">
        <v>70</v>
      </c>
      <c r="F9" s="134">
        <v>2</v>
      </c>
      <c r="G9" s="134">
        <v>90</v>
      </c>
      <c r="H9" s="134">
        <v>2.5</v>
      </c>
      <c r="I9" s="134">
        <v>100</v>
      </c>
      <c r="J9" s="134">
        <v>3</v>
      </c>
      <c r="K9" s="146">
        <f t="shared" si="0"/>
      </c>
      <c r="L9" s="146">
        <v>0.5</v>
      </c>
      <c r="M9" s="146">
        <f t="shared" si="1"/>
      </c>
      <c r="N9" s="146">
        <v>1</v>
      </c>
      <c r="O9" s="146">
        <f t="shared" si="2"/>
      </c>
      <c r="P9" s="146">
        <v>1.5</v>
      </c>
      <c r="Q9" s="146">
        <f t="shared" si="3"/>
      </c>
      <c r="R9" s="146">
        <v>2</v>
      </c>
      <c r="S9" s="134">
        <f t="shared" si="6"/>
      </c>
      <c r="T9" s="134">
        <v>2.5</v>
      </c>
      <c r="U9" s="134">
        <f t="shared" si="7"/>
      </c>
      <c r="V9" s="134">
        <v>3</v>
      </c>
      <c r="W9" s="134">
        <f t="shared" si="8"/>
      </c>
      <c r="X9" s="134">
        <v>3.5</v>
      </c>
      <c r="Y9" s="134">
        <f t="shared" si="9"/>
      </c>
      <c r="Z9" s="135">
        <v>4</v>
      </c>
    </row>
    <row r="10" spans="2:26" ht="15.75">
      <c r="B10" t="s" s="131">
        <v>23</v>
      </c>
      <c r="C10" s="134">
        <f t="shared" si="4"/>
      </c>
      <c r="D10" s="134">
        <v>1.5</v>
      </c>
      <c r="E10" s="134">
        <v>60</v>
      </c>
      <c r="F10" s="134">
        <f>+E10/30</f>
      </c>
      <c r="G10" s="134">
        <v>80</v>
      </c>
      <c r="H10" s="134">
        <v>2.5</v>
      </c>
      <c r="I10" s="134">
        <v>100</v>
      </c>
      <c r="J10" s="134">
        <v>3</v>
      </c>
      <c r="K10" s="146">
        <f t="shared" si="0"/>
      </c>
      <c r="L10" s="146">
        <v>0.5</v>
      </c>
      <c r="M10" s="146">
        <f t="shared" si="1"/>
      </c>
      <c r="N10" s="146">
        <v>1</v>
      </c>
      <c r="O10" s="146">
        <f t="shared" si="2"/>
      </c>
      <c r="P10" s="146">
        <v>1.5</v>
      </c>
      <c r="Q10" s="146">
        <f t="shared" si="3"/>
      </c>
      <c r="R10" s="146">
        <v>2</v>
      </c>
      <c r="S10" s="134">
        <f t="shared" si="6"/>
      </c>
      <c r="T10" s="134">
        <v>2.5</v>
      </c>
      <c r="U10" s="134">
        <f t="shared" si="7"/>
      </c>
      <c r="V10" s="134">
        <v>3</v>
      </c>
      <c r="W10" s="134">
        <f t="shared" si="8"/>
      </c>
      <c r="X10" s="134">
        <v>3.5</v>
      </c>
      <c r="Y10" s="134">
        <f t="shared" si="9"/>
      </c>
      <c r="Z10" s="135">
        <v>4</v>
      </c>
    </row>
    <row r="11" spans="2:26" ht="15.75">
      <c r="B11" t="s" s="131">
        <v>217</v>
      </c>
      <c r="C11" s="134">
        <f t="shared" si="4"/>
      </c>
      <c r="D11" s="134">
        <v>2</v>
      </c>
      <c r="E11" s="134">
        <v>80</v>
      </c>
      <c r="F11" s="134">
        <v>2.5</v>
      </c>
      <c r="G11" s="134">
        <v>100</v>
      </c>
      <c r="H11" s="134">
        <v>3.5</v>
      </c>
      <c r="I11" s="134">
        <v>120</v>
      </c>
      <c r="J11" s="134">
        <f t="shared" si="5"/>
      </c>
      <c r="K11" s="146">
        <f t="shared" si="0"/>
      </c>
      <c r="L11" s="146">
        <v>0.75</v>
      </c>
      <c r="M11" s="146">
        <f t="shared" si="1"/>
      </c>
      <c r="N11" s="146">
        <v>1.5</v>
      </c>
      <c r="O11" s="146">
        <f t="shared" si="2"/>
      </c>
      <c r="P11" s="146">
        <v>2</v>
      </c>
      <c r="Q11" s="146">
        <f t="shared" si="3"/>
      </c>
      <c r="R11" s="146">
        <v>2.5</v>
      </c>
      <c r="S11" s="134">
        <f t="shared" si="6"/>
      </c>
      <c r="T11" s="134">
        <v>3.5</v>
      </c>
      <c r="U11" s="134">
        <f t="shared" si="7"/>
      </c>
      <c r="V11" s="134">
        <v>4</v>
      </c>
      <c r="W11" s="134">
        <f t="shared" si="8"/>
      </c>
      <c r="X11" s="134">
        <v>4.5</v>
      </c>
      <c r="Y11" s="134">
        <f t="shared" si="9"/>
      </c>
      <c r="Z11" s="135">
        <v>5</v>
      </c>
    </row>
    <row r="12" spans="2:26" ht="15.75">
      <c r="B12" t="s" s="131">
        <v>218</v>
      </c>
      <c r="C12" s="134">
        <f t="shared" si="4"/>
      </c>
      <c r="D12" s="134">
        <v>1.5</v>
      </c>
      <c r="E12" s="134">
        <v>60</v>
      </c>
      <c r="F12" s="134">
        <f>+E12/30</f>
      </c>
      <c r="G12" s="134">
        <v>80</v>
      </c>
      <c r="H12" s="134">
        <v>2.5</v>
      </c>
      <c r="I12" s="134">
        <v>100</v>
      </c>
      <c r="J12" s="134">
        <v>3</v>
      </c>
      <c r="K12" s="146">
        <f t="shared" si="0"/>
      </c>
      <c r="L12" s="146">
        <v>0.5</v>
      </c>
      <c r="M12" s="146">
        <f t="shared" si="1"/>
      </c>
      <c r="N12" s="146">
        <v>1</v>
      </c>
      <c r="O12" s="146">
        <f t="shared" si="2"/>
      </c>
      <c r="P12" s="146">
        <v>1.5</v>
      </c>
      <c r="Q12" s="146">
        <f t="shared" si="3"/>
      </c>
      <c r="R12" s="146">
        <v>2</v>
      </c>
      <c r="S12" s="134">
        <f t="shared" si="6"/>
      </c>
      <c r="T12" s="134">
        <v>2.5</v>
      </c>
      <c r="U12" s="134">
        <f t="shared" si="7"/>
      </c>
      <c r="V12" s="134">
        <v>3</v>
      </c>
      <c r="W12" s="134">
        <f t="shared" si="8"/>
      </c>
      <c r="X12" s="134">
        <v>3.5</v>
      </c>
      <c r="Y12" s="134">
        <f t="shared" si="9"/>
      </c>
      <c r="Z12" s="135">
        <v>4</v>
      </c>
    </row>
    <row r="13" spans="2:26" ht="15.75">
      <c r="B13" t="s" s="131">
        <v>27</v>
      </c>
      <c r="C13" s="134">
        <f t="shared" si="4"/>
      </c>
      <c r="D13" s="134">
        <v>1.5</v>
      </c>
      <c r="E13" s="134">
        <v>60</v>
      </c>
      <c r="F13" s="134">
        <f>+E13/30</f>
      </c>
      <c r="G13" s="134">
        <v>80</v>
      </c>
      <c r="H13" s="134">
        <v>2.5</v>
      </c>
      <c r="I13" s="134">
        <v>100</v>
      </c>
      <c r="J13" s="134">
        <v>3</v>
      </c>
      <c r="K13" s="146">
        <f t="shared" si="0"/>
      </c>
      <c r="L13" s="146">
        <v>0.75</v>
      </c>
      <c r="M13" s="146">
        <f t="shared" si="1"/>
      </c>
      <c r="N13" s="146">
        <v>1.5</v>
      </c>
      <c r="O13" s="146">
        <f t="shared" si="2"/>
      </c>
      <c r="P13" s="146">
        <v>1.5</v>
      </c>
      <c r="Q13" s="146">
        <f t="shared" si="3"/>
      </c>
      <c r="R13" s="146">
        <v>2</v>
      </c>
      <c r="S13" s="134">
        <f t="shared" si="6"/>
      </c>
      <c r="T13" s="134">
        <v>3</v>
      </c>
      <c r="U13" s="134">
        <f t="shared" si="7"/>
      </c>
      <c r="V13" s="134">
        <v>3.5</v>
      </c>
      <c r="W13" s="134">
        <f t="shared" si="8"/>
      </c>
      <c r="X13" s="134">
        <v>4</v>
      </c>
      <c r="Y13" s="134">
        <f t="shared" si="9"/>
      </c>
      <c r="Z13" s="135">
        <v>4.5</v>
      </c>
    </row>
    <row r="14" spans="2:26" ht="31.5">
      <c r="B14" t="s" s="131">
        <v>30</v>
      </c>
      <c r="C14" s="134">
        <f t="shared" si="4"/>
      </c>
      <c r="D14" s="134">
        <v>2</v>
      </c>
      <c r="E14" s="134">
        <v>80</v>
      </c>
      <c r="F14" s="134">
        <v>2.5</v>
      </c>
      <c r="G14" s="134">
        <v>100</v>
      </c>
      <c r="H14" s="134">
        <v>3.5</v>
      </c>
      <c r="I14" s="134">
        <v>120</v>
      </c>
      <c r="J14" s="134">
        <f t="shared" si="5"/>
      </c>
      <c r="K14" s="146">
        <f t="shared" si="0"/>
      </c>
      <c r="L14" s="146">
        <v>0.75</v>
      </c>
      <c r="M14" s="146">
        <f t="shared" si="1"/>
      </c>
      <c r="N14" s="146">
        <v>1.5</v>
      </c>
      <c r="O14" s="146">
        <f t="shared" si="2"/>
      </c>
      <c r="P14" s="146">
        <v>2</v>
      </c>
      <c r="Q14" s="146">
        <f t="shared" si="3"/>
      </c>
      <c r="R14" s="146">
        <v>2.5</v>
      </c>
      <c r="S14" s="134">
        <f t="shared" si="6"/>
      </c>
      <c r="T14" s="134">
        <v>3.5</v>
      </c>
      <c r="U14" s="134">
        <f t="shared" si="7"/>
      </c>
      <c r="V14" s="134">
        <v>4</v>
      </c>
      <c r="W14" s="134">
        <f t="shared" si="8"/>
      </c>
      <c r="X14" s="134">
        <v>4.5</v>
      </c>
      <c r="Y14" s="134">
        <f t="shared" si="9"/>
      </c>
      <c r="Z14" s="135">
        <v>5</v>
      </c>
    </row>
    <row r="25" spans="2:10" ht="15.75" thickBot="1"/>
    <row r="26" spans="2:10" ht="16.5" thickBot="1">
      <c r="B26" s="223"/>
      <c r="C26" s="224"/>
      <c r="D26" s="224"/>
      <c r="E26" s="224"/>
      <c r="F26" s="224"/>
      <c r="G26" s="224"/>
      <c r="H26" s="224"/>
      <c r="I26" s="225"/>
      <c r="J26" s="130"/>
    </row>
    <row r="27" spans="2:10" ht="23.25">
      <c r="B27" s="132"/>
    </row>
    <row r="28" spans="2:10" ht="15.75">
      <c r="B28" s="131"/>
    </row>
    <row r="29" spans="2:10" ht="15.75">
      <c r="B29" s="131"/>
    </row>
    <row r="30" spans="2:10" ht="15.75">
      <c r="B30" s="131"/>
    </row>
    <row r="31" spans="2:10" ht="15.75">
      <c r="B31" s="131"/>
    </row>
    <row r="32" spans="2:10" ht="15.75">
      <c r="B32" s="131"/>
    </row>
    <row r="33" spans="2:2" ht="15.75">
      <c r="B33" s="131"/>
    </row>
    <row r="34" spans="2:2" ht="15.75">
      <c r="B34" s="131"/>
    </row>
    <row r="35" spans="2:2" ht="15.75">
      <c r="B35" s="131"/>
    </row>
  </sheetData>
  <mergeCells count="4">
    <mergeCell ref="B26:I26"/>
    <mergeCell ref="B5:I5"/>
    <mergeCell ref="K5:Q5"/>
    <mergeCell ref="S5:Y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1B3079-71F8-4181-9339-ADE60036AA6F}">
  <sheetPr codeName="Hoja9"/>
  <sheetViews>
    <sheetView zoomScale="80" zoomScaleNormal="80" workbookViewId="0">
      <selection activeCell="I2" sqref="I2"/>
    </sheetView>
  </sheetViews>
  <sheetFormatPr baseColWidth="10" defaultRowHeight="15"/>
  <cols>
    <col min="1" max="1" width="8" style="22" customWidth="1"/>
    <col min="2" max="2" width="12.5703125" customWidth="1"/>
    <col min="3" max="3" width="39" customWidth="1"/>
    <col min="4" max="4" width="12.5703125" customWidth="1"/>
    <col min="5" max="5" width="16.28515625" bestFit="1" customWidth="1"/>
    <col min="6" max="6" width="24.85546875" customWidth="1"/>
    <col min="7" max="7" width="15.85546875" customWidth="1"/>
    <col min="8" max="8" width="13" customWidth="1"/>
    <col min="9" max="9" width="12.140625" customWidth="1"/>
    <col min="10" max="10" width="13.5703125" customWidth="1"/>
    <col min="11" max="11" width="13" customWidth="1"/>
    <col min="12" max="12" width="11.140625" customWidth="1"/>
    <col min="13" max="13" width="33.7109375" customWidth="1"/>
    <col min="14" max="14" width="19.42578125" customWidth="1"/>
  </cols>
  <sheetData>
    <row r="1" spans="1:13" s="21" customFormat="1">
      <c r="A1" s="22"/>
    </row>
    <row r="2" spans="1:13" s="21" customFormat="1">
      <c r="A2" s="22"/>
      <c r="C2" t="s" s="21">
        <v>64</v>
      </c>
    </row>
    <row r="3" spans="1:13" s="21" customFormat="1">
      <c r="A3" s="22"/>
    </row>
    <row r="4" spans="1:13" s="21" customFormat="1">
      <c r="A4" s="22"/>
      <c r="C4" t="s" s="21">
        <v>52</v>
      </c>
      <c r="D4" t="s" s="21">
        <v>0</v>
      </c>
      <c r="E4" t="s" s="21">
        <v>53</v>
      </c>
    </row>
    <row r="5" spans="1:13" ht="15.75" thickBot="1"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</row>
    <row r="6" spans="1:13" ht="15.75">
      <c r="B6" s="21"/>
      <c r="C6" t="s" s="90">
        <v>52</v>
      </c>
      <c r="D6" t="s" s="91">
        <v>179</v>
      </c>
      <c r="E6" s="92"/>
      <c r="F6" s="93"/>
      <c r="G6" t="s" s="93">
        <v>63</v>
      </c>
      <c r="H6" s="94"/>
      <c r="I6" s="21"/>
      <c r="J6" t="s" s="21">
        <v>66</v>
      </c>
      <c r="K6" s="21"/>
      <c r="L6" s="21"/>
      <c r="M6" s="21"/>
    </row>
    <row r="7" spans="1:13" ht="15.75" thickBot="1">
      <c r="B7" s="21"/>
      <c r="C7" s="95">
        <f>+'Registro MED'!C25</f>
      </c>
      <c r="D7" s="96">
        <f>IF('Registro MED'!C26="Normal",2,3)</f>
      </c>
      <c r="E7" s="96"/>
      <c r="F7" s="97"/>
      <c r="G7" s="97">
        <f>+VLOOKUP(C7,Hoja1!A2:E11,'CALCULADOR DOSIS MED'!D7+2,FALSE)</f>
      </c>
      <c r="H7" s="98"/>
      <c r="I7" s="21"/>
      <c r="J7" t="s" s="21">
        <v>67</v>
      </c>
      <c r="K7" s="21"/>
      <c r="L7" s="21"/>
      <c r="M7" s="21"/>
    </row>
    <row r="8" spans="1:13"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</row>
    <row r="9" spans="1:13" ht="15.75" thickBot="1">
      <c r="B9" s="21"/>
      <c r="C9" t="s" s="228">
        <v>65</v>
      </c>
      <c r="D9" s="228"/>
      <c r="E9" s="228"/>
      <c r="F9" s="21"/>
      <c r="G9" s="21"/>
      <c r="H9" s="21"/>
      <c r="I9" s="21"/>
      <c r="J9" s="21"/>
      <c r="K9" s="21"/>
      <c r="L9" s="21"/>
      <c r="M9" s="21"/>
    </row>
    <row r="10" spans="1:13" ht="30" customHeight="1" thickBot="1">
      <c r="B10" s="21"/>
      <c r="C10" s="99">
        <f>VLOOKUP(C7,Hoja1!A2:C11,'CALCULADOR DOSIS MED'!D7,FALSE)</f>
      </c>
      <c r="D10" s="100"/>
      <c r="E10" s="101"/>
      <c r="F10" t="s" s="21">
        <v>86</v>
      </c>
      <c r="G10" s="21"/>
      <c r="H10" s="21"/>
      <c r="I10" s="21"/>
      <c r="J10" s="21"/>
      <c r="K10" s="21"/>
      <c r="L10" s="21"/>
      <c r="M10" s="21"/>
    </row>
    <row r="11" spans="1:13" ht="105.75" thickBot="1">
      <c r="B11" s="21"/>
      <c r="C11" s="102">
        <f>+VLOOKUP(G7,Hoja1!A23:C26,2,FALSE)</f>
      </c>
      <c r="D11" s="103"/>
      <c r="E11" s="104"/>
      <c r="F11" t="s" s="21">
        <v>182</v>
      </c>
      <c r="G11" s="21"/>
      <c r="I11" s="21"/>
      <c r="J11" s="21"/>
      <c r="K11" s="21"/>
      <c r="L11" s="21"/>
      <c r="M11" s="21"/>
    </row>
    <row r="12" spans="1:13" ht="30" customHeight="1" thickBot="1">
      <c r="B12" s="21"/>
      <c r="C12" s="102">
        <f>+VLOOKUP(G7,Hoja1!A23:C26,3,FALSE)</f>
      </c>
      <c r="D12" s="103"/>
      <c r="E12" s="104"/>
      <c r="F12" t="s" s="21">
        <v>55</v>
      </c>
      <c r="G12" s="21"/>
      <c r="H12" s="21"/>
      <c r="I12" s="21"/>
      <c r="J12" s="21"/>
      <c r="K12" s="21"/>
      <c r="L12" s="21"/>
      <c r="M12" s="21"/>
    </row>
    <row r="13" spans="1:13" ht="30" customHeight="1">
      <c r="B13" s="21"/>
      <c r="C13" s="40">
        <f>+VLOOKUP(C7,Hoja1!A2:F11,6,FALSE)</f>
      </c>
      <c r="D13" s="41"/>
      <c r="E13" s="42"/>
      <c r="F13" t="s" s="21">
        <v>189</v>
      </c>
      <c r="G13" s="21"/>
      <c r="H13" s="21"/>
      <c r="I13" s="21"/>
      <c r="J13" s="21"/>
      <c r="K13" s="21"/>
      <c r="L13" s="21"/>
      <c r="M13" s="21"/>
    </row>
    <row r="15" spans="1:13">
      <c r="C15" s="5"/>
      <c r="D15" s="5"/>
      <c r="E15" s="5"/>
      <c r="F15" s="5"/>
      <c r="G15" s="5"/>
      <c r="H15" s="4"/>
      <c r="I15" s="4"/>
      <c r="J15" s="5"/>
      <c r="K15" s="4"/>
    </row>
    <row r="16" spans="1:13">
      <c r="C16" s="1"/>
      <c r="D16" s="3"/>
      <c r="E16" s="3"/>
      <c r="F16" s="7"/>
      <c r="G16" s="3"/>
      <c r="H16" s="3"/>
      <c r="I16" s="3"/>
      <c r="J16" s="3"/>
    </row>
    <row r="17" spans="3:10">
      <c r="C17" s="1"/>
      <c r="D17" s="3"/>
      <c r="E17" s="3"/>
      <c r="F17" s="7"/>
      <c r="G17" s="3"/>
      <c r="H17" s="3"/>
      <c r="I17" s="3"/>
      <c r="J17" s="3"/>
    </row>
    <row r="18" spans="3:10">
      <c r="C18" s="1"/>
      <c r="D18" s="3"/>
      <c r="E18" s="3"/>
      <c r="F18" s="7"/>
      <c r="G18" s="3"/>
      <c r="H18" s="3"/>
      <c r="I18" s="3"/>
      <c r="J18" s="3"/>
    </row>
    <row r="19" spans="3:10">
      <c r="C19" s="1"/>
      <c r="D19" s="3"/>
      <c r="E19" s="3"/>
      <c r="F19" s="7"/>
      <c r="G19" s="3"/>
      <c r="H19" s="3"/>
      <c r="I19" s="3"/>
      <c r="J19" s="3"/>
    </row>
    <row r="20" spans="3:10">
      <c r="E20" s="8"/>
      <c r="F20" s="8"/>
    </row>
    <row r="21" spans="3:10">
      <c r="E21" s="8"/>
      <c r="F21" s="8"/>
    </row>
    <row r="22" spans="3:10">
      <c r="E22" s="8"/>
      <c r="F22" s="8"/>
    </row>
    <row r="24" spans="3:10" ht="30">
      <c r="C24" t="s" s="6">
        <v>9</v>
      </c>
      <c r="D24" t="s" s="6">
        <v>1</v>
      </c>
      <c r="E24" t="s" s="2">
        <v>11</v>
      </c>
      <c r="F24" t="s" s="2">
        <v>13</v>
      </c>
      <c r="G24" t="s" s="6">
        <v>12</v>
      </c>
      <c r="H24" t="s" s="2">
        <v>10</v>
      </c>
    </row>
    <row r="25" spans="3:10">
      <c r="C25" s="7">
        <v>0.25</v>
      </c>
      <c r="D25" s="7">
        <v>30</v>
      </c>
      <c r="E25" s="3">
        <f>+H25*D25</f>
      </c>
      <c r="F25" s="3">
        <f>+IF(E25&gt;=1,ROUND(E25,0),1)</f>
      </c>
      <c r="G25" s="7">
        <f>IF(G7="1%",VLOOKUP($C$7,Tablas!$A$4:$G$25,3,FALSE),VLOOKUP($C$7,Tablas!$A$4:$G$25,3,FALSE)/2)</f>
      </c>
      <c r="H25" s="3">
        <f>+IF(AND(G7="1%",E7=1),G25*D7,IF(OR(AND(G7="2%",E7=1),AND(G7="1%",E7=2)),G25*D7/2,G25*D7/4))</f>
      </c>
    </row>
    <row r="28" spans="3:10">
      <c r="H28">
        <f>+IF(AND(G7=TRUE,E7=1),G25*D7,IF(OR(AND(G7="2%",E7=1,G7="1%",E7=2)),G25*D7/2,G25*D7/4))</f>
      </c>
    </row>
    <row r="29" spans="3:10">
      <c r="H29">
        <f>+IF(OR(AND(G7="2%",E7=1,G7="1%",E7=2)),G25*D7/2,G25*D7/4)</f>
      </c>
    </row>
  </sheetData>
  <mergeCells count="1">
    <mergeCell ref="C9:E9"/>
  </mergeCells>
  <pageMargins left="0.7" right="0.7" top="0.75" bottom="0.75" header="0.3" footer="0.3"/>
  <pageSetup paperSize="9" orientation="portrait" horizontalDpi="203" verticalDpi="203" r:id="rId1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C4E60F54-7102-4D9F-B2CA-119E51BF245D}">
          <x14:formula1>
            <xm:f>Tablas!$L$4:$L$5</xm:f>
          </x14:formula1>
          <xm:sqref>E7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5"/>
  <sheetViews>
    <sheetView topLeftCell="C1" zoomScale="80" zoomScaleNormal="80" workbookViewId="0">
      <selection activeCell="H21" sqref="H21"/>
    </sheetView>
  </sheetViews>
  <sheetFormatPr baseColWidth="10" defaultRowHeight="15"/>
  <cols>
    <col min="1" max="1" width="8" style="22" customWidth="1"/>
    <col min="2" max="2" width="12.5703125" customWidth="1"/>
    <col min="3" max="3" width="69.140625" customWidth="1"/>
    <col min="4" max="4" width="12.5703125" customWidth="1"/>
    <col min="5" max="5" width="16.28515625" customWidth="1"/>
    <col min="6" max="6" width="24.85546875" customWidth="1"/>
    <col min="7" max="7" width="15.85546875" customWidth="1"/>
    <col min="8" max="8" width="13" customWidth="1"/>
    <col min="9" max="9" width="12.140625" customWidth="1"/>
    <col min="10" max="10" width="13.5703125" customWidth="1"/>
    <col min="11" max="11" width="13" customWidth="1"/>
    <col min="12" max="12" width="11.140625" customWidth="1"/>
    <col min="13" max="13" width="33.7109375" customWidth="1"/>
    <col min="14" max="14" width="19.42578125" customWidth="1"/>
  </cols>
  <sheetData>
    <row r="1" spans="1:13" s="21" customFormat="1">
      <c r="A1" s="22"/>
    </row>
    <row r="2" spans="1:13" s="21" customFormat="1">
      <c r="A2" s="22"/>
      <c r="C2" t="s" s="21">
        <v>64</v>
      </c>
    </row>
    <row r="3" spans="1:13" s="21" customFormat="1">
      <c r="A3" s="22"/>
    </row>
    <row r="4" spans="1:13" s="21" customFormat="1">
      <c r="A4" s="22"/>
      <c r="C4" t="s" s="21">
        <v>52</v>
      </c>
      <c r="D4" t="s" s="21">
        <v>0</v>
      </c>
      <c r="E4" t="s" s="21">
        <v>53</v>
      </c>
    </row>
    <row r="5" spans="1:13" ht="15.75" thickBot="1"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</row>
    <row r="6" spans="1:13" ht="15.75">
      <c r="B6" s="21"/>
      <c r="C6" t="s" s="27">
        <v>52</v>
      </c>
      <c r="D6" t="s" s="28">
        <v>0</v>
      </c>
      <c r="E6" t="s" s="29">
        <v>16</v>
      </c>
      <c r="F6" t="s" s="30">
        <v>54</v>
      </c>
      <c r="G6" t="s" s="30">
        <v>63</v>
      </c>
      <c r="H6" t="s" s="25">
        <v>56</v>
      </c>
      <c r="I6" s="21"/>
      <c r="J6" t="s" s="21">
        <v>66</v>
      </c>
      <c r="K6" s="21"/>
      <c r="L6" s="21"/>
      <c r="M6" s="21"/>
    </row>
    <row r="7" spans="1:13" ht="15.75" thickBot="1">
      <c r="B7" s="21"/>
      <c r="C7" s="31">
        <f>+Registro!C31</f>
      </c>
      <c r="D7" s="32">
        <f>+Registro!C24</f>
      </c>
      <c r="E7" s="32">
        <v>2</v>
      </c>
      <c r="F7" s="33">
        <f>+Registro!C32</f>
      </c>
      <c r="G7" s="33">
        <f>+IF(VLOOKUP(F7,Tablas!L8:N11,3,FALSE)=10,"1%","2%")</f>
      </c>
      <c r="H7" s="26">
        <f>+VLOOKUP(C7,Tablas!A4:B25,2,FALSE)*D7</f>
      </c>
      <c r="I7" s="21"/>
      <c r="J7" t="s" s="21">
        <v>67</v>
      </c>
      <c r="K7" s="21"/>
      <c r="L7" s="21"/>
      <c r="M7" s="21"/>
    </row>
    <row r="8" spans="1:13">
      <c r="B8" s="21"/>
      <c r="C8" s="21"/>
      <c r="D8" s="21"/>
      <c r="E8" s="21"/>
      <c r="F8" s="21"/>
      <c r="G8" s="21">
        <f>+G7</f>
      </c>
      <c r="H8" s="21"/>
      <c r="I8" s="21"/>
      <c r="J8" s="21"/>
      <c r="K8" s="21"/>
      <c r="L8" s="21"/>
      <c r="M8" s="21"/>
    </row>
    <row r="9" spans="1:13" ht="15.75" thickBot="1">
      <c r="B9" s="21"/>
      <c r="C9" t="s" s="228">
        <v>65</v>
      </c>
      <c r="D9" s="228"/>
      <c r="E9" s="228"/>
      <c r="F9" s="21"/>
      <c r="G9" s="21"/>
      <c r="H9" s="21"/>
      <c r="I9" s="21"/>
      <c r="J9" s="21"/>
      <c r="K9" s="21"/>
      <c r="L9" s="21"/>
      <c r="M9" s="21"/>
    </row>
    <row r="10" spans="1:13" ht="30" customHeight="1" thickBot="1">
      <c r="B10" s="21"/>
      <c r="C10" s="40">
        <f>CONCATENATE("Prescribir ",L16," mgs al día.",(IF(D16=TRUE,CONCATENATE("  Durante la primera semana administrar ",I16," ","gota ",$E$7," veces al dia."),CONCATENATE(" Durante la primera semana administrar ",K16/$E$7," ","mL ",$E$7," veces al dia."))))</f>
      </c>
      <c r="D10" s="41"/>
      <c r="E10" s="42"/>
      <c r="F10" s="21"/>
      <c r="G10" s="21"/>
      <c r="H10" s="21"/>
      <c r="I10" s="21"/>
      <c r="J10" s="21"/>
      <c r="K10" s="21"/>
      <c r="L10" s="21"/>
      <c r="M10" s="21"/>
    </row>
    <row r="11" spans="1:13" ht="30" customHeight="1" thickBot="1">
      <c r="B11" s="21"/>
      <c r="C11" s="40">
        <f>CONCATENATE("Suministrar ",L17," mgs al día.",(IF(D17=TRUE,CONCATENATE("  Durante la segunda semana administrar ",I17," ","gota ",$E$7," veces al dia."),CONCATENATE(" Durante la segunda semana administrar ",K17/$E$7," ","mL ",$E$7," veces al dia."))))</f>
      </c>
      <c r="D11" s="41"/>
      <c r="E11" s="42"/>
      <c r="F11" s="21"/>
      <c r="G11" s="21"/>
      <c r="I11" s="21"/>
      <c r="J11" s="21"/>
      <c r="K11" s="21"/>
      <c r="L11" s="21"/>
      <c r="M11" s="21"/>
    </row>
    <row r="12" spans="1:13" ht="30" customHeight="1" thickBot="1">
      <c r="B12" s="21"/>
      <c r="C12" s="229">
        <f>CONCATENATE("Suministrar ",L18," mgs al día.",(IF(D18=TRUE,CONCATENATE("  Durante la tercera semana administrar ",I18," ","gota ",$E$7," veces al dia."),CONCATENATE(" Durante la tercera semana administrar ",K18/$E$7," ","mL ",$E$7," veces al dia."))))</f>
      </c>
      <c r="D12" s="230"/>
      <c r="E12" s="231"/>
      <c r="F12" s="21"/>
      <c r="G12" s="21"/>
      <c r="H12" s="21"/>
      <c r="I12" s="21"/>
      <c r="J12" s="21"/>
      <c r="K12" s="21"/>
      <c r="L12" s="21"/>
      <c r="M12" s="21"/>
    </row>
    <row r="13" spans="1:13" ht="30" customHeight="1">
      <c r="B13" s="21"/>
      <c r="C13" s="229">
        <f>CONCATENATE("Suministrar ",L19," mgs al día.",(IF(D19=TRUE,CONCATENATE("  Durante la cuarta semana administrar ",I19," ","gota ",$E$7," veces al dia."),CONCATENATE(" Durante la cuarta semana administrar ",K19/$E$7," ","mL ",$E$7," veces al dia."))))</f>
      </c>
      <c r="D13" s="230"/>
      <c r="E13" s="231"/>
      <c r="F13" s="21"/>
      <c r="G13" s="21"/>
      <c r="H13" s="21"/>
      <c r="I13" s="21"/>
      <c r="J13" s="21"/>
      <c r="K13" s="21"/>
      <c r="L13" s="21"/>
      <c r="M13" s="21"/>
    </row>
    <row r="15" spans="1:13" ht="30">
      <c r="C15" t="s" s="5">
        <v>6</v>
      </c>
      <c r="D15" t="s" s="5">
        <v>7</v>
      </c>
      <c r="E15" s="5"/>
      <c r="F15" t="s" s="5">
        <v>8</v>
      </c>
      <c r="G15" s="5"/>
      <c r="H15" t="s" s="4">
        <v>11</v>
      </c>
      <c r="I15" t="s" s="4">
        <v>15</v>
      </c>
      <c r="J15" t="s" s="5">
        <v>10</v>
      </c>
      <c r="K15" t="s" s="4">
        <v>17</v>
      </c>
      <c r="L15" t="s">
        <v>56</v>
      </c>
    </row>
    <row r="16" spans="1:13">
      <c r="C16" t="s" s="1">
        <v>14</v>
      </c>
      <c r="D16" s="3">
        <f>+IF($H$25/F16&lt;$C$25,TRUE,FALSE)</f>
      </c>
      <c r="E16" t="s" s="3">
        <v>2</v>
      </c>
      <c r="F16" s="7">
        <f>VLOOKUP($C$7,Tablas!$A$4:$G$25,4,FALSE)</f>
      </c>
      <c r="G16" s="3">
        <f>IF(D16=FALSE," dosis son mL"," dosis en gotas")</f>
      </c>
      <c r="H16" s="3">
        <f>+$E$25/F16</f>
      </c>
      <c r="I16" s="3">
        <f>+IF(H16&gt;=1,ROUND(H16,0),1)</f>
      </c>
      <c r="J16" s="3">
        <f>+D7*G25/F16</f>
      </c>
      <c r="K16">
        <f>MROUND(J16,0.25)</f>
      </c>
      <c r="L16">
        <f>+H7/F16</f>
      </c>
    </row>
    <row r="17" spans="3:12">
      <c r="C17" t="s" s="1">
        <v>14</v>
      </c>
      <c r="D17" s="3">
        <f>+IF($H$25/F17&lt;$C$25,TRUE,FALSE)</f>
      </c>
      <c r="E17" t="s" s="3">
        <v>3</v>
      </c>
      <c r="F17" s="7">
        <v>1</v>
      </c>
      <c r="G17" s="3">
        <f>IF(D17=FALSE," dosis son mL"," dosis en gotas")</f>
      </c>
      <c r="H17" s="3">
        <f>+$E$25/F17</f>
      </c>
      <c r="I17" s="3">
        <f>+IF(H17&gt;=1,ROUND(H17,0),1)</f>
      </c>
      <c r="J17" s="3">
        <f>+$D$7*$G$25/F17</f>
      </c>
      <c r="K17">
        <f>MROUND(J17,0.25)</f>
      </c>
      <c r="L17">
        <f>+ROUNDUP($H$7/F17,2)</f>
      </c>
    </row>
    <row r="18" spans="3:12">
      <c r="C18" t="s" s="1">
        <v>14</v>
      </c>
      <c r="D18" s="3">
        <f>+IF($H$25/F18&lt;$C$25,TRUE,FALSE)</f>
      </c>
      <c r="E18" t="s" s="3">
        <v>4</v>
      </c>
      <c r="F18" s="7">
        <f>VLOOKUP($C$7,Tablas!$A$4:$G$25,6,FALSE)</f>
      </c>
      <c r="G18" s="3">
        <f>IF(D18=FALSE," dosis son mL"," dosis en gotas")</f>
      </c>
      <c r="H18" s="3">
        <f>+$E$25/F18</f>
      </c>
      <c r="I18" s="3">
        <f>+IF(H18&gt;=1,ROUND(H18,0),1)</f>
      </c>
      <c r="J18" s="3">
        <f>+$D$7*$G$25/F18</f>
      </c>
      <c r="K18">
        <f>MROUND(J18,0.25)</f>
      </c>
      <c r="L18">
        <f>+ROUNDUP($H$7/F18,2)</f>
      </c>
    </row>
    <row r="19" spans="3:12">
      <c r="C19" t="s" s="1">
        <v>14</v>
      </c>
      <c r="D19" s="3">
        <f>+IF($H$25/F19&lt;$C$25,TRUE,FALSE)</f>
      </c>
      <c r="E19" t="s" s="3">
        <v>5</v>
      </c>
      <c r="F19" s="7">
        <f>VLOOKUP($C$7,Tablas!$A$4:$G$25,7,FALSE)</f>
      </c>
      <c r="G19" s="3">
        <f>IF(D19=FALSE," dosis son mL"," dosis en gotas")</f>
      </c>
      <c r="H19" s="3">
        <f>+$E$25/F19</f>
      </c>
      <c r="I19" s="3">
        <f>+IF(H19&gt;=1,ROUND(H19,0),1)</f>
      </c>
      <c r="J19" s="3">
        <f>+$D$7*$G$25/F19</f>
      </c>
      <c r="K19">
        <f>MROUND(J19,0.25)</f>
      </c>
      <c r="L19">
        <f>+ROUNDUP($H$7/F19,2)</f>
      </c>
    </row>
    <row r="20" spans="3:12">
      <c r="E20" t="s" s="168">
        <v>18</v>
      </c>
      <c r="F20" t="s" s="168">
        <v>19</v>
      </c>
    </row>
    <row r="21" spans="3:12">
      <c r="E21" s="168">
        <v>30</v>
      </c>
      <c r="F21" s="168">
        <v>9</v>
      </c>
    </row>
    <row r="22" spans="3:12">
      <c r="E22" s="168">
        <v>7</v>
      </c>
      <c r="F22" s="168">
        <f>+E22*F21/E21</f>
      </c>
    </row>
    <row r="24" spans="3:12" ht="30">
      <c r="C24" t="s" s="6">
        <v>9</v>
      </c>
      <c r="D24" t="s" s="6">
        <v>1</v>
      </c>
      <c r="E24" t="s" s="2">
        <v>11</v>
      </c>
      <c r="F24" t="s" s="2">
        <v>13</v>
      </c>
      <c r="G24" t="s" s="6">
        <v>12</v>
      </c>
      <c r="H24" t="s" s="2">
        <v>10</v>
      </c>
    </row>
    <row r="25" spans="3:12">
      <c r="C25" s="7">
        <v>0.25</v>
      </c>
      <c r="D25" s="7">
        <v>30</v>
      </c>
      <c r="E25" s="3">
        <f>+H25*D25</f>
      </c>
      <c r="F25" s="3">
        <f>+IF(E25&gt;=1,ROUND(E25,0),1)</f>
      </c>
      <c r="G25" s="7">
        <f>IF(G7="1%",VLOOKUP($C$7,Tablas!$A$4:$G$25,3,FALSE),VLOOKUP($C$7,Tablas!$A$4:$G$25,3,FALSE)/2)</f>
      </c>
      <c r="H25" s="3">
        <f>+IF(AND(G7="1%",E7=1),G25*D7,IF(OR(AND(G7="2%",E7=1),AND(G7="1%",E7=2)),G25*D7/2,G25*D7/4))</f>
      </c>
      <c r="L25">
        <v>1</v>
      </c>
    </row>
    <row r="26" spans="3:12">
      <c r="L26">
        <v>2</v>
      </c>
    </row>
    <row r="27" spans="3:12">
      <c r="L27">
        <v>3</v>
      </c>
    </row>
    <row r="28" spans="3:12">
      <c r="H28">
        <f>+IF(AND(G7=TRUE,E7=1),G25*D7,IF(OR(AND(G7="2%",E7=1,G7="1%",E7=2)),G25*D7/2,G25*D7/4))</f>
      </c>
      <c r="L28">
        <v>4</v>
      </c>
    </row>
    <row r="29" spans="3:12">
      <c r="H29">
        <f>+IF(OR(AND(G7="2%",E7=1,G7="1%",E7=2)),G25*D7/2,G25*D7/4)</f>
      </c>
      <c r="L29">
        <v>5</v>
      </c>
    </row>
    <row r="30" spans="3:12">
      <c r="L30">
        <v>6</v>
      </c>
    </row>
  </sheetData>
  <mergeCells count="3">
    <mergeCell ref="C9:E9"/>
    <mergeCell ref="C12:E12"/>
    <mergeCell ref="C13:E13"/>
  </mergeCells>
  <phoneticPr fontId="18" type="noConversion"/>
  <pageMargins left="0.7" right="0.7" top="0.75" bottom="0.75" header="0.3" footer="0.3"/>
  <pageSetup paperSize="9" orientation="portrait" horizontalDpi="203" verticalDpi="203" r:id="rId1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595CD6F9-5764-4465-AA92-5E996892AFDB}">
          <x14:formula1>
            <xm:f>Tablas!$L$4:$L$5</xm:f>
          </x14:formula1>
          <xm:sqref>E7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8DE42-157A-41AC-BF8A-D8566F175F00}">
  <sheetPr codeName="Hoja6"/>
  <sheetViews>
    <sheetView topLeftCell="A11" zoomScale="80" zoomScaleNormal="80" workbookViewId="0">
      <selection activeCell="D8" sqref="D8"/>
    </sheetView>
  </sheetViews>
  <sheetFormatPr baseColWidth="10" defaultRowHeight="15"/>
  <cols>
    <col min="1" max="2" width="20.5703125" style="3" customWidth="1"/>
    <col min="3" max="3" width="11.42578125" style="3"/>
    <col min="4" max="4" width="15.5703125" bestFit="1" customWidth="1"/>
    <col min="5" max="7" width="17.5703125" bestFit="1" customWidth="1"/>
    <col min="12" max="12" width="25" customWidth="1"/>
    <col min="13" max="13" width="15.28515625" style="3" customWidth="1"/>
    <col min="14" max="14" width="14.7109375" customWidth="1"/>
    <col min="15" max="15" width="9" customWidth="1"/>
    <col min="16" max="16" width="21.28515625" bestFit="1" customWidth="1"/>
  </cols>
  <sheetData>
    <row r="2" spans="1:17" ht="18.75">
      <c r="A2" s="19"/>
      <c r="B2" s="19"/>
      <c r="C2" s="19"/>
      <c r="D2" t="s" s="232">
        <v>51</v>
      </c>
      <c r="E2" s="232"/>
      <c r="F2" s="232"/>
      <c r="G2" s="232"/>
    </row>
    <row r="3" spans="1:17" ht="25.5">
      <c r="A3" t="s" s="11">
        <v>41</v>
      </c>
      <c r="B3" t="s" s="11">
        <v>57</v>
      </c>
      <c r="C3" t="s" s="11">
        <v>42</v>
      </c>
      <c r="D3" t="s" s="20">
        <v>43</v>
      </c>
      <c r="E3" t="s" s="20">
        <v>44</v>
      </c>
      <c r="F3" t="s" s="20">
        <v>45</v>
      </c>
      <c r="G3" t="s" s="20">
        <v>46</v>
      </c>
      <c r="J3" s="12"/>
      <c r="L3" t="s">
        <v>16</v>
      </c>
      <c r="P3" t="s">
        <v>98</v>
      </c>
      <c r="Q3" t="s">
        <v>116</v>
      </c>
    </row>
    <row r="4" spans="1:17" ht="16.5" thickBot="1">
      <c r="A4" t="s" s="9">
        <v>20</v>
      </c>
      <c r="B4" s="23">
        <v>1</v>
      </c>
      <c r="C4" s="10">
        <v>0.1</v>
      </c>
      <c r="D4" s="17">
        <v>1</v>
      </c>
      <c r="E4" s="17">
        <v>2</v>
      </c>
      <c r="F4" s="17">
        <v>2</v>
      </c>
      <c r="G4" s="17">
        <v>4</v>
      </c>
      <c r="L4">
        <v>1</v>
      </c>
      <c r="P4" t="s">
        <v>113</v>
      </c>
      <c r="Q4" t="s">
        <v>121</v>
      </c>
    </row>
    <row r="5" spans="1:17" ht="16.5" thickBot="1">
      <c r="A5" t="s" s="9">
        <v>21</v>
      </c>
      <c r="B5" s="23">
        <v>1</v>
      </c>
      <c r="C5" s="10">
        <v>0.1</v>
      </c>
      <c r="D5" s="17">
        <v>1</v>
      </c>
      <c r="E5" s="17">
        <v>2</v>
      </c>
      <c r="F5" s="17">
        <v>2</v>
      </c>
      <c r="G5" s="17">
        <v>2</v>
      </c>
      <c r="I5">
        <v>1</v>
      </c>
      <c r="J5" t="s" s="13">
        <v>47</v>
      </c>
      <c r="L5">
        <v>2</v>
      </c>
      <c r="P5" t="s">
        <v>120</v>
      </c>
      <c r="Q5" t="s">
        <v>122</v>
      </c>
    </row>
    <row r="6" spans="1:17" ht="16.5" thickBot="1">
      <c r="A6" t="s" s="9">
        <v>22</v>
      </c>
      <c r="B6" s="23">
        <v>0.5</v>
      </c>
      <c r="C6" s="10">
        <v>0.05</v>
      </c>
      <c r="D6" s="17">
        <v>1</v>
      </c>
      <c r="E6" s="17">
        <v>1</v>
      </c>
      <c r="F6" s="17">
        <v>1</v>
      </c>
      <c r="G6" s="17">
        <v>1</v>
      </c>
      <c r="I6">
        <v>2</v>
      </c>
      <c r="J6" t="s" s="14">
        <v>48</v>
      </c>
      <c r="P6" t="s">
        <v>210</v>
      </c>
    </row>
    <row r="7" spans="1:17" ht="16.5" thickBot="1">
      <c r="A7" t="s" s="9">
        <v>23</v>
      </c>
      <c r="B7" s="23">
        <v>0.25</v>
      </c>
      <c r="C7" s="10">
        <v>0.025</v>
      </c>
      <c r="D7" s="17">
        <v>1</v>
      </c>
      <c r="E7" s="17">
        <v>3</v>
      </c>
      <c r="F7" s="17">
        <v>3</v>
      </c>
      <c r="G7" s="17">
        <v>3</v>
      </c>
      <c r="I7">
        <v>3</v>
      </c>
      <c r="J7" t="s" s="15">
        <v>49</v>
      </c>
      <c r="L7" t="s">
        <v>55</v>
      </c>
      <c r="M7" t="s" s="3">
        <v>58</v>
      </c>
      <c r="N7" t="s">
        <v>59</v>
      </c>
      <c r="P7" t="s">
        <v>212</v>
      </c>
    </row>
    <row r="8" spans="1:17" ht="32.25" thickBot="1">
      <c r="A8" t="s" s="9">
        <v>24</v>
      </c>
      <c r="B8" s="23">
        <v>0.5</v>
      </c>
      <c r="C8" s="10">
        <v>0.05</v>
      </c>
      <c r="D8" s="17">
        <v>1</v>
      </c>
      <c r="E8" s="17">
        <v>1</v>
      </c>
      <c r="F8" s="17">
        <v>1</v>
      </c>
      <c r="G8" s="17">
        <v>1</v>
      </c>
      <c r="I8">
        <v>4</v>
      </c>
      <c r="J8" t="s" s="16">
        <v>50</v>
      </c>
      <c r="L8" t="s">
        <v>60</v>
      </c>
      <c r="M8" s="3">
        <v>150</v>
      </c>
      <c r="N8" s="24">
        <v>10</v>
      </c>
      <c r="P8" t="s">
        <v>211</v>
      </c>
    </row>
    <row r="9" spans="1:17" ht="16.5" thickBot="1">
      <c r="A9" t="s" s="9">
        <v>25</v>
      </c>
      <c r="B9" s="23">
        <v>0.25</v>
      </c>
      <c r="C9" s="10">
        <v>0.025</v>
      </c>
      <c r="D9" s="17">
        <v>1</v>
      </c>
      <c r="E9" s="18">
        <v>1</v>
      </c>
      <c r="F9" s="18">
        <v>2</v>
      </c>
      <c r="G9" s="18">
        <v>2</v>
      </c>
      <c r="L9" t="s">
        <v>61</v>
      </c>
      <c r="M9" s="3">
        <v>300</v>
      </c>
      <c r="N9" s="24">
        <v>20</v>
      </c>
    </row>
    <row r="10" spans="1:17" ht="16.5" thickBot="1">
      <c r="A10" t="s" s="9">
        <v>26</v>
      </c>
      <c r="B10" s="23">
        <v>0.75</v>
      </c>
      <c r="C10" s="10">
        <v>0.075</v>
      </c>
      <c r="D10" s="17">
        <v>1</v>
      </c>
      <c r="E10" s="17">
        <v>3</v>
      </c>
      <c r="F10" s="17">
        <v>3</v>
      </c>
      <c r="G10" s="17">
        <v>3</v>
      </c>
      <c r="L10" t="s">
        <v>62</v>
      </c>
      <c r="M10" s="3">
        <v>300</v>
      </c>
      <c r="N10" s="24">
        <v>10</v>
      </c>
    </row>
    <row r="11" spans="1:17" ht="16.5" thickBot="1">
      <c r="A11" t="s" s="9">
        <v>27</v>
      </c>
      <c r="B11" s="23">
        <v>1</v>
      </c>
      <c r="C11" s="10">
        <v>0.1</v>
      </c>
      <c r="D11" s="17">
        <v>1</v>
      </c>
      <c r="E11" s="17">
        <v>1</v>
      </c>
      <c r="F11" s="17">
        <v>4</v>
      </c>
      <c r="G11" s="17">
        <v>4</v>
      </c>
      <c r="L11" t="s">
        <v>123</v>
      </c>
      <c r="M11" s="3">
        <v>600</v>
      </c>
      <c r="N11" s="24">
        <v>20</v>
      </c>
    </row>
    <row r="12" spans="1:17" ht="48" thickBot="1">
      <c r="A12" t="s" s="9">
        <v>28</v>
      </c>
      <c r="B12" s="23">
        <v>0.75</v>
      </c>
      <c r="C12" s="10">
        <v>0.075</v>
      </c>
      <c r="D12" s="17">
        <v>1</v>
      </c>
      <c r="E12" s="17">
        <v>1</v>
      </c>
      <c r="F12" s="17">
        <v>1</v>
      </c>
      <c r="G12" s="17">
        <v>1</v>
      </c>
    </row>
    <row r="13" spans="1:17" ht="16.5" thickBot="1">
      <c r="A13" t="s" s="9">
        <v>29</v>
      </c>
      <c r="B13" s="23">
        <v>1</v>
      </c>
      <c r="C13" s="10">
        <v>0.1</v>
      </c>
      <c r="D13" s="17">
        <v>1</v>
      </c>
      <c r="E13" s="17">
        <v>2</v>
      </c>
      <c r="F13" s="17">
        <v>2</v>
      </c>
      <c r="G13" s="17">
        <v>2</v>
      </c>
    </row>
    <row r="14" spans="1:17" ht="32.25" thickBot="1">
      <c r="A14" t="s" s="9">
        <v>30</v>
      </c>
      <c r="B14" s="23">
        <v>0.75</v>
      </c>
      <c r="C14" s="10">
        <v>0.075</v>
      </c>
      <c r="D14" s="17">
        <v>1</v>
      </c>
      <c r="E14" s="17">
        <v>3</v>
      </c>
      <c r="F14" s="17">
        <v>3</v>
      </c>
      <c r="G14" s="17">
        <v>3</v>
      </c>
      <c r="L14" t="s">
        <v>104</v>
      </c>
    </row>
    <row r="15" spans="1:17" ht="102" customHeight="1" thickBot="1">
      <c r="A15" t="s" s="9">
        <v>31</v>
      </c>
      <c r="B15" s="23">
        <v>0.75</v>
      </c>
      <c r="C15" s="10">
        <v>0.075</v>
      </c>
      <c r="D15" s="17">
        <v>1</v>
      </c>
      <c r="E15" s="17">
        <v>3</v>
      </c>
      <c r="F15" s="17">
        <v>3</v>
      </c>
      <c r="G15" s="17">
        <v>3</v>
      </c>
      <c r="L15" t="s" s="44">
        <v>107</v>
      </c>
      <c r="M15" t="s" s="233">
        <v>105</v>
      </c>
      <c r="N15" s="233"/>
      <c r="O15" s="233"/>
    </row>
    <row r="16" spans="1:17" ht="71.25" customHeight="1" thickBot="1">
      <c r="A16" t="s" s="9">
        <v>32</v>
      </c>
      <c r="B16" s="23">
        <v>0.25</v>
      </c>
      <c r="C16" s="10">
        <v>0.025</v>
      </c>
      <c r="D16" s="17">
        <v>1</v>
      </c>
      <c r="E16" s="18">
        <v>2</v>
      </c>
      <c r="F16" s="18">
        <v>2</v>
      </c>
      <c r="G16" s="18">
        <v>2</v>
      </c>
      <c r="L16" t="s" s="44">
        <v>108</v>
      </c>
      <c r="M16" t="s" s="234">
        <v>106</v>
      </c>
      <c r="N16" s="234"/>
      <c r="O16" s="234"/>
    </row>
    <row r="17" spans="1:7" ht="16.5" thickBot="1">
      <c r="A17" t="s" s="9">
        <v>33</v>
      </c>
      <c r="B17" s="23">
        <v>1</v>
      </c>
      <c r="C17" s="10">
        <v>0.1</v>
      </c>
      <c r="D17" s="17">
        <v>1</v>
      </c>
      <c r="E17" s="17">
        <v>2</v>
      </c>
      <c r="F17" s="17">
        <v>2</v>
      </c>
      <c r="G17" s="17">
        <v>2</v>
      </c>
    </row>
    <row r="18" spans="1:7" ht="16.5" thickBot="1">
      <c r="A18" t="s" s="9">
        <v>34</v>
      </c>
      <c r="B18" s="23">
        <v>0.75</v>
      </c>
      <c r="C18" s="10">
        <v>0.075</v>
      </c>
      <c r="D18" s="17">
        <v>1</v>
      </c>
      <c r="E18" s="17">
        <v>3</v>
      </c>
      <c r="F18" s="17">
        <v>3</v>
      </c>
      <c r="G18" s="17">
        <v>3</v>
      </c>
    </row>
    <row r="19" spans="1:7" ht="32.25" thickBot="1">
      <c r="A19" t="s" s="9">
        <v>35</v>
      </c>
      <c r="B19" s="23">
        <v>0.5</v>
      </c>
      <c r="C19" s="10">
        <v>0.05</v>
      </c>
      <c r="D19" s="17">
        <v>1</v>
      </c>
      <c r="E19" s="18">
        <v>1</v>
      </c>
      <c r="F19" s="18">
        <v>1</v>
      </c>
      <c r="G19" s="18">
        <v>1</v>
      </c>
    </row>
    <row r="20" spans="1:7" ht="16.5" thickBot="1">
      <c r="A20" t="s" s="9">
        <v>22</v>
      </c>
      <c r="B20" s="23">
        <v>0.5</v>
      </c>
      <c r="C20" s="10">
        <v>0.05</v>
      </c>
      <c r="D20" s="17">
        <v>1</v>
      </c>
      <c r="E20" s="17">
        <v>1</v>
      </c>
      <c r="F20" s="17">
        <v>1</v>
      </c>
      <c r="G20" s="17">
        <v>1</v>
      </c>
    </row>
    <row r="21" spans="1:7" ht="32.25" thickBot="1">
      <c r="A21" t="s" s="9">
        <v>36</v>
      </c>
      <c r="B21" s="23">
        <v>0.25</v>
      </c>
      <c r="C21" s="10">
        <v>0.025</v>
      </c>
      <c r="D21" s="17">
        <v>1</v>
      </c>
      <c r="E21" s="18">
        <v>3</v>
      </c>
      <c r="F21" s="18">
        <v>3</v>
      </c>
      <c r="G21" s="18">
        <v>3</v>
      </c>
    </row>
    <row r="22" spans="1:7" ht="32.25" thickBot="1">
      <c r="A22" t="s" s="9">
        <v>37</v>
      </c>
      <c r="B22" s="23">
        <v>0.75</v>
      </c>
      <c r="C22" s="10">
        <v>0.075</v>
      </c>
      <c r="D22" s="17">
        <v>1</v>
      </c>
      <c r="E22" s="17">
        <v>3</v>
      </c>
      <c r="F22" s="17">
        <v>3</v>
      </c>
      <c r="G22" s="17">
        <v>3</v>
      </c>
    </row>
    <row r="23" spans="1:7" ht="32.25" thickBot="1">
      <c r="A23" t="s" s="9">
        <v>38</v>
      </c>
      <c r="B23" s="23">
        <v>0.75</v>
      </c>
      <c r="C23" s="10">
        <v>0.075</v>
      </c>
      <c r="D23" s="17">
        <v>1</v>
      </c>
      <c r="E23" s="17">
        <v>3</v>
      </c>
      <c r="F23" s="17">
        <v>3</v>
      </c>
      <c r="G23" s="17">
        <v>3</v>
      </c>
    </row>
    <row r="24" spans="1:7" ht="32.25" thickBot="1">
      <c r="A24" t="s" s="9">
        <v>39</v>
      </c>
      <c r="B24" s="23">
        <v>0.75</v>
      </c>
      <c r="C24" s="10">
        <v>0.075</v>
      </c>
      <c r="D24" s="17">
        <v>1</v>
      </c>
      <c r="E24" s="17">
        <v>3</v>
      </c>
      <c r="F24" s="17">
        <v>3</v>
      </c>
      <c r="G24" s="17">
        <v>3</v>
      </c>
    </row>
    <row r="25" spans="1:7" ht="16.5" thickBot="1">
      <c r="A25" t="s" s="9">
        <v>40</v>
      </c>
      <c r="B25" s="23">
        <v>0.5</v>
      </c>
      <c r="C25" s="10">
        <v>0.05</v>
      </c>
      <c r="D25" s="17">
        <v>1</v>
      </c>
      <c r="E25" s="17">
        <v>1</v>
      </c>
      <c r="F25" s="17">
        <v>1</v>
      </c>
      <c r="G25" s="17">
        <v>1</v>
      </c>
    </row>
  </sheetData>
  <mergeCells count="3">
    <mergeCell ref="D2:G2"/>
    <mergeCell ref="M15:O15"/>
    <mergeCell ref="M16:O16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90735-456E-41AF-8B5D-79DB1B0E0BAE}">
  <sheetPr codeName="Hoja10"/>
  <sheetViews>
    <sheetView topLeftCell="A27" zoomScale="130" zoomScaleNormal="130" workbookViewId="0">
      <selection activeCell="O3" sqref="O3"/>
    </sheetView>
  </sheetViews>
  <sheetFormatPr baseColWidth="10" defaultRowHeight="15"/>
  <cols>
    <col min="1" max="1" width="20.7109375" customWidth="1"/>
    <col min="2" max="3" width="36.7109375" customWidth="1"/>
    <col min="4" max="5" width="13.7109375" style="83" bestFit="1" customWidth="1"/>
  </cols>
  <sheetData>
    <row r="1" spans="1:6" ht="15.75" thickBot="1">
      <c r="B1" t="s">
        <v>168</v>
      </c>
      <c r="C1" t="s">
        <v>169</v>
      </c>
      <c r="D1" t="s" s="83">
        <v>182</v>
      </c>
      <c r="E1" t="s" s="83">
        <v>182</v>
      </c>
      <c r="F1" t="s">
        <v>189</v>
      </c>
    </row>
    <row r="2" spans="1:6" ht="114.75" customHeight="1" thickBot="1">
      <c r="A2" t="s" s="70">
        <v>157</v>
      </c>
      <c r="B2" t="s" s="70">
        <v>139</v>
      </c>
      <c r="C2" t="s" s="70">
        <v>139</v>
      </c>
      <c r="D2" t="s" s="84">
        <v>164</v>
      </c>
      <c r="E2" t="s" s="85">
        <v>165</v>
      </c>
      <c r="F2" t="s" s="105">
        <v>190</v>
      </c>
    </row>
    <row r="3" spans="1:6" ht="26.25" thickBot="1">
      <c r="A3" t="s" s="68">
        <v>88</v>
      </c>
      <c r="B3" t="s" s="68">
        <v>140</v>
      </c>
      <c r="C3" t="s" s="68">
        <v>140</v>
      </c>
      <c r="D3" t="s" s="86">
        <v>164</v>
      </c>
      <c r="E3" t="s" s="85">
        <v>165</v>
      </c>
      <c r="F3" t="s" s="105">
        <v>190</v>
      </c>
    </row>
    <row r="4" spans="1:6" ht="128.25" thickBot="1">
      <c r="A4" t="s" s="68">
        <v>141</v>
      </c>
      <c r="B4" t="s" s="68">
        <v>142</v>
      </c>
      <c r="C4" t="s" s="68">
        <v>142</v>
      </c>
      <c r="D4" t="s" s="84">
        <v>164</v>
      </c>
      <c r="E4" t="s" s="85">
        <v>165</v>
      </c>
      <c r="F4" t="s" s="105">
        <v>191</v>
      </c>
    </row>
    <row r="5" spans="1:6" ht="77.25" thickBot="1">
      <c r="A5" t="s" s="68">
        <v>143</v>
      </c>
      <c r="B5" t="s" s="68">
        <v>144</v>
      </c>
      <c r="C5" t="s" s="68">
        <v>144</v>
      </c>
      <c r="D5" t="s" s="84">
        <v>164</v>
      </c>
      <c r="E5" t="s" s="85">
        <v>165</v>
      </c>
      <c r="F5" t="s" s="105">
        <v>190</v>
      </c>
    </row>
    <row r="6" spans="1:6" ht="51.75" thickBot="1">
      <c r="A6" t="s" s="68">
        <v>145</v>
      </c>
      <c r="B6" t="s" s="68">
        <v>146</v>
      </c>
      <c r="C6" t="s" s="68">
        <v>146</v>
      </c>
      <c r="D6" t="s" s="84">
        <v>164</v>
      </c>
      <c r="E6" t="s" s="85">
        <v>165</v>
      </c>
      <c r="F6" t="s" s="105">
        <v>190</v>
      </c>
    </row>
    <row r="7" spans="1:6" ht="64.5" thickBot="1">
      <c r="A7" t="s" s="68">
        <v>147</v>
      </c>
      <c r="B7" t="s" s="68">
        <v>148</v>
      </c>
      <c r="C7" t="s" s="68">
        <v>148</v>
      </c>
      <c r="D7" t="s" s="84">
        <v>164</v>
      </c>
      <c r="E7" t="s" s="85">
        <v>165</v>
      </c>
      <c r="F7" t="s" s="105">
        <v>191</v>
      </c>
    </row>
    <row r="8" spans="1:6" ht="64.5" thickBot="1">
      <c r="A8" t="s" s="68">
        <v>149</v>
      </c>
      <c r="B8" t="s" s="68">
        <v>150</v>
      </c>
      <c r="C8" t="s" s="68">
        <v>150</v>
      </c>
      <c r="D8" t="s" s="84">
        <v>164</v>
      </c>
      <c r="E8" t="s" s="85">
        <v>165</v>
      </c>
      <c r="F8" t="s" s="105">
        <v>191</v>
      </c>
    </row>
    <row r="9" spans="1:6" ht="26.25" thickBot="1">
      <c r="A9" t="s" s="68">
        <v>151</v>
      </c>
      <c r="B9" t="s" s="68">
        <v>152</v>
      </c>
      <c r="C9" t="s" s="68">
        <v>152</v>
      </c>
      <c r="D9" t="s" s="84">
        <v>164</v>
      </c>
      <c r="E9" t="s" s="85">
        <v>165</v>
      </c>
      <c r="F9" t="s" s="105">
        <v>191</v>
      </c>
    </row>
    <row r="10" spans="1:6" ht="64.5" thickBot="1">
      <c r="A10" t="s" s="68">
        <v>153</v>
      </c>
      <c r="B10" t="s" s="68">
        <v>154</v>
      </c>
      <c r="C10" t="s" s="68">
        <v>154</v>
      </c>
      <c r="D10" t="s" s="84">
        <v>164</v>
      </c>
      <c r="E10" t="s" s="85">
        <v>165</v>
      </c>
      <c r="F10" t="s" s="105">
        <v>191</v>
      </c>
    </row>
    <row r="11" spans="1:6" ht="64.5" thickBot="1">
      <c r="A11" t="s" s="68">
        <v>155</v>
      </c>
      <c r="B11" t="s" s="68">
        <v>156</v>
      </c>
      <c r="C11" t="s" s="68">
        <v>156</v>
      </c>
      <c r="D11" t="s" s="84">
        <v>164</v>
      </c>
      <c r="E11" t="s" s="85">
        <v>165</v>
      </c>
      <c r="F11" t="s" s="105">
        <v>191</v>
      </c>
    </row>
    <row r="12" spans="1:6" ht="15.75" thickBot="1">
      <c r="A12" s="72"/>
      <c r="B12" s="72"/>
      <c r="C12" s="70"/>
      <c r="D12" s="87"/>
      <c r="E12" s="88"/>
    </row>
    <row r="13" spans="1:6" ht="15.75" thickBot="1">
      <c r="B13" s="68"/>
      <c r="C13" s="82"/>
    </row>
    <row r="16" spans="1:6">
      <c r="A16" t="s">
        <v>163</v>
      </c>
      <c r="B16" t="s" s="74">
        <v>157</v>
      </c>
      <c r="C16" s="74"/>
    </row>
    <row r="17" spans="1:8">
      <c r="B17" t="s" s="74">
        <v>158</v>
      </c>
      <c r="C17" s="74"/>
      <c r="D17" t="s" s="83">
        <v>177</v>
      </c>
    </row>
    <row r="18" spans="1:8">
      <c r="A18" t="s">
        <v>163</v>
      </c>
      <c r="B18" t="s" s="74">
        <v>159</v>
      </c>
      <c r="C18" s="74"/>
      <c r="D18" t="s" s="83">
        <v>178</v>
      </c>
    </row>
    <row r="19" spans="1:8">
      <c r="A19" t="s">
        <v>163</v>
      </c>
      <c r="B19" t="s" s="74">
        <v>160</v>
      </c>
      <c r="C19" s="74"/>
    </row>
    <row r="20" spans="1:8">
      <c r="B20" t="s" s="74">
        <v>161</v>
      </c>
      <c r="C20" s="74"/>
    </row>
    <row r="21" spans="1:8">
      <c r="B21" t="s" s="74">
        <v>162</v>
      </c>
      <c r="C21" s="74"/>
    </row>
    <row r="22" spans="1:8" ht="15.75" thickBot="1"/>
    <row r="23" spans="1:8" ht="91.5" customHeight="1" thickBot="1">
      <c r="A23" t="s" s="69">
        <v>164</v>
      </c>
      <c r="B23" t="s" s="70">
        <v>183</v>
      </c>
      <c r="C23" t="s" s="70">
        <v>184</v>
      </c>
      <c r="E23" s="89"/>
      <c r="F23" s="70"/>
      <c r="G23" s="70"/>
      <c r="H23" s="71"/>
    </row>
    <row r="24" spans="1:8" ht="90" thickBot="1">
      <c r="A24" t="s" s="72">
        <v>165</v>
      </c>
      <c r="B24" t="s" s="70">
        <v>185</v>
      </c>
      <c r="C24" t="s" s="70">
        <v>186</v>
      </c>
      <c r="F24" s="75"/>
      <c r="G24" s="72"/>
      <c r="H24" s="73"/>
    </row>
    <row r="25" spans="1:8" ht="77.25" thickBot="1">
      <c r="A25" t="s">
        <v>166</v>
      </c>
      <c r="B25" t="s" s="76">
        <v>187</v>
      </c>
      <c r="C25" t="s" s="70">
        <v>184</v>
      </c>
    </row>
    <row r="26" spans="1:8" ht="77.25" thickBot="1">
      <c r="A26" t="s">
        <v>167</v>
      </c>
      <c r="B26" t="s" s="76">
        <v>188</v>
      </c>
      <c r="C26" t="s" s="70">
        <v>186</v>
      </c>
    </row>
  </sheetData>
  <hyperlinks>
    <hyperlink ref="B16" r:id="rId1" display="https://klean-med.com/condiciones/ansiedad/" xr:uid="{23E52767-AEF1-40E3-959D-AD901281CFC8}"/>
    <hyperlink ref="B17" r:id="rId2" display="https://klean-med.com/condiciones/neuropatia/" xr:uid="{97BEAFBA-FB98-44DF-BA01-BE14115D294D}"/>
    <hyperlink ref="B18" r:id="rId3" display="https://klean-med.com/condiciones/dolor-cronico/" xr:uid="{C1A40B81-F80A-41EB-BA5F-78487337CD62}"/>
    <hyperlink ref="B19" r:id="rId4" display="https://klean-med.com/condiciones/insomnio/" xr:uid="{A9F4E94B-25B7-444D-AD73-9782BF4DAA2B}"/>
    <hyperlink ref="B20" r:id="rId5" display="https://klean-med.com/condiciones/falta-de-apetito/" xr:uid="{64A8DAF1-0913-4AFD-8FD1-B2635F7B4DC7}"/>
    <hyperlink ref="B21" r:id="rId6" display="https://klean-med.com/condiciones/sindrome-del-intestino-irritable/" xr:uid="{3B4B6FD9-893D-4A8A-9EBF-34F890316402}"/>
  </hyperlinks>
  <pageMargins left="0.7" right="0.7" top="0.75" bottom="0.75" header="0.3" footer="0.3"/>
  <pageSetup paperSize="9" orientation="portrait" r:id="rId7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D29DF-3DFB-4F39-A278-CD3189EE680C}">
  <sheetPr codeName="Hoja15"/>
  <sheetViews>
    <sheetView workbookViewId="0"/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15</vt:i4>
      </vt:variant>
      <vt:variant>
        <vt:lpstr>Rangos con nombre</vt:lpstr>
      </vt:variant>
      <vt:variant>
        <vt:i4>6</vt:i4>
      </vt:variant>
    </vt:vector>
  </HeadingPairs>
  <TitlesOfParts>
    <vt:vector size="21" baseType="lpstr">
      <vt:lpstr>Registro MED</vt:lpstr>
      <vt:lpstr>Registro</vt:lpstr>
      <vt:lpstr>Registro2</vt:lpstr>
      <vt:lpstr>Hoja2</vt:lpstr>
      <vt:lpstr>Buscar</vt:lpstr>
      <vt:lpstr>Base de Datos</vt:lpstr>
      <vt:lpstr>Prescripcion MED</vt:lpstr>
      <vt:lpstr>Prescripcion EQUINA</vt:lpstr>
      <vt:lpstr>Prescripcion</vt:lpstr>
      <vt:lpstr>Calculadora Equina</vt:lpstr>
      <vt:lpstr>CALCULADOR DOSIS MED</vt:lpstr>
      <vt:lpstr>CALCULADOR DOSIS GOTAS ML</vt:lpstr>
      <vt:lpstr>Tablas</vt:lpstr>
      <vt:lpstr>Hoja1</vt:lpstr>
      <vt:lpstr>Hoja3</vt:lpstr>
      <vt:lpstr>Datos</vt:lpstr>
      <vt:lpstr>Especie</vt:lpstr>
      <vt:lpstr>Prescripcion!Print_Area</vt:lpstr>
      <vt:lpstr>'Prescripcion EQUINA'!Print_Area</vt:lpstr>
      <vt:lpstr>'Prescripcion MED'!Print_Area</vt:lpstr>
      <vt:lpstr>Sexo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CAG</cp:lastModifiedBy>
  <cp:lastPrinted>2023-01-13T15:11:32Z</cp:lastPrinted>
  <dcterms:created xsi:type="dcterms:W3CDTF">2022-05-14T14:37:33Z</dcterms:created>
  <dcterms:modified xsi:type="dcterms:W3CDTF">2023-01-31T20:46:19Z</dcterms:modified>
</cp:coreProperties>
</file>