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60" windowWidth="11685" windowHeight="801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L9" i="1"/>
  <c r="L2" l="1"/>
  <c r="L30"/>
  <c r="L32"/>
  <c r="L28"/>
  <c r="O8" l="1"/>
  <c r="L10"/>
  <c r="L3"/>
  <c r="G3"/>
  <c r="G4" s="1"/>
  <c r="H6" s="1"/>
  <c r="Q5" l="1"/>
  <c r="L4"/>
  <c r="H7"/>
  <c r="B3"/>
  <c r="B4" s="1"/>
  <c r="C6" s="1"/>
  <c r="C7" s="1"/>
  <c r="M5"/>
  <c r="M6" l="1"/>
  <c r="M14" s="1"/>
  <c r="N14" s="1"/>
  <c r="N13" s="1"/>
  <c r="Q4"/>
  <c r="L6"/>
  <c r="L12"/>
  <c r="M29" s="1"/>
  <c r="C14"/>
  <c r="M8"/>
  <c r="K19"/>
  <c r="L14" l="1"/>
  <c r="L29"/>
  <c r="N17"/>
  <c r="L15"/>
  <c r="L7"/>
  <c r="L8" s="1"/>
  <c r="L31"/>
  <c r="M23"/>
  <c r="L33" l="1"/>
  <c r="M31"/>
  <c r="N31" s="1"/>
  <c r="M24"/>
  <c r="L16"/>
  <c r="M21" l="1"/>
  <c r="G10" l="1"/>
  <c r="G6" s="1"/>
  <c r="H14" l="1"/>
  <c r="I14" s="1"/>
  <c r="G12"/>
  <c r="M22"/>
  <c r="N24" s="1"/>
  <c r="H22"/>
  <c r="I13" l="1"/>
  <c r="I17"/>
  <c r="G7"/>
  <c r="G8" s="1"/>
  <c r="G14"/>
  <c r="D14"/>
  <c r="D17" s="1"/>
  <c r="H23"/>
  <c r="C22"/>
  <c r="N6" l="1"/>
  <c r="I6"/>
  <c r="H24"/>
  <c r="M25" l="1"/>
  <c r="C23"/>
  <c r="D13"/>
  <c r="C24"/>
  <c r="B10" l="1"/>
  <c r="B6" l="1"/>
  <c r="B7" s="1"/>
  <c r="B12"/>
  <c r="B14" s="1"/>
  <c r="D6"/>
  <c r="B8" l="1"/>
</calcChain>
</file>

<file path=xl/sharedStrings.xml><?xml version="1.0" encoding="utf-8"?>
<sst xmlns="http://schemas.openxmlformats.org/spreadsheetml/2006/main" count="63" uniqueCount="24">
  <si>
    <t>Valor Equipo</t>
  </si>
  <si>
    <t>% Anticp</t>
  </si>
  <si>
    <t>Anticp Oblig</t>
  </si>
  <si>
    <t>V. Equipo Diferido</t>
  </si>
  <si>
    <t>Cuotas</t>
  </si>
  <si>
    <t>Cuota Mensual</t>
  </si>
  <si>
    <t>% Primera Cuota</t>
  </si>
  <si>
    <t>Cuota Inicial</t>
  </si>
  <si>
    <t xml:space="preserve">Cupo </t>
  </si>
  <si>
    <t>Factor</t>
  </si>
  <si>
    <t>Score</t>
  </si>
  <si>
    <t>Excedente</t>
  </si>
  <si>
    <t>Total a Pagar</t>
  </si>
  <si>
    <t>Cargo basico</t>
  </si>
  <si>
    <t>Esta son las condiciones de financiación 12 meses:</t>
  </si>
  <si>
    <t>Anticipo:</t>
  </si>
  <si>
    <t>Cuota mensual:</t>
  </si>
  <si>
    <t>Cuota Inicial:</t>
  </si>
  <si>
    <t>Excedente a pagar</t>
  </si>
  <si>
    <t>Cargo Basico</t>
  </si>
  <si>
    <t>Valor  Anticipo</t>
  </si>
  <si>
    <t>CB</t>
  </si>
  <si>
    <t xml:space="preserve">Valor Anticipo Cargo Básico Y primera cuota </t>
  </si>
  <si>
    <t>respuesta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</si>
</sst>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  <numFmt numFmtId="165" formatCode="[$$-240A]\ #,##0"/>
    <numFmt numFmtId="166" formatCode="_-&quot;$&quot;* #,##0_-;\-&quot;$&quot;* #,##0_-;_-&quot;$&quot;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1F497D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/>
    <xf numFmtId="164" fontId="0" fillId="0" borderId="0" xfId="0" applyNumberFormat="1"/>
    <xf numFmtId="9" fontId="0" fillId="0" borderId="2" xfId="0" applyNumberFormat="1" applyBorder="1"/>
    <xf numFmtId="9" fontId="0" fillId="0" borderId="4" xfId="0" applyNumberFormat="1" applyBorder="1"/>
    <xf numFmtId="165" fontId="0" fillId="0" borderId="3" xfId="0" applyNumberFormat="1" applyBorder="1"/>
    <xf numFmtId="0" fontId="0" fillId="0" borderId="3" xfId="0" applyBorder="1"/>
    <xf numFmtId="164" fontId="0" fillId="0" borderId="3" xfId="0" applyNumberFormat="1" applyBorder="1"/>
    <xf numFmtId="166" fontId="0" fillId="0" borderId="0" xfId="3" applyNumberFormat="1" applyFont="1"/>
    <xf numFmtId="44" fontId="0" fillId="0" borderId="0" xfId="3" applyFont="1"/>
    <xf numFmtId="9" fontId="0" fillId="0" borderId="1" xfId="2" applyNumberFormat="1" applyFont="1" applyBorder="1"/>
    <xf numFmtId="0" fontId="3" fillId="0" borderId="0" xfId="0" applyFont="1" applyAlignment="1">
      <alignment vertical="center"/>
    </xf>
    <xf numFmtId="166" fontId="0" fillId="0" borderId="1" xfId="3" applyNumberFormat="1" applyFont="1" applyBorder="1"/>
    <xf numFmtId="166" fontId="4" fillId="0" borderId="0" xfId="0" applyNumberFormat="1" applyFont="1"/>
    <xf numFmtId="166" fontId="0" fillId="0" borderId="0" xfId="0" applyNumberFormat="1"/>
    <xf numFmtId="166" fontId="4" fillId="3" borderId="0" xfId="0" applyNumberFormat="1" applyFont="1" applyFill="1"/>
    <xf numFmtId="0" fontId="5" fillId="0" borderId="0" xfId="0" applyFont="1"/>
    <xf numFmtId="166" fontId="5" fillId="0" borderId="0" xfId="3" applyNumberFormat="1" applyFont="1"/>
    <xf numFmtId="164" fontId="5" fillId="0" borderId="0" xfId="0" applyNumberFormat="1" applyFont="1"/>
    <xf numFmtId="0" fontId="6" fillId="0" borderId="0" xfId="0" applyFont="1"/>
    <xf numFmtId="165" fontId="0" fillId="0" borderId="0" xfId="0" applyNumberFormat="1"/>
    <xf numFmtId="0" fontId="0" fillId="4" borderId="0" xfId="0" applyFill="1"/>
    <xf numFmtId="9" fontId="0" fillId="0" borderId="5" xfId="0" applyNumberFormat="1" applyBorder="1" applyProtection="1"/>
    <xf numFmtId="166" fontId="0" fillId="0" borderId="1" xfId="3" applyNumberFormat="1" applyFont="1" applyBorder="1" applyProtection="1"/>
    <xf numFmtId="164" fontId="0" fillId="0" borderId="1" xfId="1" applyNumberFormat="1" applyFont="1" applyBorder="1" applyProtection="1"/>
    <xf numFmtId="9" fontId="0" fillId="0" borderId="1" xfId="2" applyNumberFormat="1" applyFont="1" applyBorder="1" applyProtection="1"/>
    <xf numFmtId="9" fontId="0" fillId="0" borderId="4" xfId="0" applyNumberFormat="1" applyBorder="1" applyProtection="1"/>
    <xf numFmtId="166" fontId="0" fillId="0" borderId="3" xfId="3" applyNumberFormat="1" applyFont="1" applyBorder="1" applyProtection="1"/>
    <xf numFmtId="164" fontId="0" fillId="0" borderId="3" xfId="0" applyNumberFormat="1" applyBorder="1" applyProtection="1"/>
    <xf numFmtId="0" fontId="2" fillId="2" borderId="6" xfId="0" applyFont="1" applyFill="1" applyBorder="1" applyAlignment="1" applyProtection="1">
      <alignment horizontal="center"/>
    </xf>
    <xf numFmtId="165" fontId="7" fillId="0" borderId="7" xfId="0" applyNumberFormat="1" applyFont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165" fontId="7" fillId="0" borderId="9" xfId="0" applyNumberFormat="1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center"/>
    </xf>
    <xf numFmtId="165" fontId="7" fillId="3" borderId="9" xfId="0" applyNumberFormat="1" applyFont="1" applyFill="1" applyBorder="1" applyAlignment="1" applyProtection="1">
      <alignment horizontal="center"/>
    </xf>
    <xf numFmtId="165" fontId="0" fillId="3" borderId="3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Protection="1">
      <protection locked="0"/>
    </xf>
    <xf numFmtId="164" fontId="0" fillId="3" borderId="1" xfId="1" applyNumberFormat="1" applyFont="1" applyFill="1" applyBorder="1" applyProtection="1">
      <protection locked="0"/>
    </xf>
    <xf numFmtId="0" fontId="5" fillId="5" borderId="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</cellXfs>
  <cellStyles count="4">
    <cellStyle name="Millares" xfId="1" builtinId="3"/>
    <cellStyle name="Moneda" xfId="3" builtinId="4"/>
    <cellStyle name="Normal" xfId="0" builtinId="0"/>
    <cellStyle name="Porcentual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7"/>
  <sheetViews>
    <sheetView tabSelected="1" topLeftCell="K1" workbookViewId="0">
      <selection activeCell="M5" sqref="M5"/>
    </sheetView>
  </sheetViews>
  <sheetFormatPr baseColWidth="10" defaultRowHeight="15"/>
  <cols>
    <col min="1" max="1" width="16.85546875" hidden="1" customWidth="1"/>
    <col min="2" max="2" width="11.42578125" hidden="1" customWidth="1"/>
    <col min="3" max="4" width="12.5703125" hidden="1" customWidth="1"/>
    <col min="5" max="10" width="11.42578125" hidden="1" customWidth="1"/>
    <col min="11" max="11" width="40.42578125" bestFit="1" customWidth="1"/>
    <col min="12" max="12" width="12.7109375" customWidth="1"/>
    <col min="13" max="13" width="11.5703125" bestFit="1" customWidth="1"/>
    <col min="14" max="14" width="12.5703125" bestFit="1" customWidth="1"/>
    <col min="15" max="15" width="13.140625" bestFit="1" customWidth="1"/>
    <col min="16" max="16" width="40.42578125" bestFit="1" customWidth="1"/>
    <col min="17" max="17" width="11.7109375" customWidth="1"/>
    <col min="18" max="18" width="10.5703125" bestFit="1" customWidth="1"/>
  </cols>
  <sheetData>
    <row r="1" spans="1:21">
      <c r="A1" s="1" t="s">
        <v>0</v>
      </c>
      <c r="B1" s="2">
        <v>587900</v>
      </c>
      <c r="F1" s="1" t="s">
        <v>0</v>
      </c>
      <c r="G1" s="2">
        <v>967900</v>
      </c>
      <c r="K1" s="1" t="s">
        <v>0</v>
      </c>
      <c r="L1" s="40">
        <v>2366900</v>
      </c>
      <c r="M1" s="18"/>
      <c r="N1" s="18"/>
      <c r="O1" s="18"/>
      <c r="P1" s="18"/>
      <c r="Q1" s="18"/>
      <c r="R1" s="21"/>
      <c r="S1" s="21"/>
      <c r="T1" s="21"/>
      <c r="U1" s="21"/>
    </row>
    <row r="2" spans="1:21">
      <c r="A2" s="1" t="s">
        <v>1</v>
      </c>
      <c r="B2" s="5">
        <v>7.0000000000000007E-2</v>
      </c>
      <c r="F2" s="1" t="s">
        <v>1</v>
      </c>
      <c r="G2" s="5">
        <v>0.11</v>
      </c>
      <c r="K2" s="1" t="s">
        <v>1</v>
      </c>
      <c r="L2" s="24">
        <f>IF(AND(L5=12,0&lt;L1,L1&lt;=1000000),16%,IF(AND(L5=12,1000001&lt;=L1,L1&lt;=9000000),26%,IF(AND(L5=24,0&lt;L1,L1&lt;=1000000),16%,IF(AND(L5=24,1000001&lt;=L1,L1&lt;=9000000),26%,IF(OR(L5=3,L5=6),0%,"ERROR")))))</f>
        <v>0.26</v>
      </c>
      <c r="M2" s="18"/>
      <c r="N2" s="18"/>
      <c r="O2" s="18"/>
      <c r="P2" s="18"/>
      <c r="Q2" s="18"/>
      <c r="R2" s="21"/>
      <c r="S2" s="21"/>
      <c r="T2" s="21"/>
      <c r="U2" s="21"/>
    </row>
    <row r="3" spans="1:21">
      <c r="A3" s="1" t="s">
        <v>2</v>
      </c>
      <c r="B3" s="14">
        <f>+B1*B2</f>
        <v>41153.000000000007</v>
      </c>
      <c r="F3" s="1" t="s">
        <v>2</v>
      </c>
      <c r="G3" s="14">
        <f>+G1*G2</f>
        <v>106469</v>
      </c>
      <c r="K3" s="1" t="s">
        <v>2</v>
      </c>
      <c r="L3" s="25">
        <f>+L1*L2</f>
        <v>615394</v>
      </c>
      <c r="M3" s="18"/>
      <c r="N3" s="18"/>
      <c r="O3" s="18"/>
      <c r="P3" s="18"/>
      <c r="Q3" s="18"/>
      <c r="R3" s="21"/>
      <c r="S3" s="21"/>
      <c r="T3" s="21"/>
      <c r="U3" s="21"/>
    </row>
    <row r="4" spans="1:21">
      <c r="A4" s="1" t="s">
        <v>3</v>
      </c>
      <c r="B4" s="2">
        <f>+B1-B3</f>
        <v>546747</v>
      </c>
      <c r="F4" s="1" t="s">
        <v>3</v>
      </c>
      <c r="G4" s="2">
        <f>+G1-G3</f>
        <v>861431</v>
      </c>
      <c r="K4" s="1" t="s">
        <v>3</v>
      </c>
      <c r="L4" s="26">
        <f>+L1-L3</f>
        <v>1751506</v>
      </c>
      <c r="M4" s="18">
        <v>47408</v>
      </c>
      <c r="N4" s="18"/>
      <c r="O4" s="18"/>
      <c r="P4" s="18"/>
      <c r="Q4" s="20">
        <f>L4/L5</f>
        <v>145958.83333333334</v>
      </c>
      <c r="R4" s="21"/>
      <c r="S4" s="21"/>
      <c r="T4" s="21"/>
      <c r="U4" s="21"/>
    </row>
    <row r="5" spans="1:21">
      <c r="A5" s="1" t="s">
        <v>4</v>
      </c>
      <c r="B5" s="3">
        <v>12</v>
      </c>
      <c r="F5" s="1" t="s">
        <v>4</v>
      </c>
      <c r="G5" s="3">
        <v>24</v>
      </c>
      <c r="K5" s="1" t="s">
        <v>4</v>
      </c>
      <c r="L5" s="39">
        <v>12</v>
      </c>
      <c r="M5" s="18">
        <f>+M4*12</f>
        <v>568896</v>
      </c>
      <c r="N5" s="18"/>
      <c r="O5" s="18"/>
      <c r="P5" s="18"/>
      <c r="Q5" s="20">
        <f>L10/L5</f>
        <v>38375</v>
      </c>
      <c r="R5" s="21"/>
      <c r="S5" s="21"/>
      <c r="T5" s="21"/>
      <c r="U5" s="21"/>
    </row>
    <row r="6" spans="1:21">
      <c r="A6" s="1" t="s">
        <v>5</v>
      </c>
      <c r="B6" s="2">
        <f>+B10/B5</f>
        <v>152563.66666666666</v>
      </c>
      <c r="C6" s="10">
        <f>+B4/12</f>
        <v>45562.25</v>
      </c>
      <c r="D6" s="11">
        <f>+B4/5</f>
        <v>109349.4</v>
      </c>
      <c r="F6" s="1" t="s">
        <v>5</v>
      </c>
      <c r="G6" s="2">
        <f>IF(G10&gt;=G4,G4/G5,G10/G5)</f>
        <v>35892.958333333336</v>
      </c>
      <c r="H6" s="10">
        <f>+G4/12</f>
        <v>71785.916666666672</v>
      </c>
      <c r="I6" s="11">
        <f>+G4/5</f>
        <v>172286.2</v>
      </c>
      <c r="K6" s="1" t="s">
        <v>5</v>
      </c>
      <c r="L6" s="26">
        <f>IF(L10&gt;=L4,L4/L5,L10/L5)</f>
        <v>38375</v>
      </c>
      <c r="M6" s="18">
        <f>+L4/24</f>
        <v>72979.416666666672</v>
      </c>
      <c r="N6" s="18">
        <f>+L4/5</f>
        <v>350301.2</v>
      </c>
      <c r="O6" s="18">
        <v>153</v>
      </c>
      <c r="P6" s="18"/>
      <c r="Q6" s="18"/>
      <c r="R6" s="21"/>
      <c r="S6" s="21"/>
      <c r="T6" s="21"/>
      <c r="U6" s="21"/>
    </row>
    <row r="7" spans="1:21">
      <c r="A7" s="1" t="s">
        <v>6</v>
      </c>
      <c r="B7" s="12">
        <f>+B6/B1</f>
        <v>0.25950615183988207</v>
      </c>
      <c r="C7" s="12">
        <f>+C6/B1</f>
        <v>7.7499999999999999E-2</v>
      </c>
      <c r="F7" s="1" t="s">
        <v>6</v>
      </c>
      <c r="G7" s="12">
        <f>+G6/G1</f>
        <v>3.7083333333333336E-2</v>
      </c>
      <c r="H7">
        <f>+G4/G5</f>
        <v>35892.958333333336</v>
      </c>
      <c r="K7" s="1" t="s">
        <v>6</v>
      </c>
      <c r="L7" s="27">
        <f>+L6/L1</f>
        <v>1.6213190248848704E-2</v>
      </c>
      <c r="M7" s="18"/>
      <c r="N7" s="18"/>
      <c r="O7" s="18">
        <v>34000</v>
      </c>
      <c r="P7" s="18"/>
      <c r="Q7" s="18"/>
      <c r="R7" s="21"/>
      <c r="S7" s="21"/>
      <c r="T7" s="21"/>
      <c r="U7" s="21"/>
    </row>
    <row r="8" spans="1:21">
      <c r="A8" s="1" t="s">
        <v>7</v>
      </c>
      <c r="B8" s="6">
        <f>+B7+B2</f>
        <v>0.32950615183988208</v>
      </c>
      <c r="F8" s="1" t="s">
        <v>7</v>
      </c>
      <c r="G8" s="6">
        <f>+G7+G2</f>
        <v>0.14708333333333334</v>
      </c>
      <c r="K8" s="1" t="s">
        <v>7</v>
      </c>
      <c r="L8" s="28">
        <f>+L7+L2</f>
        <v>0.27621319024884872</v>
      </c>
      <c r="M8" s="18">
        <f>+L4/12</f>
        <v>145958.83333333334</v>
      </c>
      <c r="N8" s="18"/>
      <c r="O8" s="18">
        <f>+O6*O7</f>
        <v>5202000</v>
      </c>
      <c r="P8" s="18"/>
      <c r="Q8" s="18"/>
      <c r="R8" s="21"/>
      <c r="S8" s="21"/>
      <c r="T8" s="21"/>
      <c r="U8" s="21"/>
    </row>
    <row r="9" spans="1:21">
      <c r="A9" s="1" t="s">
        <v>8</v>
      </c>
      <c r="B9" s="7">
        <v>457691</v>
      </c>
      <c r="F9" s="1" t="s">
        <v>8</v>
      </c>
      <c r="G9" s="7">
        <v>235500</v>
      </c>
      <c r="K9" s="1" t="s">
        <v>8</v>
      </c>
      <c r="L9" s="37">
        <f>170000-L13</f>
        <v>92100</v>
      </c>
      <c r="M9" s="18"/>
      <c r="N9" s="18"/>
      <c r="O9" s="18"/>
      <c r="P9" s="18"/>
      <c r="Q9" s="18"/>
      <c r="R9" s="21"/>
      <c r="S9" s="21"/>
      <c r="T9" s="21"/>
      <c r="U9" s="21"/>
    </row>
    <row r="10" spans="1:21">
      <c r="A10" s="1" t="s">
        <v>9</v>
      </c>
      <c r="B10" s="8">
        <f>IF(B11&lt;561,B9*0,IF(AND(B11&gt;=561,B11&lt;606),B9*2,IF(B11&gt;=606,B9*4)))</f>
        <v>1830764</v>
      </c>
      <c r="F10" s="1" t="s">
        <v>9</v>
      </c>
      <c r="G10" s="8">
        <f>IF(G11&lt;561,G9*0,IF(AND(G11&gt;=561,G11&lt;606),G9*2,IF(G11&gt;=606,G9*4)))</f>
        <v>942000</v>
      </c>
      <c r="K10" s="1" t="s">
        <v>9</v>
      </c>
      <c r="L10" s="29">
        <f>IF(L11&lt;561,L9*0,IF(AND(L11&gt;=561,L11&lt;606),L9*3,IF(L11&gt;=606,L9*5)))</f>
        <v>460500</v>
      </c>
      <c r="M10" s="18"/>
      <c r="N10" s="18"/>
      <c r="O10" s="18"/>
      <c r="P10" s="18"/>
      <c r="Q10" s="18"/>
      <c r="R10" s="21"/>
      <c r="S10" s="21"/>
      <c r="T10" s="21"/>
      <c r="U10" s="21"/>
    </row>
    <row r="11" spans="1:21">
      <c r="A11" s="1" t="s">
        <v>10</v>
      </c>
      <c r="B11" s="8">
        <v>607</v>
      </c>
      <c r="F11" s="1" t="s">
        <v>10</v>
      </c>
      <c r="G11" s="8">
        <v>616</v>
      </c>
      <c r="K11" s="1" t="s">
        <v>10</v>
      </c>
      <c r="L11" s="38">
        <v>781</v>
      </c>
      <c r="M11" s="18"/>
      <c r="N11" s="18"/>
      <c r="O11" s="18"/>
      <c r="P11" s="18"/>
      <c r="Q11" s="18"/>
      <c r="R11" s="21"/>
      <c r="S11" s="21"/>
      <c r="T11" s="21"/>
      <c r="U11" s="21"/>
    </row>
    <row r="12" spans="1:21">
      <c r="A12" s="1" t="s">
        <v>11</v>
      </c>
      <c r="B12" s="9">
        <f>+B4-B10</f>
        <v>-1284017</v>
      </c>
      <c r="F12" s="1" t="s">
        <v>11</v>
      </c>
      <c r="G12" s="9">
        <f>+G4-G10</f>
        <v>-80569</v>
      </c>
      <c r="K12" s="1" t="s">
        <v>11</v>
      </c>
      <c r="L12" s="30">
        <f>+L4-L10</f>
        <v>1291006</v>
      </c>
      <c r="M12" s="18"/>
      <c r="N12" s="18"/>
      <c r="O12" s="18"/>
      <c r="P12" s="18"/>
      <c r="Q12" s="18"/>
      <c r="R12" s="21"/>
      <c r="S12" s="21"/>
      <c r="T12" s="21"/>
      <c r="U12" s="21"/>
    </row>
    <row r="13" spans="1:21">
      <c r="A13" s="1" t="s">
        <v>13</v>
      </c>
      <c r="B13" s="7">
        <v>38900</v>
      </c>
      <c r="D13" s="4">
        <f>+B1-D14</f>
        <v>-38900</v>
      </c>
      <c r="F13" s="1" t="s">
        <v>13</v>
      </c>
      <c r="G13" s="7">
        <v>77900</v>
      </c>
      <c r="I13" s="4">
        <f>+G1-I14</f>
        <v>-77900</v>
      </c>
      <c r="K13" s="1" t="s">
        <v>13</v>
      </c>
      <c r="L13" s="37">
        <v>77900</v>
      </c>
      <c r="M13" s="18"/>
      <c r="N13" s="20">
        <f>+L1-N14</f>
        <v>-77900</v>
      </c>
      <c r="O13" s="18"/>
      <c r="P13" s="18"/>
      <c r="Q13" s="18"/>
      <c r="R13" s="21"/>
      <c r="S13" s="21"/>
      <c r="T13" s="21"/>
      <c r="U13" s="21"/>
    </row>
    <row r="14" spans="1:21">
      <c r="A14" s="1" t="s">
        <v>12</v>
      </c>
      <c r="B14" s="9">
        <f>+B12+B3+B6+B13</f>
        <v>-1051400.3333333333</v>
      </c>
      <c r="C14" s="10">
        <f>+C6+B3+B13</f>
        <v>125615.25</v>
      </c>
      <c r="D14" s="4">
        <f>+(C6*11)+C14</f>
        <v>626800</v>
      </c>
      <c r="F14" s="1" t="s">
        <v>12</v>
      </c>
      <c r="G14" s="9">
        <f>+G3+G6+G13</f>
        <v>220261.95833333334</v>
      </c>
      <c r="H14" s="10">
        <f>+H6+G3+G13</f>
        <v>256154.91666666669</v>
      </c>
      <c r="I14" s="4">
        <f>+(H6*11)+H14</f>
        <v>1045800</v>
      </c>
      <c r="K14" s="1" t="s">
        <v>12</v>
      </c>
      <c r="L14" s="30">
        <f>IF(L12&lt;=0,L3+L6+L13,+L12+L3+L6+L13)</f>
        <v>2022675</v>
      </c>
      <c r="M14" s="18">
        <f>+M6+L3+L13</f>
        <v>766273.41666666663</v>
      </c>
      <c r="N14" s="18">
        <f>+(M6*23)+M14</f>
        <v>2444800</v>
      </c>
      <c r="O14" s="18"/>
      <c r="P14" s="18"/>
      <c r="Q14" s="18"/>
      <c r="R14" s="21"/>
      <c r="S14" s="21"/>
      <c r="T14" s="21"/>
      <c r="U14" s="21"/>
    </row>
    <row r="15" spans="1:21">
      <c r="K15" s="18"/>
      <c r="L15" s="19">
        <f>+L6*11</f>
        <v>422125</v>
      </c>
      <c r="M15" s="18"/>
      <c r="N15" s="18"/>
      <c r="O15" s="18"/>
      <c r="P15" s="18"/>
      <c r="Q15" s="18"/>
      <c r="R15" s="21"/>
      <c r="S15" s="21"/>
      <c r="T15" s="21"/>
      <c r="U15" s="21"/>
    </row>
    <row r="16" spans="1:21" hidden="1">
      <c r="L16" s="20">
        <f>+L15+L14-L13</f>
        <v>2366900</v>
      </c>
      <c r="M16" s="41"/>
      <c r="N16" s="41"/>
      <c r="O16" s="41"/>
      <c r="P16" s="42"/>
      <c r="Q16" s="18"/>
      <c r="R16" s="21"/>
      <c r="S16" s="21"/>
      <c r="T16" s="21"/>
      <c r="U16" s="21"/>
    </row>
    <row r="17" spans="2:21" hidden="1">
      <c r="D17" s="4">
        <f>+D14+C14</f>
        <v>752415.25</v>
      </c>
      <c r="I17" s="4">
        <f>+I14+H14</f>
        <v>1301954.9166666667</v>
      </c>
      <c r="K17" s="18"/>
      <c r="L17" s="18">
        <v>547691</v>
      </c>
      <c r="M17" s="18"/>
      <c r="N17" s="18">
        <f>+N14+M14</f>
        <v>3211073.4166666665</v>
      </c>
      <c r="O17" s="18"/>
      <c r="P17" s="18"/>
      <c r="Q17" s="18"/>
      <c r="R17" s="21"/>
      <c r="S17" s="21"/>
      <c r="T17" s="21"/>
      <c r="U17" s="21"/>
    </row>
    <row r="18" spans="2:21" hidden="1">
      <c r="B18" s="10"/>
      <c r="K18" s="18">
        <v>2900000</v>
      </c>
      <c r="L18" s="18"/>
      <c r="M18" s="18"/>
      <c r="N18" s="18"/>
      <c r="O18" s="18"/>
      <c r="P18" s="18"/>
      <c r="Q18" s="18"/>
      <c r="R18" s="21"/>
      <c r="S18" s="21"/>
      <c r="T18" s="21"/>
      <c r="U18" s="21"/>
    </row>
    <row r="19" spans="2:21" hidden="1">
      <c r="K19" s="18">
        <f>+K18*22%</f>
        <v>638000</v>
      </c>
      <c r="L19" s="18"/>
      <c r="M19" s="21"/>
      <c r="N19" s="21"/>
      <c r="O19" s="21"/>
      <c r="P19" s="21"/>
      <c r="Q19" s="21"/>
      <c r="R19" s="21"/>
      <c r="S19" s="21"/>
      <c r="T19" s="21"/>
      <c r="U19" s="21"/>
    </row>
    <row r="20" spans="2:21" hidden="1">
      <c r="B20" s="13" t="s">
        <v>14</v>
      </c>
      <c r="G20" s="13" t="s">
        <v>14</v>
      </c>
      <c r="L20" s="13" t="s">
        <v>14</v>
      </c>
      <c r="P20" s="21"/>
    </row>
    <row r="21" spans="2:21" hidden="1">
      <c r="B21" s="13"/>
      <c r="G21" s="13"/>
      <c r="L21" s="13" t="s">
        <v>19</v>
      </c>
      <c r="M21" s="15">
        <f>+L13</f>
        <v>77900</v>
      </c>
      <c r="P21" s="21"/>
    </row>
    <row r="22" spans="2:21" hidden="1">
      <c r="B22" s="13" t="s">
        <v>15</v>
      </c>
      <c r="C22" s="15">
        <f>+B3</f>
        <v>41153.000000000007</v>
      </c>
      <c r="G22" s="13" t="s">
        <v>15</v>
      </c>
      <c r="H22" s="15">
        <f>+G3</f>
        <v>106469</v>
      </c>
      <c r="L22" s="13" t="s">
        <v>15</v>
      </c>
      <c r="M22" s="17">
        <f>+L3</f>
        <v>615394</v>
      </c>
      <c r="P22" s="21"/>
    </row>
    <row r="23" spans="2:21" hidden="1">
      <c r="B23" s="13" t="s">
        <v>16</v>
      </c>
      <c r="C23" s="15">
        <f>+C6</f>
        <v>45562.25</v>
      </c>
      <c r="G23" s="13" t="s">
        <v>16</v>
      </c>
      <c r="H23" s="15">
        <f>+H6</f>
        <v>71785.916666666672</v>
      </c>
      <c r="L23" s="13" t="s">
        <v>16</v>
      </c>
      <c r="M23" s="15">
        <f>+L6</f>
        <v>38375</v>
      </c>
      <c r="P23" s="21"/>
    </row>
    <row r="24" spans="2:21" hidden="1">
      <c r="B24" s="13" t="s">
        <v>17</v>
      </c>
      <c r="C24" s="15">
        <f>+C14</f>
        <v>125615.25</v>
      </c>
      <c r="G24" s="13" t="s">
        <v>17</v>
      </c>
      <c r="H24" s="15">
        <f>+H14</f>
        <v>256154.91666666669</v>
      </c>
      <c r="L24" s="13" t="s">
        <v>18</v>
      </c>
      <c r="M24" s="17">
        <f>IF(L12&lt;=0,0,L12)</f>
        <v>1291006</v>
      </c>
      <c r="N24" s="16">
        <f>+M24+M22</f>
        <v>1906400</v>
      </c>
      <c r="P24" s="21"/>
    </row>
    <row r="25" spans="2:21" hidden="1">
      <c r="L25" s="13" t="s">
        <v>17</v>
      </c>
      <c r="M25" s="15">
        <f>+L14</f>
        <v>2022675</v>
      </c>
      <c r="P25" s="21"/>
    </row>
    <row r="26" spans="2:21">
      <c r="K26" s="23" t="s">
        <v>23</v>
      </c>
      <c r="M26" s="16"/>
      <c r="P26" s="18"/>
      <c r="Q26" s="18"/>
      <c r="R26" s="18"/>
      <c r="S26" s="18"/>
    </row>
    <row r="27" spans="2:21" ht="15.75" thickBot="1">
      <c r="K27" s="23"/>
      <c r="P27" s="18"/>
      <c r="Q27" s="18"/>
      <c r="R27" s="18"/>
      <c r="S27" s="18"/>
    </row>
    <row r="28" spans="2:21" ht="15.75" thickBot="1">
      <c r="K28" s="31" t="s">
        <v>0</v>
      </c>
      <c r="L28" s="32">
        <f>L1</f>
        <v>2366900</v>
      </c>
      <c r="P28" s="18"/>
      <c r="Q28" s="18"/>
      <c r="R28" s="18"/>
      <c r="S28" s="18"/>
    </row>
    <row r="29" spans="2:21" ht="15.75" thickBot="1">
      <c r="K29" s="33" t="s">
        <v>20</v>
      </c>
      <c r="L29" s="34">
        <f>L3+(IF(L12&lt;=0,0,L12))</f>
        <v>1906400</v>
      </c>
      <c r="M29" s="4">
        <f>+L3+L12</f>
        <v>1906400</v>
      </c>
      <c r="P29" s="18"/>
      <c r="Q29" s="18"/>
      <c r="R29" s="18"/>
      <c r="S29" s="18"/>
    </row>
    <row r="30" spans="2:21" ht="15.75" thickBot="1">
      <c r="K30" s="33" t="s">
        <v>4</v>
      </c>
      <c r="L30" s="35">
        <f>L5</f>
        <v>12</v>
      </c>
      <c r="P30" s="18"/>
      <c r="Q30" s="18"/>
      <c r="R30" s="18"/>
      <c r="S30" s="18"/>
    </row>
    <row r="31" spans="2:21" ht="15.75" thickBot="1">
      <c r="K31" s="33" t="s">
        <v>5</v>
      </c>
      <c r="L31" s="34">
        <f>L6</f>
        <v>38375</v>
      </c>
      <c r="M31">
        <f>+L31*L30</f>
        <v>460500</v>
      </c>
      <c r="N31" s="22">
        <f>+M31+L29</f>
        <v>2366900</v>
      </c>
      <c r="P31" s="18"/>
      <c r="Q31" s="18"/>
      <c r="R31" s="18"/>
      <c r="S31" s="18"/>
    </row>
    <row r="32" spans="2:21" ht="15.75" thickBot="1">
      <c r="K32" s="33" t="s">
        <v>21</v>
      </c>
      <c r="L32" s="34">
        <f>L13</f>
        <v>77900</v>
      </c>
      <c r="P32" s="18"/>
      <c r="Q32" s="18"/>
      <c r="R32" s="18"/>
      <c r="S32" s="18"/>
    </row>
    <row r="33" spans="11:19" ht="15.75" thickBot="1">
      <c r="K33" s="33" t="s">
        <v>22</v>
      </c>
      <c r="L33" s="36">
        <f>+L32+L29+L31</f>
        <v>2022675</v>
      </c>
      <c r="P33" s="18"/>
      <c r="Q33" s="18"/>
      <c r="R33" s="18"/>
      <c r="S33" s="18"/>
    </row>
    <row r="34" spans="11:19">
      <c r="P34" s="18"/>
      <c r="Q34" s="18"/>
      <c r="R34" s="18"/>
      <c r="S34" s="18"/>
    </row>
    <row r="37" spans="11:19">
      <c r="L37" s="16"/>
    </row>
  </sheetData>
  <sheetProtection password="CC75" sheet="1" objects="1" scenarios="1"/>
  <mergeCells count="1">
    <mergeCell ref="M16:P16"/>
  </mergeCells>
  <conditionalFormatting sqref="L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L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" sqref="C3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Triana Buitrago</dc:creator>
  <cp:lastModifiedBy>aaforeromo</cp:lastModifiedBy>
  <dcterms:created xsi:type="dcterms:W3CDTF">2015-09-28T13:13:23Z</dcterms:created>
  <dcterms:modified xsi:type="dcterms:W3CDTF">2016-07-11T15:19:51Z</dcterms:modified>
</cp:coreProperties>
</file>