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defaultThemeVersion="166925"/>
  <mc:AlternateContent xmlns:mc="http://schemas.openxmlformats.org/markup-compatibility/2006">
    <mc:Choice Requires="x15">
      <x15ac:absPath xmlns:x15ac="http://schemas.microsoft.com/office/spreadsheetml/2010/11/ac" url="C:\Users\nina\Google Drive\Festival Rating Sheets\"/>
    </mc:Choice>
  </mc:AlternateContent>
  <xr:revisionPtr revIDLastSave="0" documentId="13_ncr:1_{0BF22A34-4092-4466-A338-15DE243DE647}" xr6:coauthVersionLast="45" xr6:coauthVersionMax="45" xr10:uidLastSave="{00000000-0000-0000-0000-000000000000}"/>
  <bookViews>
    <workbookView xWindow="29700" yWindow="1200" windowWidth="21060" windowHeight="12360" activeTab="1" xr2:uid="{64DEEF8C-63EA-4802-88E5-6910BD8AC2E2}"/>
  </bookViews>
  <sheets>
    <sheet name="Dashboard" sheetId="2" r:id="rId1"/>
    <sheet name="2020 NFMC Solo" sheetId="1" r:id="rId2"/>
    <sheet name="Skills Used" sheetId="18" r:id="rId3"/>
    <sheet name="Students" sheetId="13" r:id="rId4"/>
  </sheets>
  <definedNames>
    <definedName name="_xlnm._FilterDatabase" localSheetId="1" hidden="1">'2020 NFMC Solo'!$B$7:$R$15</definedName>
    <definedName name="bigtable">'2020 NFMC Solo'!$A$8:$S$93</definedName>
    <definedName name="Slicer_Gender">#N/A</definedName>
    <definedName name="table">Table6[]</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1" i="1" l="1"/>
  <c r="A82" i="1"/>
  <c r="Q31" i="1"/>
  <c r="P31" i="1"/>
  <c r="R31" i="1" s="1"/>
  <c r="G31" i="1"/>
  <c r="I31" i="1" s="1"/>
  <c r="W31" i="1"/>
  <c r="O12" i="2" l="1"/>
  <c r="P73" i="1" l="1"/>
  <c r="L12" i="2"/>
  <c r="W54" i="1"/>
  <c r="W57" i="1"/>
  <c r="W58" i="1"/>
  <c r="W59" i="1"/>
  <c r="W60" i="1"/>
  <c r="W55" i="1"/>
  <c r="W56" i="1"/>
  <c r="W77" i="1"/>
  <c r="W78" i="1"/>
  <c r="W79" i="1"/>
  <c r="W80" i="1"/>
  <c r="W61" i="1"/>
  <c r="W62" i="1"/>
  <c r="W63" i="1"/>
  <c r="W64" i="1"/>
  <c r="W65" i="1"/>
  <c r="W17" i="1"/>
  <c r="W18" i="1"/>
  <c r="W42" i="1"/>
  <c r="W44" i="1"/>
  <c r="W43" i="1"/>
  <c r="W19" i="1"/>
  <c r="W20" i="1"/>
  <c r="W21" i="1"/>
  <c r="W22" i="1"/>
  <c r="W23" i="1"/>
  <c r="W24" i="1"/>
  <c r="W26" i="1"/>
  <c r="W25" i="1"/>
  <c r="W27" i="1"/>
  <c r="W28" i="1"/>
  <c r="W29" i="1"/>
  <c r="W30" i="1"/>
  <c r="W11" i="1"/>
  <c r="W12" i="1"/>
  <c r="W82" i="1"/>
  <c r="W81" i="1"/>
  <c r="W69" i="1"/>
  <c r="W32" i="1"/>
  <c r="W34" i="1"/>
  <c r="W33" i="1"/>
  <c r="W8" i="1"/>
  <c r="W9" i="1"/>
  <c r="W10" i="1"/>
  <c r="W66" i="1"/>
  <c r="W67" i="1"/>
  <c r="W68" i="1"/>
  <c r="W13" i="1"/>
  <c r="W14" i="1"/>
  <c r="W15" i="1"/>
  <c r="W16" i="1"/>
  <c r="W70" i="1"/>
  <c r="W71" i="1"/>
  <c r="W50" i="1"/>
  <c r="W51" i="1"/>
  <c r="W52" i="1"/>
  <c r="W53" i="1"/>
  <c r="W36" i="1"/>
  <c r="W35" i="1"/>
  <c r="W37" i="1"/>
  <c r="W38" i="1"/>
  <c r="W40" i="1"/>
  <c r="W39" i="1"/>
  <c r="W41" i="1"/>
  <c r="W72" i="1"/>
  <c r="W73" i="1"/>
  <c r="W74" i="1"/>
  <c r="W75" i="1"/>
  <c r="W76" i="1"/>
  <c r="W45" i="1"/>
  <c r="W46" i="1"/>
  <c r="W47" i="1"/>
  <c r="W48" i="1"/>
  <c r="W49" i="1"/>
  <c r="F12" i="2"/>
  <c r="U54" i="1" l="1"/>
  <c r="U57" i="1"/>
  <c r="U58" i="1"/>
  <c r="U59" i="1"/>
  <c r="U60" i="1"/>
  <c r="U55" i="1"/>
  <c r="U56" i="1"/>
  <c r="U77" i="1"/>
  <c r="U78" i="1"/>
  <c r="U79" i="1"/>
  <c r="U80" i="1"/>
  <c r="U61" i="1"/>
  <c r="U62" i="1"/>
  <c r="U63" i="1"/>
  <c r="U64" i="1"/>
  <c r="U65" i="1"/>
  <c r="U17" i="1"/>
  <c r="U18" i="1"/>
  <c r="U42" i="1"/>
  <c r="U44" i="1"/>
  <c r="U43" i="1"/>
  <c r="U19" i="1"/>
  <c r="U20" i="1"/>
  <c r="U21" i="1"/>
  <c r="U22" i="1"/>
  <c r="U23" i="1"/>
  <c r="U24" i="1"/>
  <c r="U26" i="1"/>
  <c r="U25" i="1"/>
  <c r="U27" i="1"/>
  <c r="U28" i="1"/>
  <c r="U29" i="1"/>
  <c r="U30" i="1"/>
  <c r="U11" i="1"/>
  <c r="U12" i="1"/>
  <c r="U82" i="1"/>
  <c r="U81" i="1"/>
  <c r="U69" i="1"/>
  <c r="U32" i="1"/>
  <c r="U34" i="1"/>
  <c r="U33" i="1"/>
  <c r="U8" i="1"/>
  <c r="U9" i="1"/>
  <c r="U10" i="1"/>
  <c r="U66" i="1"/>
  <c r="U67" i="1"/>
  <c r="U68" i="1"/>
  <c r="U13" i="1"/>
  <c r="U14" i="1"/>
  <c r="U15" i="1"/>
  <c r="U16" i="1"/>
  <c r="U70" i="1"/>
  <c r="U71" i="1"/>
  <c r="U50" i="1"/>
  <c r="U51" i="1"/>
  <c r="U52" i="1"/>
  <c r="U53" i="1"/>
  <c r="U36" i="1"/>
  <c r="U35" i="1"/>
  <c r="U37" i="1"/>
  <c r="U38" i="1"/>
  <c r="U40" i="1"/>
  <c r="U39" i="1"/>
  <c r="U41" i="1"/>
  <c r="U72" i="1"/>
  <c r="U73" i="1"/>
  <c r="U74" i="1"/>
  <c r="U75" i="1"/>
  <c r="U76" i="1"/>
  <c r="U45" i="1"/>
  <c r="U46" i="1"/>
  <c r="U47" i="1"/>
  <c r="U48" i="1"/>
  <c r="U49" i="1"/>
  <c r="R54" i="1" l="1"/>
  <c r="R58" i="1"/>
  <c r="R59" i="1"/>
  <c r="R55" i="1"/>
  <c r="R56" i="1"/>
  <c r="R78" i="1"/>
  <c r="R79" i="1"/>
  <c r="R62" i="1"/>
  <c r="R63" i="1"/>
  <c r="R64" i="1"/>
  <c r="R44" i="1"/>
  <c r="R43" i="1"/>
  <c r="R20" i="1"/>
  <c r="R21" i="1"/>
  <c r="R23" i="1"/>
  <c r="R24" i="1"/>
  <c r="R26" i="1"/>
  <c r="R27" i="1"/>
  <c r="R28" i="1"/>
  <c r="R29" i="1"/>
  <c r="R11" i="1"/>
  <c r="R12" i="1"/>
  <c r="R82" i="1"/>
  <c r="R81" i="1"/>
  <c r="R34" i="1"/>
  <c r="R33" i="1"/>
  <c r="R9" i="1"/>
  <c r="R67" i="1"/>
  <c r="R14" i="1"/>
  <c r="R15" i="1"/>
  <c r="R70" i="1"/>
  <c r="R71" i="1"/>
  <c r="R51" i="1"/>
  <c r="R53" i="1"/>
  <c r="R36" i="1"/>
  <c r="R37" i="1"/>
  <c r="R38" i="1"/>
  <c r="R40" i="1"/>
  <c r="R39" i="1"/>
  <c r="R74" i="1"/>
  <c r="R75" i="1"/>
  <c r="R46" i="1"/>
  <c r="R47" i="1"/>
  <c r="R48" i="1"/>
  <c r="A81" i="1"/>
  <c r="A80" i="1" l="1"/>
  <c r="G73" i="1"/>
  <c r="I73" i="1" s="1"/>
  <c r="R73" i="1"/>
  <c r="Q73" i="1"/>
  <c r="P77" i="1"/>
  <c r="R77" i="1" s="1"/>
  <c r="P61" i="1"/>
  <c r="R61" i="1" s="1"/>
  <c r="P17" i="1"/>
  <c r="R17" i="1" s="1"/>
  <c r="P18" i="1"/>
  <c r="R18" i="1" s="1"/>
  <c r="P42" i="1"/>
  <c r="R42" i="1" s="1"/>
  <c r="P19" i="1"/>
  <c r="R19" i="1" s="1"/>
  <c r="P22" i="1"/>
  <c r="R22" i="1" s="1"/>
  <c r="P25" i="1"/>
  <c r="R25" i="1" s="1"/>
  <c r="P32" i="1"/>
  <c r="R32" i="1" s="1"/>
  <c r="P8" i="1"/>
  <c r="R8" i="1" s="1"/>
  <c r="P66" i="1"/>
  <c r="R66" i="1" s="1"/>
  <c r="P13" i="1"/>
  <c r="R13" i="1" s="1"/>
  <c r="P50" i="1"/>
  <c r="R50" i="1" s="1"/>
  <c r="P35" i="1"/>
  <c r="R35" i="1" s="1"/>
  <c r="P72" i="1"/>
  <c r="R72" i="1" s="1"/>
  <c r="P45" i="1"/>
  <c r="R45" i="1" s="1"/>
  <c r="Q57" i="1"/>
  <c r="P57" i="1"/>
  <c r="R57" i="1" s="1"/>
  <c r="A78" i="1"/>
  <c r="A79" i="1"/>
  <c r="G26" i="1"/>
  <c r="I26" i="1" s="1"/>
  <c r="G36" i="1"/>
  <c r="I36" i="1" s="1"/>
  <c r="P26" i="1"/>
  <c r="P36" i="1"/>
  <c r="Q26" i="1"/>
  <c r="Q36" i="1"/>
  <c r="A60" i="1"/>
  <c r="A61" i="1"/>
  <c r="A62" i="1"/>
  <c r="A63" i="1"/>
  <c r="A64" i="1"/>
  <c r="A65" i="1"/>
  <c r="A66" i="1"/>
  <c r="A67" i="1"/>
  <c r="A68" i="1"/>
  <c r="A69" i="1"/>
  <c r="A70" i="1"/>
  <c r="A71" i="1"/>
  <c r="A72" i="1"/>
  <c r="A73" i="1"/>
  <c r="A74" i="1"/>
  <c r="A75" i="1"/>
  <c r="A76" i="1"/>
  <c r="A77" i="1"/>
  <c r="G57" i="1"/>
  <c r="I57" i="1" s="1"/>
  <c r="G77" i="1"/>
  <c r="I77" i="1" s="1"/>
  <c r="G61" i="1"/>
  <c r="I61" i="1" s="1"/>
  <c r="G42" i="1"/>
  <c r="I42" i="1" s="1"/>
  <c r="G19" i="1"/>
  <c r="I19" i="1" s="1"/>
  <c r="G25" i="1"/>
  <c r="I25" i="1" s="1"/>
  <c r="G32" i="1"/>
  <c r="I32" i="1" s="1"/>
  <c r="G8" i="1"/>
  <c r="I8" i="1" s="1"/>
  <c r="G66" i="1"/>
  <c r="I66" i="1" s="1"/>
  <c r="G13" i="1"/>
  <c r="I13" i="1" s="1"/>
  <c r="G50" i="1"/>
  <c r="I50" i="1" s="1"/>
  <c r="G22" i="1"/>
  <c r="I22" i="1" s="1"/>
  <c r="G35" i="1"/>
  <c r="I35" i="1" s="1"/>
  <c r="G72" i="1"/>
  <c r="I72" i="1" s="1"/>
  <c r="G45" i="1"/>
  <c r="I45" i="1" s="1"/>
  <c r="G17" i="1"/>
  <c r="I17" i="1" s="1"/>
  <c r="G18" i="1"/>
  <c r="I18" i="1" s="1"/>
  <c r="Q77" i="1"/>
  <c r="Q61" i="1"/>
  <c r="Q42" i="1"/>
  <c r="Q19" i="1"/>
  <c r="Q25" i="1"/>
  <c r="Q32" i="1"/>
  <c r="Q8" i="1"/>
  <c r="Q66" i="1"/>
  <c r="Q13" i="1"/>
  <c r="Q50" i="1"/>
  <c r="Q22" i="1"/>
  <c r="Q35" i="1"/>
  <c r="Q72" i="1"/>
  <c r="Q45" i="1"/>
  <c r="Q17" i="1"/>
  <c r="Q18" i="1"/>
  <c r="A45" i="1"/>
  <c r="A46" i="1"/>
  <c r="A47" i="1"/>
  <c r="A48" i="1"/>
  <c r="A49" i="1"/>
  <c r="A50" i="1"/>
  <c r="A51" i="1"/>
  <c r="A52" i="1"/>
  <c r="A53" i="1"/>
  <c r="A54" i="1"/>
  <c r="A55" i="1"/>
  <c r="A56" i="1"/>
  <c r="A57" i="1"/>
  <c r="A58" i="1"/>
  <c r="A59" i="1"/>
  <c r="P80" i="1"/>
  <c r="R80" i="1" s="1"/>
  <c r="P65" i="1"/>
  <c r="R65" i="1" s="1"/>
  <c r="P30" i="1"/>
  <c r="R30" i="1" s="1"/>
  <c r="P10" i="1"/>
  <c r="R10" i="1" s="1"/>
  <c r="P68" i="1"/>
  <c r="R68" i="1" s="1"/>
  <c r="P16" i="1"/>
  <c r="R16" i="1" s="1"/>
  <c r="P52" i="1"/>
  <c r="R52" i="1" s="1"/>
  <c r="P41" i="1"/>
  <c r="R41" i="1" s="1"/>
  <c r="P76" i="1"/>
  <c r="R76" i="1" s="1"/>
  <c r="P49" i="1"/>
  <c r="R49" i="1" s="1"/>
  <c r="P69" i="1"/>
  <c r="R69" i="1" s="1"/>
  <c r="P60" i="1"/>
  <c r="R60" i="1" s="1"/>
  <c r="Q30" i="1"/>
  <c r="Q10" i="1"/>
  <c r="Q68" i="1"/>
  <c r="Q16" i="1"/>
  <c r="Q52" i="1"/>
  <c r="Q41" i="1"/>
  <c r="Q76" i="1"/>
  <c r="Q49" i="1"/>
  <c r="Q69" i="1"/>
  <c r="Q44" i="1"/>
  <c r="Q82" i="1"/>
  <c r="Q34" i="1"/>
  <c r="Q40" i="1"/>
  <c r="Q54" i="1"/>
  <c r="Q11" i="1"/>
  <c r="Q53" i="1"/>
  <c r="Q47" i="1"/>
  <c r="Q59" i="1"/>
  <c r="Q55" i="1"/>
  <c r="Q78" i="1"/>
  <c r="Q63" i="1"/>
  <c r="Q28" i="1"/>
  <c r="Q9" i="1"/>
  <c r="Q67" i="1"/>
  <c r="Q14" i="1"/>
  <c r="Q70" i="1"/>
  <c r="Q51" i="1"/>
  <c r="Q38" i="1"/>
  <c r="Q74" i="1"/>
  <c r="Q46" i="1"/>
  <c r="Q20" i="1"/>
  <c r="Q23" i="1"/>
  <c r="Q27" i="1"/>
  <c r="Q37" i="1"/>
  <c r="Q62" i="1"/>
  <c r="Q58" i="1"/>
  <c r="Q60" i="1"/>
  <c r="Q80" i="1"/>
  <c r="Q65" i="1"/>
  <c r="Q12" i="1"/>
  <c r="Q15" i="1"/>
  <c r="Q21" i="1"/>
  <c r="Q24" i="1"/>
  <c r="Q29" i="1"/>
  <c r="Q33" i="1"/>
  <c r="Q39" i="1"/>
  <c r="Q43" i="1"/>
  <c r="Q48" i="1"/>
  <c r="Q56" i="1"/>
  <c r="Q64" i="1"/>
  <c r="Q71" i="1"/>
  <c r="Q75" i="1"/>
  <c r="Q79" i="1"/>
  <c r="Q81" i="1"/>
  <c r="P44" i="1"/>
  <c r="P82" i="1"/>
  <c r="P34" i="1"/>
  <c r="P40" i="1"/>
  <c r="P54" i="1"/>
  <c r="P11" i="1"/>
  <c r="P53" i="1"/>
  <c r="P47" i="1"/>
  <c r="P59" i="1"/>
  <c r="P55" i="1"/>
  <c r="P78" i="1"/>
  <c r="P63" i="1"/>
  <c r="P28" i="1"/>
  <c r="P9" i="1"/>
  <c r="P67" i="1"/>
  <c r="P14" i="1"/>
  <c r="P70" i="1"/>
  <c r="P51" i="1"/>
  <c r="P38" i="1"/>
  <c r="P74" i="1"/>
  <c r="P46" i="1"/>
  <c r="P20" i="1"/>
  <c r="P23" i="1"/>
  <c r="P27" i="1"/>
  <c r="P37" i="1"/>
  <c r="P62" i="1"/>
  <c r="P58" i="1"/>
  <c r="P12" i="1"/>
  <c r="P15" i="1"/>
  <c r="P21" i="1"/>
  <c r="P24" i="1"/>
  <c r="P29" i="1"/>
  <c r="P33" i="1"/>
  <c r="P39" i="1"/>
  <c r="P43" i="1"/>
  <c r="P48" i="1"/>
  <c r="P56" i="1"/>
  <c r="P64" i="1"/>
  <c r="P71" i="1"/>
  <c r="P75" i="1"/>
  <c r="P79" i="1"/>
  <c r="P81" i="1"/>
  <c r="A39" i="1"/>
  <c r="G69" i="1"/>
  <c r="I69" i="1" s="1"/>
  <c r="G68" i="1"/>
  <c r="I68" i="1" s="1"/>
  <c r="G12" i="1"/>
  <c r="I12" i="1" s="1"/>
  <c r="G15" i="1"/>
  <c r="I15" i="1" s="1"/>
  <c r="G21" i="1"/>
  <c r="I21" i="1" s="1"/>
  <c r="G24" i="1"/>
  <c r="I24" i="1" s="1"/>
  <c r="G29" i="1"/>
  <c r="I29" i="1" s="1"/>
  <c r="G33" i="1"/>
  <c r="I33" i="1" s="1"/>
  <c r="G39" i="1"/>
  <c r="I39" i="1" s="1"/>
  <c r="G43" i="1"/>
  <c r="I43" i="1" s="1"/>
  <c r="G48" i="1"/>
  <c r="I48" i="1" s="1"/>
  <c r="G56" i="1"/>
  <c r="I56" i="1" s="1"/>
  <c r="G64" i="1"/>
  <c r="I64" i="1" s="1"/>
  <c r="G71" i="1"/>
  <c r="I71" i="1" s="1"/>
  <c r="G75" i="1"/>
  <c r="I75" i="1" s="1"/>
  <c r="G79" i="1"/>
  <c r="I79" i="1" s="1"/>
  <c r="G81" i="1"/>
  <c r="I81" i="1" s="1"/>
  <c r="G44" i="1"/>
  <c r="I44" i="1" s="1"/>
  <c r="G82" i="1"/>
  <c r="I82" i="1" s="1"/>
  <c r="G34" i="1"/>
  <c r="I34" i="1" s="1"/>
  <c r="G40" i="1"/>
  <c r="I40" i="1" s="1"/>
  <c r="G54" i="1"/>
  <c r="G11" i="1"/>
  <c r="I11" i="1" s="1"/>
  <c r="G53" i="1"/>
  <c r="I53" i="1" s="1"/>
  <c r="G47" i="1"/>
  <c r="I47" i="1" s="1"/>
  <c r="G59" i="1"/>
  <c r="I59" i="1" s="1"/>
  <c r="G55" i="1"/>
  <c r="I55" i="1" s="1"/>
  <c r="G78" i="1"/>
  <c r="I78" i="1" s="1"/>
  <c r="G63" i="1"/>
  <c r="I63" i="1" s="1"/>
  <c r="G28" i="1"/>
  <c r="I28" i="1" s="1"/>
  <c r="G9" i="1"/>
  <c r="I9" i="1" s="1"/>
  <c r="G67" i="1"/>
  <c r="I67" i="1" s="1"/>
  <c r="G14" i="1"/>
  <c r="I14" i="1" s="1"/>
  <c r="G70" i="1"/>
  <c r="I70" i="1" s="1"/>
  <c r="G51" i="1"/>
  <c r="I51" i="1" s="1"/>
  <c r="G38" i="1"/>
  <c r="I38" i="1" s="1"/>
  <c r="G74" i="1"/>
  <c r="I74" i="1" s="1"/>
  <c r="G46" i="1"/>
  <c r="I46" i="1" s="1"/>
  <c r="G20" i="1"/>
  <c r="I20" i="1" s="1"/>
  <c r="G23" i="1"/>
  <c r="I23" i="1" s="1"/>
  <c r="G27" i="1"/>
  <c r="I27" i="1" s="1"/>
  <c r="G37" i="1"/>
  <c r="I37" i="1" s="1"/>
  <c r="G62" i="1"/>
  <c r="I62" i="1" s="1"/>
  <c r="G58" i="1"/>
  <c r="I58" i="1" s="1"/>
  <c r="G60" i="1"/>
  <c r="I60" i="1" s="1"/>
  <c r="G80" i="1"/>
  <c r="I80" i="1" s="1"/>
  <c r="G65" i="1"/>
  <c r="I65" i="1" s="1"/>
  <c r="G30" i="1"/>
  <c r="I30" i="1" s="1"/>
  <c r="G10" i="1"/>
  <c r="I10" i="1" s="1"/>
  <c r="G16" i="1"/>
  <c r="I16" i="1" s="1"/>
  <c r="G52" i="1"/>
  <c r="I52" i="1" s="1"/>
  <c r="G41" i="1"/>
  <c r="I41" i="1" s="1"/>
  <c r="G76" i="1"/>
  <c r="I76" i="1" s="1"/>
  <c r="G49" i="1"/>
  <c r="I49" i="1" s="1"/>
  <c r="A34" i="1"/>
  <c r="A35" i="1"/>
  <c r="A36" i="1"/>
  <c r="A37" i="1"/>
  <c r="A38" i="1"/>
  <c r="A40" i="1"/>
  <c r="A41" i="1"/>
  <c r="A42" i="1"/>
  <c r="A43" i="1"/>
  <c r="A44" i="1"/>
  <c r="A30" i="1"/>
  <c r="A31" i="1"/>
  <c r="A32" i="1"/>
  <c r="A33" i="1"/>
  <c r="A9" i="1"/>
  <c r="A10" i="1"/>
  <c r="A11" i="1"/>
  <c r="A12" i="1"/>
  <c r="A13" i="1"/>
  <c r="A14" i="1"/>
  <c r="A15" i="1"/>
  <c r="A16" i="1"/>
  <c r="A17" i="1"/>
  <c r="A18" i="1"/>
  <c r="A19" i="1"/>
  <c r="A20" i="1"/>
  <c r="A21" i="1"/>
  <c r="A22" i="1"/>
  <c r="A23" i="1"/>
  <c r="A24" i="1"/>
  <c r="A25" i="1"/>
  <c r="A26" i="1"/>
  <c r="A27" i="1"/>
  <c r="A28" i="1"/>
  <c r="A29" i="1"/>
  <c r="A8" i="1"/>
  <c r="B18" i="2" l="1"/>
  <c r="G28" i="2"/>
  <c r="D17" i="2"/>
  <c r="C18" i="2"/>
  <c r="L17" i="2"/>
  <c r="E17" i="2"/>
  <c r="D18" i="2"/>
  <c r="M17" i="2"/>
  <c r="J17" i="2"/>
  <c r="E18" i="2"/>
  <c r="R17" i="2"/>
  <c r="I17" i="2"/>
  <c r="F18" i="2"/>
  <c r="Q17" i="2"/>
  <c r="H17" i="2"/>
  <c r="G18" i="2"/>
  <c r="P17" i="2"/>
  <c r="M28" i="2"/>
  <c r="G17" i="2"/>
  <c r="H18" i="2"/>
  <c r="O17" i="2"/>
  <c r="B17" i="2"/>
  <c r="F17" i="2"/>
  <c r="I18" i="2"/>
  <c r="N17" i="2"/>
  <c r="C17" i="2"/>
  <c r="J18" i="2"/>
  <c r="S17" i="2"/>
  <c r="R23" i="2"/>
  <c r="S23" i="2"/>
  <c r="L23" i="2"/>
  <c r="M23" i="2"/>
  <c r="C28" i="2"/>
  <c r="N23" i="2"/>
  <c r="N28" i="2"/>
  <c r="O23" i="2"/>
  <c r="O28" i="2"/>
  <c r="P23" i="2"/>
  <c r="P28" i="2"/>
  <c r="Q23" i="2"/>
  <c r="Q28" i="2"/>
  <c r="D28" i="2"/>
  <c r="E28" i="2"/>
  <c r="F28" i="2"/>
  <c r="F23" i="2"/>
  <c r="E23" i="2"/>
  <c r="D23" i="2"/>
  <c r="B23" i="2"/>
  <c r="C23" i="2"/>
  <c r="I23" i="2"/>
  <c r="H23" i="2"/>
  <c r="G23" i="2"/>
  <c r="I12" i="2" l="1"/>
  <c r="G12" i="2"/>
  <c r="I54" i="1" l="1"/>
</calcChain>
</file>

<file path=xl/sharedStrings.xml><?xml version="1.0" encoding="utf-8"?>
<sst xmlns="http://schemas.openxmlformats.org/spreadsheetml/2006/main" count="942" uniqueCount="184">
  <si>
    <t>First Name</t>
  </si>
  <si>
    <t>Last Name</t>
  </si>
  <si>
    <t>Instrument</t>
  </si>
  <si>
    <t>Lesson Type</t>
  </si>
  <si>
    <t>Birthday</t>
  </si>
  <si>
    <t>Solo Level</t>
  </si>
  <si>
    <t>PCS</t>
  </si>
  <si>
    <t>PAP</t>
  </si>
  <si>
    <t>Melanie</t>
  </si>
  <si>
    <t>Allen</t>
  </si>
  <si>
    <t>Piano</t>
  </si>
  <si>
    <t>P3</t>
  </si>
  <si>
    <t>L3</t>
  </si>
  <si>
    <t>Kelby</t>
  </si>
  <si>
    <t>Beeson</t>
  </si>
  <si>
    <t>Violin</t>
  </si>
  <si>
    <t>P2</t>
  </si>
  <si>
    <t>Presley</t>
  </si>
  <si>
    <t>Britt</t>
  </si>
  <si>
    <t>PP</t>
  </si>
  <si>
    <t>L1</t>
  </si>
  <si>
    <t>Jeremy</t>
  </si>
  <si>
    <t>Brough</t>
  </si>
  <si>
    <t>Cello</t>
  </si>
  <si>
    <t>Virtual</t>
  </si>
  <si>
    <t>E1</t>
  </si>
  <si>
    <t>L4</t>
  </si>
  <si>
    <t>John</t>
  </si>
  <si>
    <t>Buzbee</t>
  </si>
  <si>
    <t>E2</t>
  </si>
  <si>
    <t>L7</t>
  </si>
  <si>
    <t>Joshua</t>
  </si>
  <si>
    <t>D'Esposito</t>
  </si>
  <si>
    <t>L5</t>
  </si>
  <si>
    <t>Madelynn</t>
  </si>
  <si>
    <t>Johnston</t>
  </si>
  <si>
    <t>Voice</t>
  </si>
  <si>
    <t>SC1</t>
  </si>
  <si>
    <t>Victoria</t>
  </si>
  <si>
    <t>Lee</t>
  </si>
  <si>
    <t>Isabella</t>
  </si>
  <si>
    <t>Mayeux</t>
  </si>
  <si>
    <t>JC3</t>
  </si>
  <si>
    <t>L6</t>
  </si>
  <si>
    <t>Zoe</t>
  </si>
  <si>
    <t>Munozcano</t>
  </si>
  <si>
    <t>P1</t>
  </si>
  <si>
    <t>Valerie</t>
  </si>
  <si>
    <t>Murrell</t>
  </si>
  <si>
    <t>Mia</t>
  </si>
  <si>
    <t>Richardson</t>
  </si>
  <si>
    <t>Ryan</t>
  </si>
  <si>
    <t>Thomas</t>
  </si>
  <si>
    <t>Amelia</t>
  </si>
  <si>
    <t>Overton</t>
  </si>
  <si>
    <t>Age</t>
  </si>
  <si>
    <t>PP Eligible</t>
  </si>
  <si>
    <t>Ava</t>
  </si>
  <si>
    <t>Payne</t>
  </si>
  <si>
    <t>P4</t>
  </si>
  <si>
    <t>Catherine</t>
  </si>
  <si>
    <t>Phares</t>
  </si>
  <si>
    <t>L2</t>
  </si>
  <si>
    <t>CCS</t>
  </si>
  <si>
    <t>TAP</t>
  </si>
  <si>
    <t>RATING</t>
  </si>
  <si>
    <t>Scarlett</t>
  </si>
  <si>
    <t>Anna</t>
  </si>
  <si>
    <t>Zane</t>
  </si>
  <si>
    <t>Verbois</t>
  </si>
  <si>
    <t>Bryn</t>
  </si>
  <si>
    <t>Wagley</t>
  </si>
  <si>
    <t>Festival Date:</t>
  </si>
  <si>
    <t>Kirsten</t>
  </si>
  <si>
    <t>Worsham</t>
  </si>
  <si>
    <t>JR3</t>
  </si>
  <si>
    <t>Duet</t>
  </si>
  <si>
    <t>Hymn</t>
  </si>
  <si>
    <t>PD</t>
  </si>
  <si>
    <t>PE</t>
  </si>
  <si>
    <t>Age Today</t>
  </si>
  <si>
    <t>Level</t>
  </si>
  <si>
    <t>Festival Date</t>
  </si>
  <si>
    <t>PC</t>
  </si>
  <si>
    <t>Jocelyn</t>
  </si>
  <si>
    <t>Gender</t>
  </si>
  <si>
    <t>Female</t>
  </si>
  <si>
    <t>Male</t>
  </si>
  <si>
    <t>Rating</t>
  </si>
  <si>
    <t>STUDENT FESTIVAL LOOKUP</t>
  </si>
  <si>
    <t>NFMC Solo History</t>
  </si>
  <si>
    <t>NFMC Theory History</t>
  </si>
  <si>
    <t>NFMC Duet History</t>
  </si>
  <si>
    <t>WAMU Christmas Festival History</t>
  </si>
  <si>
    <t>WAMU Hymn Festival History</t>
  </si>
  <si>
    <t>AWARD</t>
  </si>
  <si>
    <t>Charley</t>
  </si>
  <si>
    <t>Elena</t>
  </si>
  <si>
    <t>X</t>
  </si>
  <si>
    <t>Instrument 2</t>
  </si>
  <si>
    <t>NFMC Piano Hymn History</t>
  </si>
  <si>
    <t>Event</t>
  </si>
  <si>
    <t>NFMC Voice</t>
  </si>
  <si>
    <t>NFMC Piano</t>
  </si>
  <si>
    <t>NFMC Strings</t>
  </si>
  <si>
    <t>NFMC Hymn</t>
  </si>
  <si>
    <t>H</t>
  </si>
  <si>
    <t>Xmas</t>
  </si>
  <si>
    <t>EVENT</t>
  </si>
  <si>
    <t>STUDENT FESTIVAL TRACKER</t>
  </si>
  <si>
    <t>Date</t>
  </si>
  <si>
    <t>T</t>
  </si>
  <si>
    <t>Landry</t>
  </si>
  <si>
    <t>Seals</t>
  </si>
  <si>
    <t>DNP</t>
  </si>
  <si>
    <t>WH</t>
  </si>
  <si>
    <t>D</t>
  </si>
  <si>
    <t>Column Labels</t>
  </si>
  <si>
    <t>Grand Total</t>
  </si>
  <si>
    <t>Row Labels</t>
  </si>
  <si>
    <t>NFMC Theory</t>
  </si>
  <si>
    <t>NFMC Duet</t>
  </si>
  <si>
    <t>STUDENT INFORMATION</t>
  </si>
  <si>
    <t>Phone Number</t>
  </si>
  <si>
    <t>225-497-5154</t>
  </si>
  <si>
    <t>225-761-7647</t>
  </si>
  <si>
    <t>225-885-4458</t>
  </si>
  <si>
    <t>22-445-6774</t>
  </si>
  <si>
    <t>203-573-2217</t>
  </si>
  <si>
    <t>225-744-8135</t>
  </si>
  <si>
    <t>225-977-8457</t>
  </si>
  <si>
    <t>225-751-1277</t>
  </si>
  <si>
    <t>225-864-5348</t>
  </si>
  <si>
    <t>225-664-2751</t>
  </si>
  <si>
    <t>225-864-2247</t>
  </si>
  <si>
    <t>225-467-5731</t>
  </si>
  <si>
    <t>225-647-7614</t>
  </si>
  <si>
    <t>225-871-5672</t>
  </si>
  <si>
    <t>225-722-7842</t>
  </si>
  <si>
    <t>225-804-4682</t>
  </si>
  <si>
    <t>225-927-5721</t>
  </si>
  <si>
    <t>225-740-5751</t>
  </si>
  <si>
    <t>225-420-5761</t>
  </si>
  <si>
    <t>225-794-7888</t>
  </si>
  <si>
    <t>BYU-I#</t>
  </si>
  <si>
    <t>222-445-6774</t>
  </si>
  <si>
    <t>CONTACT</t>
  </si>
  <si>
    <t>YES</t>
  </si>
  <si>
    <t>NO</t>
  </si>
  <si>
    <t>Skills used:</t>
  </si>
  <si>
    <t>Find/replace all entries in Lesson Type column from Live to Virtual</t>
  </si>
  <si>
    <t>Replaced last four digits of phone number with my I-number if the Event was "Hymn"</t>
  </si>
  <si>
    <t>Conditional formatted PP Eligible column if it read "YES"</t>
  </si>
  <si>
    <t>Used Data Validation on Dashboard to select student name to view their information</t>
  </si>
  <si>
    <t>Used VLOOKUP on Dashboard for Lesson Type, Instrument and Age values</t>
  </si>
  <si>
    <t>Original</t>
  </si>
  <si>
    <t>Current</t>
  </si>
  <si>
    <t>Switch to Virtual?</t>
  </si>
  <si>
    <t>Used MATCH function in combination with VLOOKUP function to pull Original lesson type before everyone switched to Virtual lessons</t>
  </si>
  <si>
    <t>CUP</t>
  </si>
  <si>
    <t>Count of AWARD</t>
  </si>
  <si>
    <t>Created Pivot Table based on raw data highlighting how many awards in each National category were being given out this year</t>
  </si>
  <si>
    <t>Created Slicer to manipulate Pivot Table based on Gender</t>
  </si>
  <si>
    <t>Inserted Graph to view results of #7 and #8</t>
  </si>
  <si>
    <t># of Events Participated</t>
  </si>
  <si>
    <t>SURVEYMONKEY COVID-19</t>
  </si>
  <si>
    <t>Communicate effectively?</t>
  </si>
  <si>
    <t>Nina setup sufficient?</t>
  </si>
  <si>
    <t>Able to hear?</t>
  </si>
  <si>
    <t>VIRTUAL SETUP</t>
  </si>
  <si>
    <t>Easy to use?</t>
  </si>
  <si>
    <t>GOING FORWARD</t>
  </si>
  <si>
    <t>Live</t>
  </si>
  <si>
    <t>Suggestions</t>
  </si>
  <si>
    <t>Better than live, no travel time</t>
  </si>
  <si>
    <t>MOD</t>
  </si>
  <si>
    <t>Live or Virtual</t>
  </si>
  <si>
    <t>Alexander</t>
  </si>
  <si>
    <t>Dotson</t>
  </si>
  <si>
    <t>225-777-6642</t>
  </si>
  <si>
    <t>Works with Ryan but not sure with Remy</t>
  </si>
  <si>
    <t>Misses Aku</t>
  </si>
  <si>
    <t>EASY</t>
  </si>
  <si>
    <t>Surprised how well it went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</si>
</sst>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x14ac:knownFonts="1">
    <font>
      <sz val="11"/>
      <color theme="1"/>
      <name val="Calibri"/>
      <family val="2"/>
      <scheme val="minor"/>
    </font>
    <font>
      <b/>
      <sz val="12"/>
      <color theme="1"/>
      <name val="Calibri"/>
      <family val="2"/>
      <scheme val="minor"/>
    </font>
    <font>
      <b/>
      <sz val="14"/>
      <color theme="1"/>
      <name val="Calibri"/>
      <family val="2"/>
      <scheme val="minor"/>
    </font>
    <font>
      <b/>
      <sz val="22"/>
      <color theme="1"/>
      <name val="Calibri"/>
      <family val="2"/>
      <scheme val="minor"/>
    </font>
    <font>
      <sz val="48"/>
      <color theme="1"/>
      <name val="Calibri"/>
      <family val="2"/>
      <scheme val="minor"/>
    </font>
    <font>
      <sz val="14"/>
      <color theme="1"/>
      <name val="Calibri"/>
      <family val="2"/>
      <scheme val="minor"/>
    </font>
    <font>
      <b/>
      <sz val="11"/>
      <color theme="1"/>
      <name val="Calibri"/>
      <family val="2"/>
      <scheme val="minor"/>
    </font>
    <font>
      <sz val="12"/>
      <color theme="1"/>
      <name val="Calibri"/>
      <family val="2"/>
      <scheme val="minor"/>
    </font>
    <font>
      <sz val="8"/>
      <name val="Calibri"/>
      <family val="2"/>
      <scheme val="minor"/>
    </font>
    <font>
      <b/>
      <sz val="14"/>
      <color theme="0"/>
      <name val="Calibri"/>
      <family val="2"/>
      <scheme val="minor"/>
    </font>
    <font>
      <b/>
      <sz val="18"/>
      <color theme="1"/>
      <name val="Calibri"/>
      <family val="2"/>
      <scheme val="minor"/>
    </font>
    <font>
      <b/>
      <sz val="12"/>
      <color theme="0"/>
      <name val="Calibri"/>
      <family val="2"/>
      <scheme val="minor"/>
    </font>
  </fonts>
  <fills count="14">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79998168889431442"/>
        <bgColor theme="8" tint="0.79998168889431442"/>
      </patternFill>
    </fill>
    <fill>
      <patternFill patternType="solid">
        <fgColor rgb="FFFF0000"/>
        <bgColor indexed="64"/>
      </patternFill>
    </fill>
    <fill>
      <patternFill patternType="solid">
        <fgColor theme="4" tint="0.59999389629810485"/>
        <bgColor indexed="64"/>
      </patternFill>
    </fill>
    <fill>
      <patternFill patternType="solid">
        <fgColor rgb="FF7030A0"/>
        <bgColor indexed="64"/>
      </patternFill>
    </fill>
    <fill>
      <patternFill patternType="solid">
        <fgColor rgb="FF002060"/>
        <bgColor indexed="64"/>
      </patternFill>
    </fill>
    <fill>
      <patternFill patternType="solid">
        <fgColor theme="9" tint="-0.499984740745262"/>
        <bgColor indexed="64"/>
      </patternFill>
    </fill>
    <fill>
      <patternFill patternType="solid">
        <fgColor theme="5"/>
        <bgColor indexed="64"/>
      </patternFill>
    </fill>
    <fill>
      <patternFill patternType="solid">
        <fgColor rgb="FF2AD3EA"/>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s>
  <cellStyleXfs count="1">
    <xf numFmtId="0" fontId="0" fillId="0" borderId="0"/>
  </cellStyleXfs>
  <cellXfs count="132">
    <xf numFmtId="0" fontId="0" fillId="0" borderId="0" xfId="0"/>
    <xf numFmtId="14" fontId="0" fillId="0" borderId="0" xfId="0" applyNumberFormat="1"/>
    <xf numFmtId="0" fontId="0" fillId="0" borderId="0" xfId="0" applyAlignment="1">
      <alignment horizontal="center"/>
    </xf>
    <xf numFmtId="0" fontId="0" fillId="0" borderId="1" xfId="0" applyBorder="1"/>
    <xf numFmtId="1" fontId="0" fillId="0" borderId="1" xfId="0" applyNumberFormat="1" applyBorder="1" applyAlignment="1">
      <alignment horizontal="center"/>
    </xf>
    <xf numFmtId="1" fontId="0" fillId="0" borderId="1" xfId="0" applyNumberForma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2" xfId="0" applyBorder="1"/>
    <xf numFmtId="1" fontId="0" fillId="0" borderId="2" xfId="0" applyNumberFormat="1" applyBorder="1" applyAlignment="1">
      <alignment horizontal="center"/>
    </xf>
    <xf numFmtId="1" fontId="0" fillId="0" borderId="2" xfId="0" applyNumberFormat="1" applyFill="1" applyBorder="1" applyAlignment="1">
      <alignment horizontal="center"/>
    </xf>
    <xf numFmtId="0" fontId="1" fillId="2" borderId="3" xfId="0" applyFont="1" applyFill="1" applyBorder="1"/>
    <xf numFmtId="0" fontId="1" fillId="2" borderId="4" xfId="0" applyFont="1" applyFill="1" applyBorder="1"/>
    <xf numFmtId="0" fontId="1" fillId="2" borderId="4"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wrapText="1"/>
    </xf>
    <xf numFmtId="0" fontId="0" fillId="0" borderId="1" xfId="0" applyFill="1" applyBorder="1"/>
    <xf numFmtId="0" fontId="0" fillId="0" borderId="9" xfId="0" applyBorder="1"/>
    <xf numFmtId="1" fontId="0" fillId="0" borderId="9" xfId="0" applyNumberFormat="1" applyBorder="1" applyAlignment="1">
      <alignment horizontal="center"/>
    </xf>
    <xf numFmtId="1" fontId="0" fillId="0" borderId="9" xfId="0" applyNumberFormat="1" applyFill="1" applyBorder="1" applyAlignment="1">
      <alignment horizontal="center"/>
    </xf>
    <xf numFmtId="0" fontId="0" fillId="0" borderId="9" xfId="0" applyBorder="1" applyAlignment="1">
      <alignment horizontal="center"/>
    </xf>
    <xf numFmtId="0" fontId="3" fillId="0" borderId="0" xfId="0" applyFont="1"/>
    <xf numFmtId="0" fontId="0" fillId="0" borderId="2" xfId="0" applyBorder="1" applyAlignment="1" applyProtection="1">
      <alignment horizontal="center"/>
      <protection locked="0"/>
    </xf>
    <xf numFmtId="0" fontId="0" fillId="0" borderId="1" xfId="0" applyBorder="1" applyAlignment="1" applyProtection="1">
      <alignment horizontal="center"/>
      <protection locked="0"/>
    </xf>
    <xf numFmtId="0" fontId="0" fillId="0" borderId="9" xfId="0" applyBorder="1" applyAlignment="1" applyProtection="1">
      <alignment horizontal="center"/>
      <protection locked="0"/>
    </xf>
    <xf numFmtId="0" fontId="0" fillId="0" borderId="2"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14" fontId="0" fillId="0" borderId="2" xfId="0" applyNumberFormat="1" applyBorder="1" applyProtection="1"/>
    <xf numFmtId="14" fontId="0" fillId="0" borderId="1" xfId="0" applyNumberFormat="1" applyBorder="1" applyProtection="1"/>
    <xf numFmtId="14" fontId="0" fillId="0" borderId="9" xfId="0" applyNumberFormat="1" applyBorder="1" applyProtection="1"/>
    <xf numFmtId="14" fontId="0" fillId="0" borderId="1" xfId="0" applyNumberFormat="1" applyBorder="1" applyProtection="1">
      <protection locked="0"/>
    </xf>
    <xf numFmtId="164" fontId="6" fillId="5" borderId="1" xfId="0" applyNumberFormat="1" applyFont="1" applyFill="1" applyBorder="1" applyAlignment="1">
      <alignment horizontal="center"/>
    </xf>
    <xf numFmtId="0" fontId="6" fillId="5" borderId="1" xfId="0" applyFont="1" applyFill="1" applyBorder="1" applyAlignment="1">
      <alignment horizontal="center"/>
    </xf>
    <xf numFmtId="0" fontId="0" fillId="6" borderId="0" xfId="0" applyFont="1" applyFill="1" applyBorder="1"/>
    <xf numFmtId="0" fontId="0" fillId="0" borderId="0" xfId="0" applyFont="1" applyBorder="1"/>
    <xf numFmtId="0" fontId="0" fillId="0" borderId="0" xfId="0" applyFont="1" applyFill="1" applyBorder="1"/>
    <xf numFmtId="0" fontId="0" fillId="0" borderId="1" xfId="0" applyNumberFormat="1" applyBorder="1" applyAlignment="1">
      <alignment horizontal="center"/>
    </xf>
    <xf numFmtId="0" fontId="0" fillId="0" borderId="9" xfId="0" applyNumberFormat="1" applyBorder="1" applyAlignment="1">
      <alignment horizontal="center"/>
    </xf>
    <xf numFmtId="0" fontId="0" fillId="0" borderId="0" xfId="0" applyBorder="1" applyAlignment="1">
      <alignment horizontal="center"/>
    </xf>
    <xf numFmtId="0" fontId="1" fillId="2" borderId="4" xfId="0" applyFont="1" applyFill="1" applyBorder="1" applyAlignment="1">
      <alignment horizontal="center" wrapText="1"/>
    </xf>
    <xf numFmtId="1" fontId="0" fillId="0" borderId="10" xfId="0" applyNumberFormat="1" applyBorder="1" applyAlignment="1">
      <alignment horizontal="center"/>
    </xf>
    <xf numFmtId="1" fontId="0" fillId="0" borderId="10" xfId="0" applyNumberFormat="1" applyFill="1" applyBorder="1" applyAlignment="1">
      <alignment horizontal="center"/>
    </xf>
    <xf numFmtId="0" fontId="1" fillId="3" borderId="19" xfId="0" applyFont="1" applyFill="1" applyBorder="1" applyAlignment="1">
      <alignment horizontal="center"/>
    </xf>
    <xf numFmtId="14" fontId="1" fillId="3" borderId="4" xfId="0" applyNumberFormat="1" applyFont="1" applyFill="1" applyBorder="1" applyAlignment="1">
      <alignment horizontal="center"/>
    </xf>
    <xf numFmtId="164" fontId="0" fillId="0" borderId="2" xfId="0" applyNumberFormat="1" applyFill="1" applyBorder="1" applyAlignment="1">
      <alignment horizontal="center"/>
    </xf>
    <xf numFmtId="164" fontId="0" fillId="0" borderId="1" xfId="0" applyNumberFormat="1" applyFill="1" applyBorder="1" applyAlignment="1">
      <alignment horizontal="center"/>
    </xf>
    <xf numFmtId="164" fontId="0" fillId="0" borderId="9" xfId="0" applyNumberFormat="1" applyFill="1" applyBorder="1" applyAlignment="1">
      <alignment horizontal="center"/>
    </xf>
    <xf numFmtId="164" fontId="0" fillId="0" borderId="10" xfId="0" applyNumberFormat="1" applyFill="1" applyBorder="1" applyAlignment="1">
      <alignment horizontal="center"/>
    </xf>
    <xf numFmtId="0" fontId="0" fillId="0" borderId="0" xfId="0" applyAlignment="1">
      <alignment horizontal="left"/>
    </xf>
    <xf numFmtId="0" fontId="0" fillId="0" borderId="0" xfId="0" pivotButton="1"/>
    <xf numFmtId="0" fontId="0" fillId="0" borderId="0" xfId="0" applyNumberFormat="1"/>
    <xf numFmtId="0" fontId="1" fillId="8" borderId="19" xfId="0" applyFont="1" applyFill="1" applyBorder="1" applyAlignment="1">
      <alignment horizontal="center" wrapText="1"/>
    </xf>
    <xf numFmtId="0" fontId="1" fillId="8" borderId="19" xfId="0" applyFont="1" applyFill="1" applyBorder="1" applyAlignment="1">
      <alignment horizontal="center"/>
    </xf>
    <xf numFmtId="0" fontId="0" fillId="5" borderId="0" xfId="0" applyFill="1"/>
    <xf numFmtId="0" fontId="2" fillId="5" borderId="0" xfId="0" applyFont="1" applyFill="1" applyAlignment="1"/>
    <xf numFmtId="0" fontId="2" fillId="5" borderId="0" xfId="0" applyFont="1" applyFill="1" applyBorder="1" applyAlignment="1"/>
    <xf numFmtId="0" fontId="7" fillId="5" borderId="2" xfId="0" applyFont="1" applyFill="1" applyBorder="1" applyAlignment="1">
      <alignment horizontal="center" wrapText="1"/>
    </xf>
    <xf numFmtId="0" fontId="7" fillId="5" borderId="2" xfId="0" applyFont="1" applyFill="1" applyBorder="1" applyAlignment="1">
      <alignment horizontal="center"/>
    </xf>
    <xf numFmtId="0" fontId="7" fillId="5" borderId="16" xfId="0" applyFont="1" applyFill="1" applyBorder="1" applyAlignment="1">
      <alignment horizontal="center" wrapText="1"/>
    </xf>
    <xf numFmtId="0" fontId="0" fillId="5" borderId="0" xfId="0" applyFont="1" applyFill="1"/>
    <xf numFmtId="0" fontId="0" fillId="5" borderId="2" xfId="0" applyFill="1" applyBorder="1" applyAlignment="1">
      <alignment horizontal="center"/>
    </xf>
    <xf numFmtId="0" fontId="1" fillId="5" borderId="0" xfId="0" applyFont="1" applyFill="1" applyAlignment="1">
      <alignment horizontal="center"/>
    </xf>
    <xf numFmtId="0" fontId="7" fillId="5" borderId="0" xfId="0" applyFont="1" applyFill="1" applyBorder="1" applyAlignment="1">
      <alignment horizontal="center" wrapText="1"/>
    </xf>
    <xf numFmtId="0" fontId="1" fillId="5" borderId="0" xfId="0" applyFont="1" applyFill="1" applyBorder="1" applyAlignment="1">
      <alignment horizontal="center"/>
    </xf>
    <xf numFmtId="164" fontId="1" fillId="5" borderId="0" xfId="0" applyNumberFormat="1" applyFont="1" applyFill="1" applyBorder="1" applyAlignment="1">
      <alignment horizontal="center"/>
    </xf>
    <xf numFmtId="0" fontId="1" fillId="5" borderId="1" xfId="0" applyFont="1" applyFill="1" applyBorder="1" applyAlignment="1">
      <alignment horizontal="center"/>
    </xf>
    <xf numFmtId="0" fontId="7" fillId="3" borderId="2" xfId="0" applyFont="1" applyFill="1" applyBorder="1" applyAlignment="1">
      <alignment horizontal="center" wrapText="1"/>
    </xf>
    <xf numFmtId="0" fontId="0" fillId="5" borderId="0" xfId="0" applyFont="1" applyFill="1" applyBorder="1" applyAlignment="1">
      <alignment vertical="center"/>
    </xf>
    <xf numFmtId="0" fontId="5" fillId="0" borderId="0" xfId="0" applyFont="1" applyFill="1" applyBorder="1" applyAlignment="1">
      <alignment vertical="center"/>
    </xf>
    <xf numFmtId="0" fontId="0" fillId="0" borderId="0" xfId="0" applyNumberFormat="1" applyAlignment="1">
      <alignment horizontal="center"/>
    </xf>
    <xf numFmtId="0" fontId="0" fillId="0" borderId="0" xfId="0" pivotButton="1" applyProtection="1">
      <protection locked="0"/>
    </xf>
    <xf numFmtId="0" fontId="0" fillId="5" borderId="0" xfId="0" pivotButton="1" applyFill="1"/>
    <xf numFmtId="0" fontId="0" fillId="5" borderId="20" xfId="0" applyFill="1" applyBorder="1"/>
    <xf numFmtId="0" fontId="0" fillId="0" borderId="0" xfId="0" applyNumberFormat="1" applyBorder="1" applyAlignment="1">
      <alignment horizontal="center"/>
    </xf>
    <xf numFmtId="0" fontId="1" fillId="8" borderId="3" xfId="0" applyFont="1" applyFill="1" applyBorder="1" applyAlignment="1">
      <alignment horizontal="center" wrapText="1"/>
    </xf>
    <xf numFmtId="0" fontId="11" fillId="9" borderId="21" xfId="0" applyFont="1" applyFill="1" applyBorder="1" applyAlignment="1">
      <alignment horizontal="center" wrapText="1"/>
    </xf>
    <xf numFmtId="0" fontId="0" fillId="0" borderId="0" xfId="0" applyBorder="1" applyAlignment="1">
      <alignment horizontal="left"/>
    </xf>
    <xf numFmtId="0" fontId="0" fillId="0" borderId="2" xfId="0" applyNumberFormat="1" applyBorder="1" applyAlignment="1">
      <alignment horizontal="center"/>
    </xf>
    <xf numFmtId="0" fontId="10" fillId="5" borderId="0" xfId="0" applyFont="1" applyFill="1" applyAlignment="1">
      <alignment horizontal="center"/>
    </xf>
    <xf numFmtId="0" fontId="9" fillId="9" borderId="6" xfId="0" applyFont="1" applyFill="1" applyBorder="1" applyAlignment="1">
      <alignment horizontal="center"/>
    </xf>
    <xf numFmtId="0" fontId="9" fillId="9" borderId="7" xfId="0" applyFont="1" applyFill="1" applyBorder="1" applyAlignment="1">
      <alignment horizontal="center"/>
    </xf>
    <xf numFmtId="0" fontId="9" fillId="9" borderId="8" xfId="0" applyFont="1" applyFill="1" applyBorder="1" applyAlignment="1">
      <alignment horizontal="center"/>
    </xf>
    <xf numFmtId="0" fontId="9" fillId="13" borderId="6" xfId="0" applyFont="1" applyFill="1" applyBorder="1" applyAlignment="1">
      <alignment horizontal="center"/>
    </xf>
    <xf numFmtId="0" fontId="9" fillId="13" borderId="7" xfId="0" applyFont="1" applyFill="1" applyBorder="1" applyAlignment="1">
      <alignment horizontal="center"/>
    </xf>
    <xf numFmtId="0" fontId="9" fillId="13" borderId="8"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0"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9" fillId="10" borderId="6" xfId="0" applyFont="1" applyFill="1" applyBorder="1" applyAlignment="1">
      <alignment horizontal="center"/>
    </xf>
    <xf numFmtId="0" fontId="9" fillId="10" borderId="7" xfId="0" applyFont="1" applyFill="1" applyBorder="1" applyAlignment="1">
      <alignment horizontal="center"/>
    </xf>
    <xf numFmtId="0" fontId="9" fillId="10" borderId="8"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5" fillId="3" borderId="6" xfId="0" applyFont="1" applyFill="1" applyBorder="1" applyAlignment="1">
      <alignment horizontal="center" wrapText="1"/>
    </xf>
    <xf numFmtId="0" fontId="5" fillId="3" borderId="8" xfId="0" applyFont="1" applyFill="1" applyBorder="1" applyAlignment="1">
      <alignment horizontal="center" wrapText="1"/>
    </xf>
    <xf numFmtId="0" fontId="0" fillId="5" borderId="2" xfId="0" applyFill="1" applyBorder="1" applyAlignment="1">
      <alignment horizontal="center"/>
    </xf>
    <xf numFmtId="0" fontId="5" fillId="3" borderId="11"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5" xfId="0" applyFont="1" applyFill="1" applyBorder="1" applyAlignment="1">
      <alignment horizontal="center" vertical="center"/>
    </xf>
    <xf numFmtId="0" fontId="1" fillId="5" borderId="17" xfId="0" applyFont="1" applyFill="1" applyBorder="1" applyAlignment="1">
      <alignment horizontal="center"/>
    </xf>
    <xf numFmtId="0" fontId="1" fillId="5" borderId="18" xfId="0" applyFont="1" applyFill="1" applyBorder="1" applyAlignment="1">
      <alignment horizontal="center"/>
    </xf>
    <xf numFmtId="14" fontId="1" fillId="5" borderId="17" xfId="0" applyNumberFormat="1" applyFont="1" applyFill="1" applyBorder="1" applyAlignment="1">
      <alignment horizontal="center"/>
    </xf>
    <xf numFmtId="14" fontId="1" fillId="5" borderId="18" xfId="0" applyNumberFormat="1" applyFont="1" applyFill="1" applyBorder="1" applyAlignment="1">
      <alignment horizontal="center"/>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9" fillId="9" borderId="0"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9" fillId="9" borderId="22" xfId="0" applyFont="1" applyFill="1" applyBorder="1" applyAlignment="1">
      <alignment horizontal="center"/>
    </xf>
    <xf numFmtId="0" fontId="9" fillId="9" borderId="23" xfId="0" applyFont="1" applyFill="1" applyBorder="1" applyAlignment="1">
      <alignment horizontal="center"/>
    </xf>
    <xf numFmtId="0" fontId="9" fillId="9" borderId="24" xfId="0" applyFont="1" applyFill="1" applyBorder="1" applyAlignment="1">
      <alignment horizontal="center"/>
    </xf>
  </cellXfs>
  <cellStyles count="1">
    <cellStyle name="Normal" xfId="0" builtinId="0"/>
  </cellStyles>
  <dxfs count="4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4" formatCode="m/d/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bottom/>
      </border>
    </dxf>
    <dxf>
      <numFmt numFmtId="1"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1"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yy"/>
      <border diagonalUp="0" diagonalDown="0" outline="0">
        <left style="thin">
          <color indexed="64"/>
        </left>
        <right style="thin">
          <color indexed="64"/>
        </right>
        <top style="thin">
          <color indexed="64"/>
        </top>
        <bottom style="thin">
          <color indexed="64"/>
        </bottom>
      </border>
      <protection locked="1" hidden="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9" tint="0.59999389629810485"/>
        </patternFill>
      </fill>
      <alignment horizontal="center" vertical="bottom" textRotation="0" wrapText="0" indent="0" justifyLastLine="0" shrinkToFit="0" readingOrder="0"/>
    </dxf>
    <dxf>
      <font>
        <color rgb="FF9C0006"/>
      </font>
      <fill>
        <patternFill>
          <bgColor rgb="FFFFC7CE"/>
        </patternFill>
      </fill>
    </dxf>
    <dxf>
      <font>
        <color theme="0"/>
      </font>
      <fill>
        <patternFill>
          <bgColor rgb="FFFF0000"/>
        </patternFill>
      </fill>
    </dxf>
    <dxf>
      <font>
        <color theme="0"/>
      </font>
      <fill>
        <patternFill>
          <bgColor rgb="FFFF0000"/>
        </patternFill>
      </fill>
    </dxf>
    <dxf>
      <protection locked="0"/>
    </dxf>
    <dxf>
      <alignment horizontal="center"/>
    </dxf>
    <dxf>
      <alignment horizontal="center"/>
    </dxf>
    <dxf>
      <alignment horizontal="center"/>
    </dxf>
    <dxf>
      <alignment horizontal="center"/>
    </dxf>
    <dxf>
      <font>
        <color theme="5" tint="0.79998168889431442"/>
      </font>
      <fill>
        <patternFill>
          <bgColor theme="5" tint="0.79998168889431442"/>
        </patternFill>
      </fill>
      <border>
        <vertical/>
        <horizontal/>
      </border>
    </dxf>
  </dxfs>
  <tableStyles count="0" defaultTableStyle="TableStyleMedium2" defaultPivotStyle="PivotStyleLight16"/>
  <colors>
    <mruColors>
      <color rgb="FFE8D8F4"/>
      <color rgb="FF2AD3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[WAMU Festival Tracker MASTER.xlsx]Dashboard!PivotTable4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a:t>
            </a:r>
            <a:r>
              <a:rPr lang="en-US" baseline="0"/>
              <a:t> of National Awards to Students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a:sp3d/>
        </c:spPr>
      </c:pivotFmt>
      <c:pivotFmt>
        <c:idx val="4"/>
        <c:spPr>
          <a:solidFill>
            <a:srgbClr val="002060"/>
          </a:solidFill>
          <a:ln>
            <a:noFill/>
          </a:ln>
          <a:effectLst/>
          <a:sp3d/>
        </c:spPr>
      </c:pivotFmt>
      <c:pivotFmt>
        <c:idx val="5"/>
        <c:spPr>
          <a:solidFill>
            <a:schemeClr val="accent6">
              <a:lumMod val="50000"/>
            </a:schemeClr>
          </a:solidFill>
          <a:ln>
            <a:noFill/>
          </a:ln>
          <a:effectLst/>
          <a:sp3d/>
        </c:spPr>
      </c:pivotFmt>
      <c:pivotFmt>
        <c:idx val="6"/>
        <c:spPr>
          <a:solidFill>
            <a:srgbClr val="E8D8F4"/>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599065360732345E-2"/>
          <c:y val="0.26936420108544851"/>
          <c:w val="0.91009864343453739"/>
          <c:h val="0.2978710231799046"/>
        </c:manualLayout>
      </c:layout>
      <c:bar3DChart>
        <c:barDir val="col"/>
        <c:grouping val="clustered"/>
        <c:varyColors val="0"/>
        <c:ser>
          <c:idx val="0"/>
          <c:order val="0"/>
          <c:tx>
            <c:strRef>
              <c:f>Dashboard!$G$33:$G$34</c:f>
              <c:strCache>
                <c:ptCount val="1"/>
                <c:pt idx="0">
                  <c:v>CUP</c:v>
                </c:pt>
              </c:strCache>
            </c:strRef>
          </c:tx>
          <c:spPr>
            <a:solidFill>
              <a:schemeClr val="accent1"/>
            </a:solidFill>
            <a:ln>
              <a:noFill/>
            </a:ln>
            <a:effectLst/>
            <a:sp3d/>
          </c:spPr>
          <c:invertIfNegative val="0"/>
          <c:dPt>
            <c:idx val="0"/>
            <c:invertIfNegative val="0"/>
            <c:bubble3D val="0"/>
            <c:spPr>
              <a:solidFill>
                <a:srgbClr val="7030A0"/>
              </a:solidFill>
              <a:ln>
                <a:noFill/>
              </a:ln>
              <a:effectLst/>
              <a:sp3d/>
            </c:spPr>
            <c:extLst>
              <c:ext xmlns:c16="http://schemas.microsoft.com/office/drawing/2014/chart" uri="{C3380CC4-5D6E-409C-BE32-E72D297353CC}">
                <c16:uniqueId val="{00000001-19EE-4EC6-B01A-C3D308BC3046}"/>
              </c:ext>
            </c:extLst>
          </c:dPt>
          <c:dPt>
            <c:idx val="2"/>
            <c:invertIfNegative val="0"/>
            <c:bubble3D val="0"/>
            <c:spPr>
              <a:solidFill>
                <a:srgbClr val="002060"/>
              </a:solidFill>
              <a:ln>
                <a:noFill/>
              </a:ln>
              <a:effectLst/>
              <a:sp3d/>
            </c:spPr>
            <c:extLst>
              <c:ext xmlns:c16="http://schemas.microsoft.com/office/drawing/2014/chart" uri="{C3380CC4-5D6E-409C-BE32-E72D297353CC}">
                <c16:uniqueId val="{00000003-19EE-4EC6-B01A-C3D308BC3046}"/>
              </c:ext>
            </c:extLst>
          </c:dPt>
          <c:dPt>
            <c:idx val="3"/>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5-19EE-4EC6-B01A-C3D308BC3046}"/>
              </c:ext>
            </c:extLst>
          </c:dPt>
          <c:dPt>
            <c:idx val="4"/>
            <c:invertIfNegative val="0"/>
            <c:bubble3D val="0"/>
            <c:spPr>
              <a:solidFill>
                <a:srgbClr val="E8D8F4"/>
              </a:solidFill>
              <a:ln>
                <a:noFill/>
              </a:ln>
              <a:effectLst/>
              <a:sp3d/>
            </c:spPr>
            <c:extLst>
              <c:ext xmlns:c16="http://schemas.microsoft.com/office/drawing/2014/chart" uri="{C3380CC4-5D6E-409C-BE32-E72D297353CC}">
                <c16:uniqueId val="{00000007-19EE-4EC6-B01A-C3D308BC3046}"/>
              </c:ext>
            </c:extLst>
          </c:dPt>
          <c:cat>
            <c:strRef>
              <c:f>Dashboard!$F$35:$F$40</c:f>
              <c:strCache>
                <c:ptCount val="5"/>
                <c:pt idx="0">
                  <c:v>NFMC Duet</c:v>
                </c:pt>
                <c:pt idx="1">
                  <c:v>NFMC Hymn</c:v>
                </c:pt>
                <c:pt idx="2">
                  <c:v>NFMC Piano</c:v>
                </c:pt>
                <c:pt idx="3">
                  <c:v>NFMC Theory</c:v>
                </c:pt>
                <c:pt idx="4">
                  <c:v>NFMC Voice</c:v>
                </c:pt>
              </c:strCache>
            </c:strRef>
          </c:cat>
          <c:val>
            <c:numRef>
              <c:f>Dashboard!$G$35:$G$40</c:f>
              <c:numCache>
                <c:formatCode>General</c:formatCode>
                <c:ptCount val="5"/>
                <c:pt idx="0">
                  <c:v>2</c:v>
                </c:pt>
                <c:pt idx="1">
                  <c:v>1</c:v>
                </c:pt>
                <c:pt idx="2">
                  <c:v>3</c:v>
                </c:pt>
                <c:pt idx="3">
                  <c:v>1</c:v>
                </c:pt>
                <c:pt idx="4">
                  <c:v>1</c:v>
                </c:pt>
              </c:numCache>
            </c:numRef>
          </c:val>
          <c:extLst>
            <c:ext xmlns:c16="http://schemas.microsoft.com/office/drawing/2014/chart" uri="{C3380CC4-5D6E-409C-BE32-E72D297353CC}">
              <c16:uniqueId val="{00000000-66A0-4E04-868A-3B1D9E68870B}"/>
            </c:ext>
          </c:extLst>
        </c:ser>
        <c:dLbls>
          <c:showLegendKey val="0"/>
          <c:showVal val="0"/>
          <c:showCatName val="0"/>
          <c:showSerName val="0"/>
          <c:showPercent val="0"/>
          <c:showBubbleSize val="0"/>
        </c:dLbls>
        <c:gapWidth val="82"/>
        <c:gapDepth val="94"/>
        <c:shape val="box"/>
        <c:axId val="1381493039"/>
        <c:axId val="1375459503"/>
        <c:axId val="0"/>
      </c:bar3DChart>
      <c:catAx>
        <c:axId val="138149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459503"/>
        <c:crosses val="autoZero"/>
        <c:auto val="1"/>
        <c:lblAlgn val="ctr"/>
        <c:lblOffset val="100"/>
        <c:noMultiLvlLbl val="0"/>
      </c:catAx>
      <c:valAx>
        <c:axId val="137545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93039"/>
        <c:crosses val="autoZero"/>
        <c:crossBetween val="between"/>
        <c:majorUnit val="1"/>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306917</xdr:colOff>
      <xdr:row>1</xdr:row>
      <xdr:rowOff>169883</xdr:rowOff>
    </xdr:from>
    <xdr:to>
      <xdr:col>4</xdr:col>
      <xdr:colOff>391584</xdr:colOff>
      <xdr:row>12</xdr:row>
      <xdr:rowOff>19958</xdr:rowOff>
    </xdr:to>
    <xdr:pic>
      <xdr:nvPicPr>
        <xdr:cNvPr id="3" name="Picture 2">
          <a:extLst>
            <a:ext uri="{FF2B5EF4-FFF2-40B4-BE49-F238E27FC236}">
              <a16:creationId xmlns:a16="http://schemas.microsoft.com/office/drawing/2014/main" id="{025FDF19-F299-4C46-AE37-087A71D6A6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783167" y="360383"/>
          <a:ext cx="2761192" cy="2498025"/>
        </a:xfrm>
        <a:prstGeom prst="rect">
          <a:avLst/>
        </a:prstGeom>
      </xdr:spPr>
    </xdr:pic>
    <xdr:clientData/>
  </xdr:twoCellAnchor>
  <xdr:twoCellAnchor editAs="oneCell">
    <xdr:from>
      <xdr:col>1</xdr:col>
      <xdr:colOff>666750</xdr:colOff>
      <xdr:row>31</xdr:row>
      <xdr:rowOff>142875</xdr:rowOff>
    </xdr:from>
    <xdr:to>
      <xdr:col>3</xdr:col>
      <xdr:colOff>504825</xdr:colOff>
      <xdr:row>45</xdr:row>
      <xdr:rowOff>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290E2607-FE24-4BCD-97EC-2FBF114B50F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43000" y="7455958"/>
              <a:ext cx="182774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342900</xdr:colOff>
      <xdr:row>31</xdr:row>
      <xdr:rowOff>166687</xdr:rowOff>
    </xdr:from>
    <xdr:to>
      <xdr:col>16</xdr:col>
      <xdr:colOff>466726</xdr:colOff>
      <xdr:row>45</xdr:row>
      <xdr:rowOff>180975</xdr:rowOff>
    </xdr:to>
    <xdr:graphicFrame macro="">
      <xdr:nvGraphicFramePr>
        <xdr:cNvPr id="4" name="Chart 3">
          <a:extLst>
            <a:ext uri="{FF2B5EF4-FFF2-40B4-BE49-F238E27FC236}">
              <a16:creationId xmlns:a16="http://schemas.microsoft.com/office/drawing/2014/main" id="{155794DA-49DA-4EA7-AEC2-09EE0879C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85725</xdr:colOff>
      <xdr:row>0</xdr:row>
      <xdr:rowOff>57150</xdr:rowOff>
    </xdr:from>
    <xdr:to>
      <xdr:col>3</xdr:col>
      <xdr:colOff>128058</xdr:colOff>
      <xdr:row>4</xdr:row>
      <xdr:rowOff>171147</xdr:rowOff>
    </xdr:to>
    <xdr:pic>
      <xdr:nvPicPr>
        <xdr:cNvPr id="5" name="Picture 4">
          <a:extLst>
            <a:ext uri="{FF2B5EF4-FFF2-40B4-BE49-F238E27FC236}">
              <a16:creationId xmlns:a16="http://schemas.microsoft.com/office/drawing/2014/main" id="{CBFD4C87-6DE1-4F08-9807-AC1DA4C21B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190625" y="57150"/>
          <a:ext cx="1833033" cy="10474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na Wachter" refreshedDate="43914.00957858796" createdVersion="6" refreshedVersion="6" minRefreshableVersion="3" recordCount="74" xr:uid="{8893404B-D660-4E3D-911A-68A1B5E8F66F}">
  <cacheSource type="worksheet">
    <worksheetSource name="Table6[[Last Name]:[Original]]"/>
  </cacheSource>
  <cacheFields count="21">
    <cacheField name="Last Name" numFmtId="0">
      <sharedItems/>
    </cacheField>
    <cacheField name="Instrument" numFmtId="0">
      <sharedItems count="5">
        <s v="Piano"/>
        <s v="Voice"/>
        <s v="Duet"/>
        <s v="Violin"/>
        <s v="Cello"/>
      </sharedItems>
    </cacheField>
    <cacheField name="Lesson Type" numFmtId="0">
      <sharedItems/>
    </cacheField>
    <cacheField name="Birthday" numFmtId="14">
      <sharedItems containsSemiMixedTypes="0" containsNonDate="0" containsDate="1" containsString="0" minDate="2002-09-23T00:00:00" maxDate="2014-12-16T00:00:00"/>
    </cacheField>
    <cacheField name="Age" numFmtId="1">
      <sharedItems containsSemiMixedTypes="0" containsString="0" containsNumber="1" containsInteger="1" minValue="5" maxValue="17"/>
    </cacheField>
    <cacheField name="Gender" numFmtId="1">
      <sharedItems count="2">
        <s v="Female"/>
        <s v="Male"/>
      </sharedItems>
    </cacheField>
    <cacheField name="PP Eligible" numFmtId="1">
      <sharedItems/>
    </cacheField>
    <cacheField name="Event" numFmtId="1">
      <sharedItems count="8">
        <s v="Hymn"/>
        <s v="NFMC Duet"/>
        <s v="NFMC Hymn"/>
        <s v="NFMC Piano"/>
        <s v="NFMC Strings"/>
        <s v="NFMC Theory"/>
        <s v="NFMC Voice"/>
        <s v="Xmas"/>
      </sharedItems>
    </cacheField>
    <cacheField name="Date" numFmtId="164">
      <sharedItems containsSemiMixedTypes="0" containsNonDate="0" containsDate="1" containsString="0" minDate="2019-11-08T00:00:00" maxDate="2020-04-26T00:00:00"/>
    </cacheField>
    <cacheField name="Solo Level" numFmtId="0">
      <sharedItems containsBlank="1"/>
    </cacheField>
    <cacheField name="PCS" numFmtId="0">
      <sharedItems containsString="0" containsBlank="1" containsNumber="1" containsInteger="1" minValue="0" maxValue="6"/>
    </cacheField>
    <cacheField name="PAP" numFmtId="0">
      <sharedItems containsString="0" containsBlank="1" containsNumber="1" containsInteger="1" minValue="0" maxValue="30"/>
    </cacheField>
    <cacheField name="RATING" numFmtId="0">
      <sharedItems containsBlank="1" containsMixedTypes="1" containsNumber="1" containsInteger="1" minValue="3" maxValue="5"/>
    </cacheField>
    <cacheField name="CCS" numFmtId="0">
      <sharedItems containsMixedTypes="1" containsNumber="1" containsInteger="1" minValue="1" maxValue="7"/>
    </cacheField>
    <cacheField name="TAP" numFmtId="0">
      <sharedItems containsMixedTypes="1" containsNumber="1" containsInteger="1" minValue="0" maxValue="35"/>
    </cacheField>
    <cacheField name="AWARD" numFmtId="0">
      <sharedItems count="4">
        <s v=""/>
        <s v="CUP"/>
        <s v="Medal"/>
        <s v="Cert"/>
      </sharedItems>
    </cacheField>
    <cacheField name="Instrument 2" numFmtId="0">
      <sharedItems containsMixedTypes="1" containsNumber="1" containsInteger="1" minValue="1" maxValue="2"/>
    </cacheField>
    <cacheField name="Phone Number" numFmtId="0">
      <sharedItems/>
    </cacheField>
    <cacheField name="BYU-I#" numFmtId="0">
      <sharedItems/>
    </cacheField>
    <cacheField name="Switch to Virtual?" numFmtId="0">
      <sharedItems/>
    </cacheField>
    <cacheField name="Original" numFmtId="0">
      <sharedItems/>
    </cacheField>
  </cacheFields>
  <extLst>
    <ext xmlns:x14="http://schemas.microsoft.com/office/spreadsheetml/2009/9/main" uri="{725AE2AE-9491-48be-B2B4-4EB974FC3084}">
      <x14:pivotCacheDefinition pivotCacheId="500436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Phares"/>
    <x v="0"/>
    <s v="Virtual"/>
    <d v="2014-03-20T00:00:00"/>
    <n v="5"/>
    <x v="0"/>
    <s v="YES"/>
    <x v="0"/>
    <d v="2020-04-25T00:00:00"/>
    <m/>
    <n v="1"/>
    <m/>
    <m/>
    <s v=""/>
    <n v="0"/>
    <x v="0"/>
    <s v="WH"/>
    <s v="225-761-7647"/>
    <s v="225-761-5481"/>
    <s v="YES"/>
    <s v="Physical"/>
  </r>
  <r>
    <s v="Wagley"/>
    <x v="0"/>
    <s v="Virtual"/>
    <d v="2013-05-07T00:00:00"/>
    <n v="6"/>
    <x v="0"/>
    <s v="YES"/>
    <x v="0"/>
    <d v="2020-04-25T00:00:00"/>
    <m/>
    <n v="0"/>
    <m/>
    <m/>
    <s v=""/>
    <n v="0"/>
    <x v="0"/>
    <s v="WH"/>
    <s v="222-445-6774"/>
    <s v="222-445-5481"/>
    <s v="YES"/>
    <s v="Physical"/>
  </r>
  <r>
    <s v="Phares"/>
    <x v="0"/>
    <s v="Virtual"/>
    <d v="2011-12-28T00:00:00"/>
    <n v="8"/>
    <x v="0"/>
    <s v="YES"/>
    <x v="0"/>
    <d v="2020-04-25T00:00:00"/>
    <m/>
    <n v="0"/>
    <m/>
    <m/>
    <s v=""/>
    <n v="0"/>
    <x v="0"/>
    <s v="WH"/>
    <s v="225-761-7647"/>
    <s v="225-761-5481"/>
    <s v="YES"/>
    <s v="Physical"/>
  </r>
  <r>
    <s v="Brough"/>
    <x v="0"/>
    <s v="Virtual"/>
    <d v="2010-05-06T00:00:00"/>
    <n v="9"/>
    <x v="0"/>
    <s v=""/>
    <x v="0"/>
    <d v="2020-04-25T00:00:00"/>
    <m/>
    <m/>
    <m/>
    <m/>
    <s v=""/>
    <n v="0"/>
    <x v="0"/>
    <s v="WH"/>
    <s v="203-573-2217"/>
    <s v="203-573-5481"/>
    <s v="NO"/>
    <s v="Virtual"/>
  </r>
  <r>
    <s v="Brough"/>
    <x v="0"/>
    <s v="Virtual"/>
    <d v="2006-12-25T00:00:00"/>
    <n v="13"/>
    <x v="0"/>
    <s v=""/>
    <x v="0"/>
    <d v="2020-04-25T00:00:00"/>
    <m/>
    <m/>
    <m/>
    <m/>
    <s v=""/>
    <n v="0"/>
    <x v="0"/>
    <s v="WH"/>
    <s v="203-573-2217"/>
    <s v="203-573-5481"/>
    <s v="NO"/>
    <s v="Virtual"/>
  </r>
  <r>
    <s v="Mayeux"/>
    <x v="1"/>
    <s v="Virtual"/>
    <d v="2003-12-15T00:00:00"/>
    <n v="16"/>
    <x v="0"/>
    <s v=""/>
    <x v="0"/>
    <d v="2020-04-25T00:00:00"/>
    <m/>
    <n v="0"/>
    <m/>
    <m/>
    <s v=""/>
    <n v="0"/>
    <x v="0"/>
    <s v="WH"/>
    <s v="225-744-8135"/>
    <s v="225-744-5481"/>
    <s v="YES"/>
    <s v="Physical"/>
  </r>
  <r>
    <s v="Brough"/>
    <x v="0"/>
    <s v="Virtual"/>
    <d v="2005-04-27T00:00:00"/>
    <n v="14"/>
    <x v="1"/>
    <s v=""/>
    <x v="0"/>
    <d v="2020-04-25T00:00:00"/>
    <m/>
    <n v="0"/>
    <m/>
    <m/>
    <s v=""/>
    <n v="0"/>
    <x v="0"/>
    <s v="WH"/>
    <s v="203-573-2217"/>
    <s v="203-573-5481"/>
    <s v="NO"/>
    <s v="Virtual"/>
  </r>
  <r>
    <s v="Brough"/>
    <x v="0"/>
    <s v="Virtual"/>
    <d v="2011-12-07T00:00:00"/>
    <n v="8"/>
    <x v="0"/>
    <s v="YES"/>
    <x v="0"/>
    <d v="2020-04-25T00:00:00"/>
    <m/>
    <m/>
    <m/>
    <m/>
    <s v=""/>
    <n v="0"/>
    <x v="0"/>
    <s v="WH"/>
    <s v="203-573-2217"/>
    <s v="203-573-5481"/>
    <s v="NO"/>
    <s v="Virtual"/>
  </r>
  <r>
    <s v="D'Esposito"/>
    <x v="0"/>
    <s v="Virtual"/>
    <d v="2007-11-26T00:00:00"/>
    <n v="12"/>
    <x v="1"/>
    <s v=""/>
    <x v="0"/>
    <d v="2020-04-25T00:00:00"/>
    <m/>
    <n v="3"/>
    <m/>
    <m/>
    <s v=""/>
    <n v="0"/>
    <x v="0"/>
    <s v="WH"/>
    <s v="225-751-1277"/>
    <s v="225-751-5481"/>
    <s v="NO"/>
    <s v="Virtual"/>
  </r>
  <r>
    <s v="Johnston"/>
    <x v="0"/>
    <s v="Virtual"/>
    <d v="2004-09-05T00:00:00"/>
    <n v="15"/>
    <x v="0"/>
    <s v=""/>
    <x v="0"/>
    <d v="2020-04-25T00:00:00"/>
    <m/>
    <n v="0"/>
    <m/>
    <m/>
    <s v=""/>
    <n v="0"/>
    <x v="0"/>
    <s v="WH"/>
    <s v="225-467-5731"/>
    <s v="225-467-5481"/>
    <s v="YES"/>
    <s v="Physical"/>
  </r>
  <r>
    <s v="Allen"/>
    <x v="0"/>
    <s v="Virtual"/>
    <d v="2008-04-15T00:00:00"/>
    <n v="11"/>
    <x v="0"/>
    <s v=""/>
    <x v="0"/>
    <d v="2020-04-25T00:00:00"/>
    <m/>
    <n v="1"/>
    <m/>
    <m/>
    <s v=""/>
    <n v="0"/>
    <x v="0"/>
    <s v="WH"/>
    <s v="225-647-7614"/>
    <s v="225-647-5481"/>
    <s v="YES"/>
    <s v="Physical"/>
  </r>
  <r>
    <s v="Richardson"/>
    <x v="0"/>
    <s v="Virtual"/>
    <d v="2008-04-22T00:00:00"/>
    <n v="11"/>
    <x v="0"/>
    <s v=""/>
    <x v="0"/>
    <d v="2020-04-25T00:00:00"/>
    <m/>
    <n v="6"/>
    <m/>
    <m/>
    <s v=""/>
    <n v="0"/>
    <x v="0"/>
    <s v="WH"/>
    <s v="225-871-5672"/>
    <s v="225-871-5481"/>
    <s v="YES"/>
    <s v="Physical"/>
  </r>
  <r>
    <s v="Britt"/>
    <x v="0"/>
    <s v="Virtual"/>
    <d v="2011-11-28T00:00:00"/>
    <n v="8"/>
    <x v="0"/>
    <s v="YES"/>
    <x v="0"/>
    <d v="2020-04-25T00:00:00"/>
    <m/>
    <n v="0"/>
    <m/>
    <m/>
    <s v=""/>
    <n v="0"/>
    <x v="0"/>
    <s v="WH"/>
    <s v="225-722-7842"/>
    <s v="225-722-5481"/>
    <s v="YES"/>
    <s v="Physical"/>
  </r>
  <r>
    <s v="Murrell"/>
    <x v="0"/>
    <s v="Virtual"/>
    <d v="2014-01-17T00:00:00"/>
    <n v="6"/>
    <x v="0"/>
    <s v="YES"/>
    <x v="0"/>
    <d v="2020-04-25T00:00:00"/>
    <m/>
    <m/>
    <m/>
    <m/>
    <s v=""/>
    <n v="0"/>
    <x v="0"/>
    <s v="WH"/>
    <s v="225-927-5721"/>
    <s v="225-927-5481"/>
    <s v="YES"/>
    <s v="Physical"/>
  </r>
  <r>
    <s v="Lee"/>
    <x v="0"/>
    <s v="Virtual"/>
    <d v="2009-05-24T00:00:00"/>
    <n v="10"/>
    <x v="0"/>
    <s v=""/>
    <x v="0"/>
    <d v="2020-04-25T00:00:00"/>
    <m/>
    <n v="3"/>
    <m/>
    <m/>
    <s v=""/>
    <n v="0"/>
    <x v="0"/>
    <s v="WH"/>
    <s v="225-740-5751"/>
    <s v="225-740-5481"/>
    <s v="YES"/>
    <s v="Physical"/>
  </r>
  <r>
    <s v="Verbois"/>
    <x v="0"/>
    <s v="Virtual"/>
    <d v="2002-09-23T00:00:00"/>
    <n v="17"/>
    <x v="1"/>
    <s v=""/>
    <x v="0"/>
    <d v="2020-04-25T00:00:00"/>
    <m/>
    <n v="0"/>
    <m/>
    <m/>
    <s v=""/>
    <n v="0"/>
    <x v="0"/>
    <s v="WH"/>
    <s v="225-420-5761"/>
    <s v="225-420-5481"/>
    <s v="YES"/>
    <s v="Physical"/>
  </r>
  <r>
    <s v="Verbois"/>
    <x v="0"/>
    <s v="Virtual"/>
    <d v="2002-09-23T00:00:00"/>
    <n v="17"/>
    <x v="1"/>
    <s v=""/>
    <x v="0"/>
    <d v="2020-04-25T00:00:00"/>
    <m/>
    <n v="0"/>
    <m/>
    <m/>
    <s v=""/>
    <n v="0"/>
    <x v="0"/>
    <s v="WH"/>
    <s v="225-420-5761"/>
    <s v="225-420-5481"/>
    <s v="YES"/>
    <s v="Physical"/>
  </r>
  <r>
    <s v="Munozcano"/>
    <x v="0"/>
    <s v="Virtual"/>
    <d v="2012-03-16T00:00:00"/>
    <n v="7"/>
    <x v="0"/>
    <s v="YES"/>
    <x v="0"/>
    <d v="2020-04-25T00:00:00"/>
    <m/>
    <n v="3"/>
    <m/>
    <m/>
    <s v=""/>
    <n v="0"/>
    <x v="0"/>
    <s v="WH"/>
    <s v="225-794-7888"/>
    <s v="225-794-5481"/>
    <s v="YES"/>
    <s v="Physical"/>
  </r>
  <r>
    <s v="D'Esposito"/>
    <x v="2"/>
    <s v="Virtual"/>
    <d v="2007-11-26T00:00:00"/>
    <n v="12"/>
    <x v="1"/>
    <s v=""/>
    <x v="1"/>
    <d v="2019-11-08T00:00:00"/>
    <s v="E1"/>
    <n v="2"/>
    <n v="10"/>
    <n v="5"/>
    <n v="3"/>
    <n v="15"/>
    <x v="1"/>
    <s v="D"/>
    <s v="225-751-1277"/>
    <s v=""/>
    <s v="NO"/>
    <s v="Virtual"/>
  </r>
  <r>
    <s v="Lee"/>
    <x v="2"/>
    <s v="Virtual"/>
    <d v="2009-05-24T00:00:00"/>
    <n v="10"/>
    <x v="0"/>
    <s v=""/>
    <x v="1"/>
    <d v="2019-11-08T00:00:00"/>
    <s v="E1"/>
    <n v="2"/>
    <n v="10"/>
    <n v="5"/>
    <n v="3"/>
    <n v="15"/>
    <x v="1"/>
    <s v="D"/>
    <s v="225-740-5751"/>
    <s v=""/>
    <s v="YES"/>
    <s v="Physical"/>
  </r>
  <r>
    <s v="Phares"/>
    <x v="0"/>
    <s v="Virtual"/>
    <d v="2014-03-20T00:00:00"/>
    <n v="5"/>
    <x v="0"/>
    <s v="YES"/>
    <x v="2"/>
    <d v="2020-02-15T00:00:00"/>
    <s v="E2"/>
    <n v="6"/>
    <n v="30"/>
    <n v="5"/>
    <n v="7"/>
    <n v="35"/>
    <x v="0"/>
    <s v="H"/>
    <s v="225-761-7647"/>
    <s v=""/>
    <s v="YES"/>
    <s v="Physical"/>
  </r>
  <r>
    <s v="Phares"/>
    <x v="0"/>
    <s v="Virtual"/>
    <d v="2011-12-29T00:00:00"/>
    <n v="8"/>
    <x v="0"/>
    <s v="YES"/>
    <x v="2"/>
    <d v="2020-02-15T00:00:00"/>
    <s v="PC"/>
    <n v="0"/>
    <n v="5"/>
    <n v="4"/>
    <s v="0"/>
    <n v="9"/>
    <x v="0"/>
    <s v="H"/>
    <s v="225-761-7647"/>
    <s v=""/>
    <s v="YES"/>
    <s v="Physical"/>
  </r>
  <r>
    <s v="D'Esposito"/>
    <x v="0"/>
    <s v="Virtual"/>
    <d v="2007-11-26T00:00:00"/>
    <n v="12"/>
    <x v="1"/>
    <s v=""/>
    <x v="2"/>
    <d v="2020-02-15T00:00:00"/>
    <s v="PE"/>
    <n v="3"/>
    <n v="15"/>
    <n v="5"/>
    <n v="4"/>
    <n v="20"/>
    <x v="0"/>
    <s v="H"/>
    <s v="225-751-1277"/>
    <s v=""/>
    <s v="NO"/>
    <s v="Virtual"/>
  </r>
  <r>
    <s v="Lee"/>
    <x v="0"/>
    <s v="Virtual"/>
    <d v="2009-05-24T00:00:00"/>
    <n v="10"/>
    <x v="0"/>
    <s v=""/>
    <x v="2"/>
    <d v="2020-02-15T00:00:00"/>
    <s v="PD"/>
    <n v="2"/>
    <n v="10"/>
    <n v="5"/>
    <n v="3"/>
    <n v="15"/>
    <x v="1"/>
    <s v="H"/>
    <s v="225-740-5751"/>
    <s v=""/>
    <s v="YES"/>
    <s v="Physical"/>
  </r>
  <r>
    <s v="Phares"/>
    <x v="0"/>
    <s v="Virtual"/>
    <d v="2014-03-20T00:00:00"/>
    <n v="5"/>
    <x v="0"/>
    <s v="YES"/>
    <x v="3"/>
    <d v="2020-02-15T00:00:00"/>
    <s v="PP"/>
    <n v="0"/>
    <n v="0"/>
    <n v="5"/>
    <n v="1"/>
    <n v="5"/>
    <x v="0"/>
    <n v="1"/>
    <s v="225-761-7647"/>
    <s v=""/>
    <s v="YES"/>
    <s v="Physical"/>
  </r>
  <r>
    <s v="Payne"/>
    <x v="0"/>
    <s v="Virtual"/>
    <d v="2008-06-09T00:00:00"/>
    <n v="11"/>
    <x v="0"/>
    <s v=""/>
    <x v="3"/>
    <d v="2020-02-15T00:00:00"/>
    <s v="P4"/>
    <n v="2"/>
    <n v="10"/>
    <n v="5"/>
    <n v="3"/>
    <n v="15"/>
    <x v="1"/>
    <n v="1"/>
    <s v="225-885-4458"/>
    <s v=""/>
    <s v="NO"/>
    <s v="Virtual"/>
  </r>
  <r>
    <s v="Wagley"/>
    <x v="0"/>
    <s v="Virtual"/>
    <d v="2013-05-07T00:00:00"/>
    <n v="6"/>
    <x v="0"/>
    <s v="YES"/>
    <x v="3"/>
    <d v="2020-02-15T00:00:00"/>
    <s v="PP"/>
    <n v="0"/>
    <n v="0"/>
    <n v="5"/>
    <n v="1"/>
    <n v="5"/>
    <x v="0"/>
    <n v="1"/>
    <s v="22-445-6774"/>
    <s v=""/>
    <s v="YES"/>
    <s v="Physical"/>
  </r>
  <r>
    <s v="Phares"/>
    <x v="0"/>
    <s v="Virtual"/>
    <d v="2011-12-28T00:00:00"/>
    <n v="8"/>
    <x v="0"/>
    <s v="YES"/>
    <x v="3"/>
    <d v="2020-02-15T00:00:00"/>
    <s v="P3"/>
    <n v="3"/>
    <n v="15"/>
    <n v="5"/>
    <n v="4"/>
    <n v="20"/>
    <x v="0"/>
    <n v="1"/>
    <s v="225-761-7647"/>
    <s v=""/>
    <s v="YES"/>
    <s v="Physical"/>
  </r>
  <r>
    <s v="D'Esposito"/>
    <x v="0"/>
    <s v="Virtual"/>
    <d v="2007-11-26T00:00:00"/>
    <n v="12"/>
    <x v="1"/>
    <s v=""/>
    <x v="3"/>
    <d v="2020-02-15T00:00:00"/>
    <s v="E2"/>
    <n v="3"/>
    <n v="15"/>
    <n v="5"/>
    <n v="4"/>
    <n v="20"/>
    <x v="0"/>
    <n v="1"/>
    <s v="225-751-1277"/>
    <s v=""/>
    <s v="NO"/>
    <s v="Virtual"/>
  </r>
  <r>
    <s v="Allen"/>
    <x v="0"/>
    <s v="Virtual"/>
    <d v="2008-04-15T00:00:00"/>
    <n v="11"/>
    <x v="0"/>
    <s v=""/>
    <x v="3"/>
    <d v="2020-02-15T00:00:00"/>
    <s v="P3"/>
    <n v="2"/>
    <n v="10"/>
    <n v="5"/>
    <n v="3"/>
    <n v="15"/>
    <x v="1"/>
    <n v="1"/>
    <s v="225-647-7614"/>
    <s v=""/>
    <s v="YES"/>
    <s v="Physical"/>
  </r>
  <r>
    <s v="Richardson"/>
    <x v="0"/>
    <s v="Virtual"/>
    <d v="2008-04-22T00:00:00"/>
    <n v="11"/>
    <x v="0"/>
    <s v=""/>
    <x v="3"/>
    <d v="2020-02-15T00:00:00"/>
    <s v="E2"/>
    <n v="6"/>
    <n v="30"/>
    <n v="5"/>
    <n v="7"/>
    <n v="35"/>
    <x v="0"/>
    <n v="1"/>
    <s v="225-871-5672"/>
    <s v=""/>
    <s v="YES"/>
    <s v="Physical"/>
  </r>
  <r>
    <s v="Britt"/>
    <x v="0"/>
    <s v="Virtual"/>
    <d v="2011-11-28T00:00:00"/>
    <n v="8"/>
    <x v="0"/>
    <s v="YES"/>
    <x v="3"/>
    <d v="2020-02-15T00:00:00"/>
    <s v="PP"/>
    <n v="0"/>
    <n v="0"/>
    <n v="5"/>
    <n v="1"/>
    <n v="5"/>
    <x v="0"/>
    <n v="1"/>
    <s v="225-722-7842"/>
    <s v=""/>
    <s v="YES"/>
    <s v="Physical"/>
  </r>
  <r>
    <s v="Thomas"/>
    <x v="0"/>
    <s v="Virtual"/>
    <d v="2005-11-08T00:00:00"/>
    <n v="14"/>
    <x v="0"/>
    <s v=""/>
    <x v="3"/>
    <d v="2020-02-15T00:00:00"/>
    <s v="E2"/>
    <n v="5"/>
    <n v="25"/>
    <n v="5"/>
    <n v="6"/>
    <n v="30"/>
    <x v="1"/>
    <n v="1"/>
    <s v="225-804-4682"/>
    <s v=""/>
    <s v="YES"/>
    <s v="Physical"/>
  </r>
  <r>
    <s v="Murrell"/>
    <x v="0"/>
    <s v="Virtual"/>
    <d v="2014-01-17T00:00:00"/>
    <n v="6"/>
    <x v="0"/>
    <s v="YES"/>
    <x v="3"/>
    <d v="2020-02-15T00:00:00"/>
    <s v="PP"/>
    <n v="0"/>
    <n v="0"/>
    <n v="5"/>
    <n v="1"/>
    <n v="5"/>
    <x v="0"/>
    <n v="1"/>
    <s v="225-927-5721"/>
    <s v=""/>
    <s v="YES"/>
    <s v="Physical"/>
  </r>
  <r>
    <s v="Lee"/>
    <x v="0"/>
    <s v="Virtual"/>
    <d v="2009-05-24T00:00:00"/>
    <n v="10"/>
    <x v="0"/>
    <s v=""/>
    <x v="3"/>
    <d v="2020-02-15T00:00:00"/>
    <s v="E1"/>
    <n v="3"/>
    <n v="15"/>
    <n v="5"/>
    <n v="4"/>
    <n v="20"/>
    <x v="0"/>
    <n v="1"/>
    <s v="225-740-5751"/>
    <s v=""/>
    <s v="YES"/>
    <s v="Physical"/>
  </r>
  <r>
    <s v="Verbois"/>
    <x v="0"/>
    <s v="Virtual"/>
    <d v="2002-09-23T00:00:00"/>
    <n v="17"/>
    <x v="1"/>
    <s v=""/>
    <x v="3"/>
    <d v="2020-02-15T00:00:00"/>
    <s v="P4"/>
    <n v="0"/>
    <n v="5"/>
    <n v="5"/>
    <n v="1"/>
    <n v="10"/>
    <x v="0"/>
    <n v="1"/>
    <s v="225-420-5761"/>
    <s v=""/>
    <s v="YES"/>
    <s v="Physical"/>
  </r>
  <r>
    <s v="Munozcano"/>
    <x v="0"/>
    <s v="Virtual"/>
    <d v="2012-03-16T00:00:00"/>
    <n v="7"/>
    <x v="0"/>
    <s v="YES"/>
    <x v="3"/>
    <d v="2020-02-15T00:00:00"/>
    <s v="P3"/>
    <n v="3"/>
    <n v="15"/>
    <n v="5"/>
    <n v="4"/>
    <n v="20"/>
    <x v="0"/>
    <n v="1"/>
    <s v="225-794-7888"/>
    <s v=""/>
    <s v="YES"/>
    <s v="Physical"/>
  </r>
  <r>
    <s v="Overton"/>
    <x v="3"/>
    <s v="Virtual"/>
    <d v="2010-04-30T00:00:00"/>
    <n v="9"/>
    <x v="0"/>
    <s v=""/>
    <x v="4"/>
    <d v="2020-02-15T00:00:00"/>
    <s v="P3"/>
    <n v="0"/>
    <n v="9"/>
    <n v="5"/>
    <n v="1"/>
    <n v="14"/>
    <x v="0"/>
    <n v="1"/>
    <s v="225-497-5154"/>
    <s v=""/>
    <s v="YES"/>
    <s v="Physical"/>
  </r>
  <r>
    <s v="Brough"/>
    <x v="4"/>
    <s v="Virtual"/>
    <d v="2005-04-27T00:00:00"/>
    <n v="14"/>
    <x v="1"/>
    <s v=""/>
    <x v="4"/>
    <d v="2020-02-15T00:00:00"/>
    <s v="E1"/>
    <n v="0"/>
    <n v="0"/>
    <n v="5"/>
    <n v="1"/>
    <n v="5"/>
    <x v="0"/>
    <n v="1"/>
    <s v="203-573-2217"/>
    <s v=""/>
    <s v="NO"/>
    <s v="Virtual"/>
  </r>
  <r>
    <s v="Buzbee"/>
    <x v="4"/>
    <s v="Virtual"/>
    <d v="2002-11-01T00:00:00"/>
    <n v="17"/>
    <x v="1"/>
    <s v=""/>
    <x v="4"/>
    <d v="2020-02-15T00:00:00"/>
    <s v="E1"/>
    <n v="0"/>
    <n v="9"/>
    <n v="4"/>
    <s v="0"/>
    <n v="13"/>
    <x v="0"/>
    <n v="1"/>
    <s v="225-977-8457"/>
    <s v=""/>
    <s v="YES"/>
    <s v="Physical"/>
  </r>
  <r>
    <s v="Beeson"/>
    <x v="3"/>
    <s v="Virtual"/>
    <d v="2004-02-23T00:00:00"/>
    <n v="15"/>
    <x v="0"/>
    <s v=""/>
    <x v="4"/>
    <d v="2020-02-15T00:00:00"/>
    <s v="P2"/>
    <n v="0"/>
    <n v="0"/>
    <n v="5"/>
    <n v="1"/>
    <n v="5"/>
    <x v="0"/>
    <n v="1"/>
    <s v="225-864-5348"/>
    <s v=""/>
    <s v="YES"/>
    <s v="Physical"/>
  </r>
  <r>
    <s v="Murrell"/>
    <x v="3"/>
    <s v="Virtual"/>
    <d v="2011-12-07T00:00:00"/>
    <n v="8"/>
    <x v="0"/>
    <s v="YES"/>
    <x v="4"/>
    <d v="2020-02-15T00:00:00"/>
    <s v="P1"/>
    <n v="1"/>
    <n v="5"/>
    <n v="5"/>
    <n v="2"/>
    <n v="10"/>
    <x v="0"/>
    <n v="1"/>
    <s v="225-927-5721"/>
    <s v=""/>
    <s v="YES"/>
    <s v="Physical"/>
  </r>
  <r>
    <s v="Munozcano"/>
    <x v="3"/>
    <s v="Virtual"/>
    <d v="2012-03-16T00:00:00"/>
    <n v="7"/>
    <x v="0"/>
    <s v="YES"/>
    <x v="4"/>
    <d v="2020-02-15T00:00:00"/>
    <s v="P1"/>
    <n v="1"/>
    <n v="5"/>
    <n v="5"/>
    <n v="2"/>
    <n v="10"/>
    <x v="0"/>
    <n v="2"/>
    <s v="225-794-7888"/>
    <s v=""/>
    <s v="YES"/>
    <s v="Physical"/>
  </r>
  <r>
    <s v="Payne"/>
    <x v="0"/>
    <s v="Virtual"/>
    <d v="2008-06-09T00:00:00"/>
    <n v="11"/>
    <x v="0"/>
    <s v=""/>
    <x v="5"/>
    <d v="2020-02-15T00:00:00"/>
    <s v="L3"/>
    <n v="1"/>
    <n v="10"/>
    <n v="4"/>
    <s v="0"/>
    <n v="14"/>
    <x v="0"/>
    <s v="T"/>
    <s v="225-885-4458"/>
    <s v=""/>
    <s v="NO"/>
    <s v="Virtual"/>
  </r>
  <r>
    <s v="Wagley"/>
    <x v="0"/>
    <s v="Virtual"/>
    <d v="2013-05-07T00:00:00"/>
    <n v="6"/>
    <x v="0"/>
    <s v="YES"/>
    <x v="5"/>
    <d v="2020-02-15T00:00:00"/>
    <s v="L1"/>
    <n v="0"/>
    <n v="0"/>
    <n v="3"/>
    <s v="0"/>
    <n v="3"/>
    <x v="0"/>
    <s v="T"/>
    <s v="22-445-6774"/>
    <s v=""/>
    <s v="YES"/>
    <s v="Physical"/>
  </r>
  <r>
    <s v="Phares"/>
    <x v="0"/>
    <s v="Virtual"/>
    <d v="2011-12-28T00:00:00"/>
    <n v="8"/>
    <x v="0"/>
    <s v="YES"/>
    <x v="5"/>
    <d v="2020-02-15T00:00:00"/>
    <s v="L2"/>
    <n v="0"/>
    <n v="0"/>
    <n v="3"/>
    <s v="0"/>
    <n v="3"/>
    <x v="0"/>
    <s v="T"/>
    <s v="225-761-7647"/>
    <s v=""/>
    <s v="YES"/>
    <s v="Physical"/>
  </r>
  <r>
    <s v="Mayeux"/>
    <x v="1"/>
    <s v="Virtual"/>
    <d v="2003-12-15T00:00:00"/>
    <n v="16"/>
    <x v="0"/>
    <s v=""/>
    <x v="5"/>
    <d v="2020-02-15T00:00:00"/>
    <s v="L6"/>
    <n v="1"/>
    <n v="5"/>
    <n v="5"/>
    <n v="2"/>
    <n v="10"/>
    <x v="0"/>
    <s v="T"/>
    <s v="225-744-8135"/>
    <s v=""/>
    <s v="YES"/>
    <s v="Physical"/>
  </r>
  <r>
    <s v="Brough"/>
    <x v="4"/>
    <s v="Virtual"/>
    <d v="2005-04-27T00:00:00"/>
    <n v="14"/>
    <x v="1"/>
    <s v=""/>
    <x v="5"/>
    <d v="2020-02-15T00:00:00"/>
    <s v="L4"/>
    <n v="0"/>
    <n v="8"/>
    <n v="5"/>
    <n v="1"/>
    <n v="13"/>
    <x v="0"/>
    <s v="T"/>
    <s v="203-573-2217"/>
    <s v=""/>
    <s v="NO"/>
    <s v="Virtual"/>
  </r>
  <r>
    <s v="Buzbee"/>
    <x v="4"/>
    <s v="Virtual"/>
    <d v="2002-11-01T00:00:00"/>
    <n v="17"/>
    <x v="1"/>
    <s v=""/>
    <x v="5"/>
    <d v="2020-02-15T00:00:00"/>
    <s v="L7"/>
    <n v="0"/>
    <n v="14"/>
    <n v="3"/>
    <s v="0"/>
    <n v="17"/>
    <x v="1"/>
    <s v="T"/>
    <s v="225-977-8457"/>
    <s v=""/>
    <s v="YES"/>
    <s v="Physical"/>
  </r>
  <r>
    <s v="D'Esposito"/>
    <x v="0"/>
    <s v="Virtual"/>
    <d v="2007-11-26T00:00:00"/>
    <n v="12"/>
    <x v="1"/>
    <s v=""/>
    <x v="5"/>
    <d v="2020-02-15T00:00:00"/>
    <s v="L5"/>
    <n v="3"/>
    <n v="15"/>
    <n v="5"/>
    <n v="4"/>
    <n v="20"/>
    <x v="0"/>
    <s v="T"/>
    <s v="225-751-1277"/>
    <s v=""/>
    <s v="NO"/>
    <s v="Virtual"/>
  </r>
  <r>
    <s v="Beeson"/>
    <x v="3"/>
    <s v="Virtual"/>
    <d v="2004-02-23T00:00:00"/>
    <n v="15"/>
    <x v="0"/>
    <s v=""/>
    <x v="5"/>
    <d v="2020-02-15T00:00:00"/>
    <s v="L3"/>
    <n v="0"/>
    <n v="0"/>
    <n v="5"/>
    <n v="1"/>
    <n v="5"/>
    <x v="0"/>
    <s v="T"/>
    <s v="225-864-5348"/>
    <s v=""/>
    <s v="YES"/>
    <s v="Physical"/>
  </r>
  <r>
    <s v="Worsham"/>
    <x v="1"/>
    <s v="Virtual"/>
    <d v="2006-08-05T00:00:00"/>
    <n v="13"/>
    <x v="0"/>
    <s v=""/>
    <x v="5"/>
    <d v="2020-02-15T00:00:00"/>
    <s v="L2"/>
    <n v="1"/>
    <n v="8"/>
    <n v="5"/>
    <n v="2"/>
    <n v="13"/>
    <x v="0"/>
    <s v="T"/>
    <s v="225-664-2751"/>
    <s v=""/>
    <s v="YES"/>
    <s v="Physical"/>
  </r>
  <r>
    <s v="Johnston"/>
    <x v="1"/>
    <s v="Virtual"/>
    <d v="2004-09-05T00:00:00"/>
    <n v="15"/>
    <x v="0"/>
    <s v=""/>
    <x v="5"/>
    <d v="2020-02-15T00:00:00"/>
    <s v="L4"/>
    <n v="1"/>
    <n v="5"/>
    <n v="5"/>
    <n v="2"/>
    <n v="10"/>
    <x v="0"/>
    <s v="T"/>
    <s v="225-467-5731"/>
    <s v=""/>
    <s v="YES"/>
    <s v="Physical"/>
  </r>
  <r>
    <s v="Britt"/>
    <x v="0"/>
    <s v="Virtual"/>
    <d v="2011-11-28T00:00:00"/>
    <n v="8"/>
    <x v="0"/>
    <s v="YES"/>
    <x v="5"/>
    <d v="2020-02-15T00:00:00"/>
    <s v="L1"/>
    <n v="0"/>
    <n v="0"/>
    <n v="5"/>
    <n v="1"/>
    <n v="5"/>
    <x v="0"/>
    <s v="T"/>
    <s v="225-722-7842"/>
    <s v=""/>
    <s v="YES"/>
    <s v="Physical"/>
  </r>
  <r>
    <s v="Thomas"/>
    <x v="0"/>
    <s v="Virtual"/>
    <d v="2005-11-08T00:00:00"/>
    <n v="14"/>
    <x v="1"/>
    <s v=""/>
    <x v="5"/>
    <d v="2020-02-15T00:00:00"/>
    <s v="L5"/>
    <n v="2"/>
    <n v="17"/>
    <n v="5"/>
    <n v="3"/>
    <n v="22"/>
    <x v="0"/>
    <s v="T"/>
    <s v="225-804-4682"/>
    <s v=""/>
    <s v="YES"/>
    <s v="Physical"/>
  </r>
  <r>
    <s v="Lee"/>
    <x v="0"/>
    <s v="Virtual"/>
    <d v="2009-05-24T00:00:00"/>
    <n v="10"/>
    <x v="0"/>
    <s v=""/>
    <x v="5"/>
    <d v="2020-02-15T00:00:00"/>
    <s v="L5"/>
    <n v="3"/>
    <n v="15"/>
    <n v="5"/>
    <n v="4"/>
    <n v="20"/>
    <x v="0"/>
    <s v="T"/>
    <s v="225-740-5751"/>
    <s v=""/>
    <s v="YES"/>
    <s v="Physical"/>
  </r>
  <r>
    <s v="Verbois"/>
    <x v="0"/>
    <s v="Virtual"/>
    <d v="2002-09-23T00:00:00"/>
    <n v="17"/>
    <x v="1"/>
    <s v=""/>
    <x v="5"/>
    <d v="2020-02-15T00:00:00"/>
    <s v="L2"/>
    <n v="0"/>
    <n v="5"/>
    <n v="5"/>
    <n v="1"/>
    <n v="10"/>
    <x v="0"/>
    <s v="T"/>
    <s v="225-420-5761"/>
    <s v=""/>
    <s v="YES"/>
    <s v="Physical"/>
  </r>
  <r>
    <s v="Munozcano"/>
    <x v="0"/>
    <s v="Virtual"/>
    <d v="2012-03-16T00:00:00"/>
    <n v="7"/>
    <x v="0"/>
    <s v="YES"/>
    <x v="5"/>
    <d v="2020-02-15T00:00:00"/>
    <s v="L1"/>
    <n v="0"/>
    <n v="0"/>
    <n v="5"/>
    <n v="1"/>
    <n v="5"/>
    <x v="0"/>
    <s v="T"/>
    <s v="225-794-7888"/>
    <s v=""/>
    <s v="YES"/>
    <s v="Physical"/>
  </r>
  <r>
    <s v="Mayeux"/>
    <x v="1"/>
    <s v="Virtual"/>
    <d v="2003-12-15T00:00:00"/>
    <n v="16"/>
    <x v="0"/>
    <s v=""/>
    <x v="6"/>
    <d v="2020-02-15T00:00:00"/>
    <s v="JC3"/>
    <n v="1"/>
    <n v="5"/>
    <n v="5"/>
    <n v="2"/>
    <n v="10"/>
    <x v="0"/>
    <n v="1"/>
    <s v="225-744-8135"/>
    <s v=""/>
    <s v="YES"/>
    <s v="Physical"/>
  </r>
  <r>
    <s v="Worsham"/>
    <x v="1"/>
    <s v="Virtual"/>
    <d v="2006-08-05T00:00:00"/>
    <n v="13"/>
    <x v="0"/>
    <s v=""/>
    <x v="6"/>
    <d v="2020-02-15T00:00:00"/>
    <s v="JR3"/>
    <n v="2"/>
    <n v="10"/>
    <n v="5"/>
    <n v="3"/>
    <n v="15"/>
    <x v="1"/>
    <n v="1"/>
    <s v="225-664-2751"/>
    <s v=""/>
    <s v="YES"/>
    <s v="Physical"/>
  </r>
  <r>
    <s v="Johnston"/>
    <x v="1"/>
    <s v="Virtual"/>
    <d v="2004-09-05T00:00:00"/>
    <n v="15"/>
    <x v="0"/>
    <s v=""/>
    <x v="6"/>
    <d v="2020-02-15T00:00:00"/>
    <s v="SC1"/>
    <n v="1"/>
    <n v="5"/>
    <n v="5"/>
    <n v="2"/>
    <n v="10"/>
    <x v="0"/>
    <n v="1"/>
    <s v="225-467-5731"/>
    <s v=""/>
    <s v="YES"/>
    <s v="Physical"/>
  </r>
  <r>
    <s v="Lee"/>
    <x v="1"/>
    <s v="Virtual"/>
    <d v="2009-05-24T00:00:00"/>
    <n v="10"/>
    <x v="0"/>
    <s v=""/>
    <x v="6"/>
    <d v="2020-02-15T00:00:00"/>
    <s v="E2"/>
    <n v="1"/>
    <n v="5"/>
    <n v="5"/>
    <n v="2"/>
    <n v="10"/>
    <x v="0"/>
    <n v="2"/>
    <s v="225-740-5751"/>
    <s v=""/>
    <s v="YES"/>
    <s v="Physical"/>
  </r>
  <r>
    <s v="Phares"/>
    <x v="0"/>
    <s v="Virtual"/>
    <d v="2014-03-20T00:00:00"/>
    <n v="5"/>
    <x v="0"/>
    <s v="YES"/>
    <x v="7"/>
    <d v="2019-12-07T00:00:00"/>
    <m/>
    <n v="1"/>
    <m/>
    <n v="5"/>
    <n v="2"/>
    <n v="5"/>
    <x v="2"/>
    <s v="X"/>
    <s v="225-761-7647"/>
    <s v=""/>
    <s v="YES"/>
    <s v="Physical"/>
  </r>
  <r>
    <s v="Wagley"/>
    <x v="0"/>
    <s v="Virtual"/>
    <d v="2013-05-07T00:00:00"/>
    <n v="6"/>
    <x v="0"/>
    <s v="YES"/>
    <x v="7"/>
    <d v="2019-12-07T00:00:00"/>
    <m/>
    <n v="0"/>
    <m/>
    <n v="5"/>
    <n v="1"/>
    <n v="5"/>
    <x v="3"/>
    <s v="X"/>
    <s v="22-445-6774"/>
    <s v=""/>
    <s v="YES"/>
    <s v="Physical"/>
  </r>
  <r>
    <s v="Phares"/>
    <x v="0"/>
    <s v="Virtual"/>
    <d v="2011-12-28T00:00:00"/>
    <n v="8"/>
    <x v="0"/>
    <s v="YES"/>
    <x v="7"/>
    <d v="2019-12-07T00:00:00"/>
    <m/>
    <n v="3"/>
    <m/>
    <s v="DNP"/>
    <s v=""/>
    <s v=""/>
    <x v="0"/>
    <s v="X"/>
    <s v="225-761-7647"/>
    <s v=""/>
    <s v="YES"/>
    <s v="Physical"/>
  </r>
  <r>
    <s v="D'Esposito"/>
    <x v="0"/>
    <s v="Virtual"/>
    <d v="2007-11-26T00:00:00"/>
    <n v="12"/>
    <x v="1"/>
    <s v=""/>
    <x v="7"/>
    <d v="2019-12-07T00:00:00"/>
    <m/>
    <n v="3"/>
    <m/>
    <s v="DNP"/>
    <s v=""/>
    <s v=""/>
    <x v="0"/>
    <s v="X"/>
    <s v="225-751-1277"/>
    <s v=""/>
    <s v="NO"/>
    <s v="Virtual"/>
  </r>
  <r>
    <s v="Seals"/>
    <x v="0"/>
    <s v="Virtual"/>
    <d v="2014-12-15T00:00:00"/>
    <n v="5"/>
    <x v="0"/>
    <s v="YES"/>
    <x v="7"/>
    <d v="2019-12-07T00:00:00"/>
    <m/>
    <n v="0"/>
    <m/>
    <n v="5"/>
    <n v="1"/>
    <n v="5"/>
    <x v="3"/>
    <s v="X"/>
    <s v="225-864-2247"/>
    <s v=""/>
    <s v="YES"/>
    <s v="Physical"/>
  </r>
  <r>
    <s v="Allen"/>
    <x v="0"/>
    <s v="Virtual"/>
    <d v="2008-04-15T00:00:00"/>
    <n v="11"/>
    <x v="0"/>
    <s v=""/>
    <x v="7"/>
    <d v="2019-12-07T00:00:00"/>
    <m/>
    <n v="1"/>
    <m/>
    <n v="5"/>
    <n v="2"/>
    <n v="5"/>
    <x v="2"/>
    <s v="X"/>
    <s v="225-647-7614"/>
    <s v=""/>
    <s v="YES"/>
    <s v="Physical"/>
  </r>
  <r>
    <s v="Richardson"/>
    <x v="0"/>
    <s v="Virtual"/>
    <d v="2008-04-22T00:00:00"/>
    <n v="11"/>
    <x v="0"/>
    <s v=""/>
    <x v="7"/>
    <d v="2019-12-07T00:00:00"/>
    <m/>
    <n v="5"/>
    <m/>
    <s v="DNP"/>
    <s v=""/>
    <s v=""/>
    <x v="0"/>
    <s v="X"/>
    <s v="225-871-5672"/>
    <s v=""/>
    <s v="YES"/>
    <s v="Physical"/>
  </r>
  <r>
    <s v="Britt"/>
    <x v="0"/>
    <s v="Virtual"/>
    <d v="2011-11-28T00:00:00"/>
    <n v="8"/>
    <x v="0"/>
    <s v="YES"/>
    <x v="7"/>
    <d v="2019-12-07T00:00:00"/>
    <m/>
    <n v="0"/>
    <m/>
    <n v="5"/>
    <n v="1"/>
    <n v="5"/>
    <x v="3"/>
    <s v="X"/>
    <s v="225-722-7842"/>
    <s v=""/>
    <s v="YES"/>
    <s v="Physical"/>
  </r>
  <r>
    <s v="Murrell"/>
    <x v="0"/>
    <s v="Virtual"/>
    <d v="2014-01-17T00:00:00"/>
    <n v="6"/>
    <x v="0"/>
    <s v="YES"/>
    <x v="7"/>
    <d v="2019-12-07T00:00:00"/>
    <m/>
    <n v="1"/>
    <m/>
    <n v="5"/>
    <n v="2"/>
    <n v="5"/>
    <x v="2"/>
    <s v="X"/>
    <s v="225-927-5721"/>
    <s v=""/>
    <s v="YES"/>
    <s v="Physical"/>
  </r>
  <r>
    <s v="Lee"/>
    <x v="0"/>
    <s v="Virtual"/>
    <d v="2009-05-24T00:00:00"/>
    <n v="10"/>
    <x v="0"/>
    <s v=""/>
    <x v="7"/>
    <d v="2019-12-07T00:00:00"/>
    <m/>
    <n v="3"/>
    <m/>
    <n v="5"/>
    <n v="4"/>
    <n v="5"/>
    <x v="2"/>
    <s v="X"/>
    <s v="225-740-5751"/>
    <s v=""/>
    <s v="YES"/>
    <s v="Physical"/>
  </r>
  <r>
    <s v="Verbois"/>
    <x v="0"/>
    <s v="Virtual"/>
    <d v="2002-09-23T00:00:00"/>
    <n v="17"/>
    <x v="1"/>
    <s v=""/>
    <x v="7"/>
    <d v="2019-12-07T00:00:00"/>
    <m/>
    <n v="0"/>
    <m/>
    <n v="5"/>
    <n v="1"/>
    <n v="5"/>
    <x v="3"/>
    <s v="X"/>
    <s v="225-420-5761"/>
    <s v=""/>
    <s v="YES"/>
    <s v="Physical"/>
  </r>
  <r>
    <s v="Munozcano"/>
    <x v="0"/>
    <s v="Virtual"/>
    <d v="2012-03-16T00:00:00"/>
    <n v="7"/>
    <x v="0"/>
    <s v="YES"/>
    <x v="7"/>
    <d v="2019-12-07T00:00:00"/>
    <m/>
    <n v="4"/>
    <m/>
    <n v="5"/>
    <n v="5"/>
    <n v="5"/>
    <x v="3"/>
    <s v="X"/>
    <s v="225-794-7888"/>
    <s v=""/>
    <s v="YES"/>
    <s v="Physic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A1EFF4-1907-4392-AD23-D74B761496B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F33:H40" firstHeaderRow="1" firstDataRow="2" firstDataCol="1"/>
  <pivotFields count="21">
    <pivotField showAll="0"/>
    <pivotField showAll="0"/>
    <pivotField showAll="0"/>
    <pivotField numFmtId="14" showAll="0"/>
    <pivotField numFmtId="1" showAll="0"/>
    <pivotField showAll="0">
      <items count="3">
        <item x="0"/>
        <item x="1"/>
        <item t="default"/>
      </items>
    </pivotField>
    <pivotField showAll="0"/>
    <pivotField axis="axisRow" showAll="0">
      <items count="9">
        <item h="1" x="0"/>
        <item x="1"/>
        <item x="2"/>
        <item x="3"/>
        <item x="4"/>
        <item x="5"/>
        <item x="6"/>
        <item h="1" x="7"/>
        <item t="default"/>
      </items>
    </pivotField>
    <pivotField numFmtId="164" showAll="0"/>
    <pivotField showAll="0"/>
    <pivotField showAll="0"/>
    <pivotField showAll="0"/>
    <pivotField showAll="0"/>
    <pivotField showAll="0"/>
    <pivotField showAll="0"/>
    <pivotField axis="axisCol" dataField="1" showAll="0">
      <items count="5">
        <item h="1" x="0"/>
        <item x="3"/>
        <item x="1"/>
        <item x="2"/>
        <item t="default"/>
      </items>
    </pivotField>
    <pivotField showAll="0"/>
    <pivotField showAll="0"/>
    <pivotField showAll="0"/>
    <pivotField showAll="0"/>
    <pivotField showAll="0"/>
  </pivotFields>
  <rowFields count="1">
    <field x="7"/>
  </rowFields>
  <rowItems count="6">
    <i>
      <x v="1"/>
    </i>
    <i>
      <x v="2"/>
    </i>
    <i>
      <x v="3"/>
    </i>
    <i>
      <x v="5"/>
    </i>
    <i>
      <x v="6"/>
    </i>
    <i t="grand">
      <x/>
    </i>
  </rowItems>
  <colFields count="1">
    <field x="15"/>
  </colFields>
  <colItems count="2">
    <i>
      <x v="2"/>
    </i>
    <i t="grand">
      <x/>
    </i>
  </colItems>
  <dataFields count="1">
    <dataField name="Count of AWARD" fld="15" subtotal="count" baseField="0" baseItem="0"/>
  </dataFields>
  <formats count="5">
    <format dxfId="40">
      <pivotArea outline="0" collapsedLevelsAreSubtotals="1" fieldPosition="0">
        <references count="1">
          <reference field="15" count="1" selected="0">
            <x v="1"/>
          </reference>
        </references>
      </pivotArea>
    </format>
    <format dxfId="39">
      <pivotArea dataOnly="0" labelOnly="1" fieldPosition="0">
        <references count="1">
          <reference field="15" count="1">
            <x v="1"/>
          </reference>
        </references>
      </pivotArea>
    </format>
    <format dxfId="38">
      <pivotArea outline="0" collapsedLevelsAreSubtotals="1" fieldPosition="0">
        <references count="1">
          <reference field="15" count="2" selected="0">
            <x v="2"/>
            <x v="3"/>
          </reference>
        </references>
      </pivotArea>
    </format>
    <format dxfId="37">
      <pivotArea dataOnly="0" labelOnly="1" fieldPosition="0">
        <references count="1">
          <reference field="15" count="2">
            <x v="2"/>
            <x v="3"/>
          </reference>
        </references>
      </pivotArea>
    </format>
    <format dxfId="36">
      <pivotArea type="origin" dataOnly="0" labelOnly="1" outline="0" fieldPosition="0"/>
    </format>
  </formats>
  <chartFormats count="7">
    <chartFormat chart="28" format="0" series="1">
      <pivotArea type="data" outline="0" fieldPosition="0">
        <references count="2">
          <reference field="4294967294" count="1" selected="0">
            <x v="0"/>
          </reference>
          <reference field="15" count="1" selected="0">
            <x v="1"/>
          </reference>
        </references>
      </pivotArea>
    </chartFormat>
    <chartFormat chart="28" format="1" series="1">
      <pivotArea type="data" outline="0" fieldPosition="0">
        <references count="2">
          <reference field="4294967294" count="1" selected="0">
            <x v="0"/>
          </reference>
          <reference field="15" count="1" selected="0">
            <x v="2"/>
          </reference>
        </references>
      </pivotArea>
    </chartFormat>
    <chartFormat chart="28" format="2" series="1">
      <pivotArea type="data" outline="0" fieldPosition="0">
        <references count="2">
          <reference field="4294967294" count="1" selected="0">
            <x v="0"/>
          </reference>
          <reference field="15" count="1" selected="0">
            <x v="3"/>
          </reference>
        </references>
      </pivotArea>
    </chartFormat>
    <chartFormat chart="28" format="3">
      <pivotArea type="data" outline="0" fieldPosition="0">
        <references count="3">
          <reference field="4294967294" count="1" selected="0">
            <x v="0"/>
          </reference>
          <reference field="7" count="1" selected="0">
            <x v="1"/>
          </reference>
          <reference field="15" count="1" selected="0">
            <x v="2"/>
          </reference>
        </references>
      </pivotArea>
    </chartFormat>
    <chartFormat chart="28" format="4">
      <pivotArea type="data" outline="0" fieldPosition="0">
        <references count="3">
          <reference field="4294967294" count="1" selected="0">
            <x v="0"/>
          </reference>
          <reference field="7" count="1" selected="0">
            <x v="3"/>
          </reference>
          <reference field="15" count="1" selected="0">
            <x v="2"/>
          </reference>
        </references>
      </pivotArea>
    </chartFormat>
    <chartFormat chart="28" format="5">
      <pivotArea type="data" outline="0" fieldPosition="0">
        <references count="3">
          <reference field="4294967294" count="1" selected="0">
            <x v="0"/>
          </reference>
          <reference field="7" count="1" selected="0">
            <x v="5"/>
          </reference>
          <reference field="15" count="1" selected="0">
            <x v="2"/>
          </reference>
        </references>
      </pivotArea>
    </chartFormat>
    <chartFormat chart="28" format="6">
      <pivotArea type="data" outline="0" fieldPosition="0">
        <references count="3">
          <reference field="4294967294" count="1" selected="0">
            <x v="0"/>
          </reference>
          <reference field="7" count="1" selected="0">
            <x v="6"/>
          </reference>
          <reference field="15"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B238D0-A97B-4C2C-828C-74DC9680A37C}" sourceName="Gender">
  <pivotTables>
    <pivotTable tabId="2" name="PivotTable4"/>
  </pivotTables>
  <data>
    <tabular pivotCacheId="50043600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C573603-0433-496F-A3A7-AD2F6D870EA9}"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36B06F-F9A6-4D28-A417-D32D0EBCD69C}" name="Table6" displayName="Table6" ref="B7:AE82" totalsRowShown="0" headerRowDxfId="32" dataDxfId="31" tableBorderDxfId="30">
  <autoFilter ref="B7:AE82" xr:uid="{A4EF88B0-152F-4A93-B587-17ED2B4C5B8B}"/>
  <sortState xmlns:xlrd2="http://schemas.microsoft.com/office/spreadsheetml/2017/richdata2" ref="B8:AE82">
    <sortCondition ref="C7:C82"/>
  </sortState>
  <tableColumns count="30">
    <tableColumn id="1" xr3:uid="{19041D54-1E1E-4B4B-A0C4-665D13E7D54B}" name="First Name" dataDxfId="29"/>
    <tableColumn id="2" xr3:uid="{1002C250-45D4-43B2-84DE-11FB065C51AE}" name="Last Name" dataDxfId="28"/>
    <tableColumn id="3" xr3:uid="{8625F0D2-C1C2-49B5-B1D4-16C728BD143A}" name="Instrument" dataDxfId="27"/>
    <tableColumn id="4" xr3:uid="{5E8C39D9-782A-4C1E-AFE6-8F914091DEA9}" name="Lesson Type" dataDxfId="26"/>
    <tableColumn id="6" xr3:uid="{71DDCCE1-59CB-4B39-9171-A8C1B6EECBD0}" name="Birthday" dataDxfId="25"/>
    <tableColumn id="7" xr3:uid="{D1156A69-FAE1-467D-AF04-197DBD0791C8}" name="Age" dataDxfId="24">
      <calculatedColumnFormula>DATEDIF(F8,$E$1,"Y")</calculatedColumnFormula>
    </tableColumn>
    <tableColumn id="5" xr3:uid="{06D2ECD7-A31B-473A-9F79-E8AC6785186A}" name="Gender" dataDxfId="23"/>
    <tableColumn id="8" xr3:uid="{C30586D4-7E2F-4842-BEF2-18350C70E7F5}" name="PP Eligible" dataDxfId="22">
      <calculatedColumnFormula>IF(G8&lt;9,"YES","")</calculatedColumnFormula>
    </tableColumn>
    <tableColumn id="11" xr3:uid="{95CE26FB-3CE8-4291-9A69-BA6BBDF8F729}" name="Event" dataDxfId="21"/>
    <tableColumn id="19" xr3:uid="{6EA65EA1-4DB0-4BA5-B7F8-8408D1DF86AB}" name="Date" dataDxfId="20"/>
    <tableColumn id="12" xr3:uid="{21C200C8-1A87-45A0-B897-24FC9418B502}" name="Solo Level" dataDxfId="19"/>
    <tableColumn id="13" xr3:uid="{B0CEBBBB-DB2C-4CBA-A8E2-19EAAF72B7DE}" name="PCS" dataDxfId="18"/>
    <tableColumn id="14" xr3:uid="{54947541-145A-4813-B9BB-EAAA920110A3}" name="PAP" dataDxfId="17"/>
    <tableColumn id="15" xr3:uid="{0F10F656-E4B4-4CEA-A253-5B0D65FE7DB4}" name="RATING" dataDxfId="16"/>
    <tableColumn id="16" xr3:uid="{FCF9E8D4-0C5B-40B0-AC9F-F5FCD01BAEC3}" name="CCS" dataDxfId="15">
      <calculatedColumnFormula>IF(O8=5,M8+1,"0")</calculatedColumnFormula>
    </tableColumn>
    <tableColumn id="17" xr3:uid="{79975D60-7D10-4452-A0AB-CA7D86468B7F}" name="TAP" dataDxfId="14">
      <calculatedColumnFormula>IFERROR(N8+O8,"")</calculatedColumnFormula>
    </tableColumn>
    <tableColumn id="18" xr3:uid="{E6E394C5-8A0F-4133-BD17-9EF0B30757D9}" name="AWARD" dataDxfId="13">
      <calculatedColumnFormula>IF(LEFT(J8,4)="NFMC",IFERROR(IF(MOD(Table6[[#This Row],[PAP]],15)+Table6[[#This Row],[RATING]]&gt;=15,"CUP",""),""),IFERROR(IF(MOD(Table6[[#This Row],[CCS]],2),"Cert","Medal"),""))</calculatedColumnFormula>
    </tableColumn>
    <tableColumn id="10" xr3:uid="{CB8EF973-623F-412D-8D14-B6460A44CDE3}" name="Instrument 2" dataDxfId="12"/>
    <tableColumn id="9" xr3:uid="{CAA6A91C-CABA-4D6A-A28C-F92A90A9D6A3}" name="Phone Number" dataDxfId="11"/>
    <tableColumn id="20" xr3:uid="{D0122C72-6F5D-4B8D-82B3-27C0C1D3886E}" name="BYU-I#" dataDxfId="10">
      <calculatedColumnFormula>IF(Table6[[#This Row],[Event]]="Hymn",LEFT(Table6[[#This Row],[Phone Number]],8)&amp;"5481","")</calculatedColumnFormula>
    </tableColumn>
    <tableColumn id="21" xr3:uid="{510E8A5F-EBAE-4475-9E02-D7D2E3E12B51}" name="Switch to Virtual?" dataDxfId="9"/>
    <tableColumn id="22" xr3:uid="{79C611ED-6DB2-474B-9F91-A9FEA1E2E662}" name="Original" dataDxfId="8">
      <calculatedColumnFormula>IF(Table6[[#This Row],[Switch to Virtual?]]="YES","Physical","Virtual")</calculatedColumnFormula>
    </tableColumn>
    <tableColumn id="23" xr3:uid="{5D68BAFC-12F1-42AA-A0AA-3C6224D3A66D}" name="Easy to use?" dataDxfId="7"/>
    <tableColumn id="24" xr3:uid="{EA20936B-252A-4323-8C04-305E02401252}" name="Communicate effectively?" dataDxfId="6"/>
    <tableColumn id="25" xr3:uid="{858CA72B-8474-4491-9EF0-842E8BB3F215}" name="Nina setup sufficient?" dataDxfId="5"/>
    <tableColumn id="26" xr3:uid="{1D157116-7672-43AA-AC8A-261F8C0F538E}" name="Able to hear?" dataDxfId="4"/>
    <tableColumn id="27" xr3:uid="{3D1BC4A0-439E-48B0-89E1-81B6FDAB0206}" name="Live" dataDxfId="3"/>
    <tableColumn id="28" xr3:uid="{82462857-97C0-46B3-809B-20B3FAAE51FA}" name="Virtual" dataDxfId="2"/>
    <tableColumn id="30" xr3:uid="{EE815F43-D7E4-4F93-B449-1D189B80E037}" name="Live or Virtual" dataDxfId="1"/>
    <tableColumn id="29" xr3:uid="{8D8E3B8F-438D-4E46-988F-F487D657C82B}" name="Suggestion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25BD5-B421-45B5-81A1-5E2AC893D682}">
  <dimension ref="A2:T50"/>
  <sheetViews>
    <sheetView showGridLines="0" topLeftCell="C1" zoomScaleNormal="100" workbookViewId="0">
      <selection activeCell="H4" sqref="H4:M7"/>
    </sheetView>
  </sheetViews>
  <sheetFormatPr defaultRowHeight="15" x14ac:dyDescent="0.25"/>
  <cols>
    <col min="1" max="1" width="7.140625" style="54" customWidth="1"/>
    <col min="2" max="2" width="16.140625" style="54" bestFit="1" customWidth="1"/>
    <col min="3" max="3" width="13.7109375" style="54" customWidth="1"/>
    <col min="4" max="4" width="10.28515625" style="54" customWidth="1"/>
    <col min="5" max="5" width="10.85546875" style="54" customWidth="1"/>
    <col min="6" max="6" width="16.140625" style="54" bestFit="1" customWidth="1"/>
    <col min="7" max="7" width="16.28515625" style="54" bestFit="1" customWidth="1"/>
    <col min="8" max="8" width="11.42578125" style="54" bestFit="1" customWidth="1"/>
    <col min="9" max="9" width="8.140625" style="54" customWidth="1"/>
    <col min="10" max="10" width="8.42578125" style="54" customWidth="1"/>
    <col min="11" max="11" width="6.7109375" style="54" customWidth="1"/>
    <col min="12" max="12" width="11.28515625" style="54" bestFit="1" customWidth="1"/>
    <col min="13" max="13" width="9.85546875" style="54" customWidth="1"/>
    <col min="14" max="14" width="8.5703125" style="54" customWidth="1"/>
    <col min="15" max="16384" width="9.140625" style="54"/>
  </cols>
  <sheetData>
    <row r="2" spans="2:20" ht="23.25" x14ac:dyDescent="0.35">
      <c r="H2" s="79" t="s">
        <v>89</v>
      </c>
      <c r="I2" s="79"/>
      <c r="J2" s="79"/>
      <c r="K2" s="79"/>
      <c r="L2" s="79"/>
      <c r="M2" s="79"/>
    </row>
    <row r="3" spans="2:20" ht="15.75" thickBot="1" x14ac:dyDescent="0.3"/>
    <row r="4" spans="2:20" x14ac:dyDescent="0.25">
      <c r="H4" s="92" t="s">
        <v>34</v>
      </c>
      <c r="I4" s="93"/>
      <c r="J4" s="93"/>
      <c r="K4" s="93"/>
      <c r="L4" s="93"/>
      <c r="M4" s="94"/>
    </row>
    <row r="5" spans="2:20" ht="18.75" x14ac:dyDescent="0.25">
      <c r="H5" s="95"/>
      <c r="I5" s="96"/>
      <c r="J5" s="96"/>
      <c r="K5" s="96"/>
      <c r="L5" s="96"/>
      <c r="M5" s="97"/>
      <c r="Q5" s="69"/>
    </row>
    <row r="6" spans="2:20" ht="18.75" x14ac:dyDescent="0.25">
      <c r="H6" s="95"/>
      <c r="I6" s="96"/>
      <c r="J6" s="96"/>
      <c r="K6" s="96"/>
      <c r="L6" s="96"/>
      <c r="M6" s="97"/>
      <c r="Q6" s="69"/>
    </row>
    <row r="7" spans="2:20" ht="15.75" thickBot="1" x14ac:dyDescent="0.3">
      <c r="H7" s="98"/>
      <c r="I7" s="99"/>
      <c r="J7" s="99"/>
      <c r="K7" s="99"/>
      <c r="L7" s="99"/>
      <c r="M7" s="100"/>
    </row>
    <row r="9" spans="2:20" ht="15.75" thickBot="1" x14ac:dyDescent="0.3">
      <c r="H9" s="68"/>
      <c r="I9" s="68"/>
      <c r="J9" s="68"/>
      <c r="K9" s="68"/>
      <c r="L9" s="68"/>
      <c r="M9" s="68"/>
    </row>
    <row r="10" spans="2:20" ht="30" customHeight="1" thickBot="1" x14ac:dyDescent="0.35">
      <c r="F10" s="107" t="s">
        <v>3</v>
      </c>
      <c r="G10" s="108"/>
      <c r="I10" s="110" t="s">
        <v>80</v>
      </c>
      <c r="J10" s="111"/>
      <c r="L10" s="110" t="s">
        <v>4</v>
      </c>
      <c r="M10" s="111"/>
      <c r="O10" s="118" t="s">
        <v>164</v>
      </c>
      <c r="P10" s="119"/>
    </row>
    <row r="11" spans="2:20" ht="19.5" customHeight="1" thickBot="1" x14ac:dyDescent="0.3">
      <c r="F11" s="67" t="s">
        <v>155</v>
      </c>
      <c r="G11" s="67" t="s">
        <v>156</v>
      </c>
      <c r="I11" s="112"/>
      <c r="J11" s="113"/>
      <c r="L11" s="112"/>
      <c r="M11" s="113"/>
      <c r="O11" s="120"/>
      <c r="P11" s="121"/>
    </row>
    <row r="12" spans="2:20" ht="21" customHeight="1" x14ac:dyDescent="0.25">
      <c r="F12" s="33" t="str">
        <f>VLOOKUP(Dashboard!H4,Table6[],MATCH(Dashboard!F11,Table6[#Headers],0),FALSE)</f>
        <v>Physical</v>
      </c>
      <c r="G12" s="66" t="str">
        <f>VLOOKUP(H4,Table6[],4,FALSE)</f>
        <v>Virtual</v>
      </c>
      <c r="I12" s="114">
        <f>DATEDIF(L12,'2020 NFMC Solo'!E1,"y")</f>
        <v>15</v>
      </c>
      <c r="J12" s="115"/>
      <c r="L12" s="116">
        <f>VLOOKUP(H4,Table6[],5,FALSE)</f>
        <v>38235</v>
      </c>
      <c r="M12" s="117"/>
      <c r="O12" s="109">
        <f>COUNTIF(Table6[First Name],Dashboard!H4)</f>
        <v>3</v>
      </c>
      <c r="P12" s="109"/>
    </row>
    <row r="14" spans="2:20" ht="15.75" thickBot="1" x14ac:dyDescent="0.3"/>
    <row r="15" spans="2:20" ht="19.5" thickBot="1" x14ac:dyDescent="0.35">
      <c r="B15" s="101" t="s">
        <v>90</v>
      </c>
      <c r="C15" s="102"/>
      <c r="D15" s="102"/>
      <c r="E15" s="102"/>
      <c r="F15" s="102"/>
      <c r="G15" s="102"/>
      <c r="H15" s="102"/>
      <c r="I15" s="102"/>
      <c r="J15" s="103"/>
      <c r="K15" s="55"/>
      <c r="L15" s="104" t="s">
        <v>91</v>
      </c>
      <c r="M15" s="105"/>
      <c r="N15" s="105"/>
      <c r="O15" s="105"/>
      <c r="P15" s="105"/>
      <c r="Q15" s="105"/>
      <c r="R15" s="105"/>
      <c r="S15" s="106"/>
      <c r="T15" s="56"/>
    </row>
    <row r="16" spans="2:20" ht="31.5" x14ac:dyDescent="0.25">
      <c r="B16" s="57" t="s">
        <v>82</v>
      </c>
      <c r="C16" s="57" t="s">
        <v>2</v>
      </c>
      <c r="D16" s="57" t="s">
        <v>5</v>
      </c>
      <c r="E16" s="58" t="s">
        <v>6</v>
      </c>
      <c r="F16" s="58" t="s">
        <v>7</v>
      </c>
      <c r="G16" s="58" t="s">
        <v>65</v>
      </c>
      <c r="H16" s="58" t="s">
        <v>63</v>
      </c>
      <c r="I16" s="58" t="s">
        <v>64</v>
      </c>
      <c r="J16" s="59" t="s">
        <v>95</v>
      </c>
      <c r="K16" s="60"/>
      <c r="L16" s="57" t="s">
        <v>82</v>
      </c>
      <c r="M16" s="58" t="s">
        <v>81</v>
      </c>
      <c r="N16" s="58" t="s">
        <v>6</v>
      </c>
      <c r="O16" s="58" t="s">
        <v>7</v>
      </c>
      <c r="P16" s="58" t="s">
        <v>88</v>
      </c>
      <c r="Q16" s="61" t="s">
        <v>63</v>
      </c>
      <c r="R16" s="58" t="s">
        <v>64</v>
      </c>
      <c r="S16" s="57" t="s">
        <v>95</v>
      </c>
    </row>
    <row r="17" spans="1:19" ht="15.75" x14ac:dyDescent="0.25">
      <c r="B17" s="32">
        <f>IFERROR(VLOOKUP($H$4&amp;", 1",[0]!bigtable,COLUMN(K8),FALSE),"")</f>
        <v>43876</v>
      </c>
      <c r="C17" s="33" t="str">
        <f>IFERROR(VLOOKUP($H$4&amp;", 1",bigtable,COLUMN(D2),FALSE),"")</f>
        <v>Voice</v>
      </c>
      <c r="D17" s="33" t="str">
        <f t="shared" ref="D17:J17" si="0">IFERROR(VLOOKUP($H$4&amp;", 1",bigtable,COLUMN(L2),FALSE),"")</f>
        <v>SC1</v>
      </c>
      <c r="E17" s="33">
        <f t="shared" si="0"/>
        <v>1</v>
      </c>
      <c r="F17" s="33">
        <f t="shared" si="0"/>
        <v>5</v>
      </c>
      <c r="G17" s="33">
        <f t="shared" si="0"/>
        <v>5</v>
      </c>
      <c r="H17" s="33">
        <f t="shared" si="0"/>
        <v>2</v>
      </c>
      <c r="I17" s="33">
        <f t="shared" si="0"/>
        <v>10</v>
      </c>
      <c r="J17" s="33" t="str">
        <f t="shared" si="0"/>
        <v/>
      </c>
      <c r="K17" s="62"/>
      <c r="L17" s="32">
        <f>IFERROR(VLOOKUP($H$4&amp;", T",[0]!bigtable,COLUMN(K8),FALSE),"")</f>
        <v>43876</v>
      </c>
      <c r="M17" s="33" t="str">
        <f t="shared" ref="M17:S17" si="1">IFERROR(VLOOKUP($H$4&amp;", T",bigtable,COLUMN(L2),FALSE),"")</f>
        <v>L4</v>
      </c>
      <c r="N17" s="33">
        <f t="shared" si="1"/>
        <v>1</v>
      </c>
      <c r="O17" s="33">
        <f t="shared" si="1"/>
        <v>5</v>
      </c>
      <c r="P17" s="33">
        <f t="shared" si="1"/>
        <v>5</v>
      </c>
      <c r="Q17" s="33">
        <f t="shared" si="1"/>
        <v>2</v>
      </c>
      <c r="R17" s="33">
        <f t="shared" si="1"/>
        <v>10</v>
      </c>
      <c r="S17" s="33" t="str">
        <f t="shared" si="1"/>
        <v/>
      </c>
    </row>
    <row r="18" spans="1:19" x14ac:dyDescent="0.25">
      <c r="B18" s="32" t="str">
        <f>IFERROR(VLOOKUP($H$4&amp;", 2",[0]!bigtable,COLUMN(K9),FALSE),"")</f>
        <v/>
      </c>
      <c r="C18" s="33" t="str">
        <f>IFERROR(VLOOKUP($H$4&amp;", 2",bigtable,COLUMN(D3),FALSE),"")</f>
        <v/>
      </c>
      <c r="D18" s="33" t="str">
        <f t="shared" ref="D18:J18" si="2">IFERROR(VLOOKUP($H$4&amp;", 2",bigtable,COLUMN(L3),FALSE),"")</f>
        <v/>
      </c>
      <c r="E18" s="33" t="str">
        <f t="shared" si="2"/>
        <v/>
      </c>
      <c r="F18" s="33" t="str">
        <f t="shared" si="2"/>
        <v/>
      </c>
      <c r="G18" s="33" t="str">
        <f t="shared" si="2"/>
        <v/>
      </c>
      <c r="H18" s="33" t="str">
        <f t="shared" si="2"/>
        <v/>
      </c>
      <c r="I18" s="33" t="str">
        <f t="shared" si="2"/>
        <v/>
      </c>
      <c r="J18" s="33" t="str">
        <f t="shared" si="2"/>
        <v/>
      </c>
    </row>
    <row r="20" spans="1:19" ht="15.75" thickBot="1" x14ac:dyDescent="0.3"/>
    <row r="21" spans="1:19" ht="19.5" thickBot="1" x14ac:dyDescent="0.35">
      <c r="B21" s="86" t="s">
        <v>100</v>
      </c>
      <c r="C21" s="87"/>
      <c r="D21" s="87"/>
      <c r="E21" s="87"/>
      <c r="F21" s="87"/>
      <c r="G21" s="87"/>
      <c r="H21" s="87"/>
      <c r="I21" s="88"/>
      <c r="J21" s="56"/>
      <c r="L21" s="80" t="s">
        <v>92</v>
      </c>
      <c r="M21" s="81"/>
      <c r="N21" s="81"/>
      <c r="O21" s="81"/>
      <c r="P21" s="81"/>
      <c r="Q21" s="81"/>
      <c r="R21" s="81"/>
      <c r="S21" s="82"/>
    </row>
    <row r="22" spans="1:19" ht="31.5" x14ac:dyDescent="0.25">
      <c r="B22" s="57" t="s">
        <v>82</v>
      </c>
      <c r="C22" s="58" t="s">
        <v>81</v>
      </c>
      <c r="D22" s="58" t="s">
        <v>6</v>
      </c>
      <c r="E22" s="58" t="s">
        <v>7</v>
      </c>
      <c r="F22" s="58" t="s">
        <v>65</v>
      </c>
      <c r="G22" s="58" t="s">
        <v>63</v>
      </c>
      <c r="H22" s="58" t="s">
        <v>64</v>
      </c>
      <c r="I22" s="57" t="s">
        <v>95</v>
      </c>
      <c r="L22" s="57" t="s">
        <v>82</v>
      </c>
      <c r="M22" s="58" t="s">
        <v>81</v>
      </c>
      <c r="N22" s="58" t="s">
        <v>6</v>
      </c>
      <c r="O22" s="58" t="s">
        <v>7</v>
      </c>
      <c r="P22" s="58" t="s">
        <v>65</v>
      </c>
      <c r="Q22" s="58" t="s">
        <v>63</v>
      </c>
      <c r="R22" s="58" t="s">
        <v>64</v>
      </c>
      <c r="S22" s="57" t="s">
        <v>95</v>
      </c>
    </row>
    <row r="23" spans="1:19" x14ac:dyDescent="0.25">
      <c r="B23" s="32" t="str">
        <f>IFERROR(VLOOKUP($H$4&amp;", H",[0]!bigtable,COLUMN(K14),FALSE),"")</f>
        <v/>
      </c>
      <c r="C23" s="33" t="str">
        <f t="shared" ref="C23:I23" si="3">IFERROR(VLOOKUP($H$4&amp;", H",bigtable,COLUMN(L8),FALSE),"")</f>
        <v/>
      </c>
      <c r="D23" s="33" t="str">
        <f t="shared" si="3"/>
        <v/>
      </c>
      <c r="E23" s="33" t="str">
        <f t="shared" si="3"/>
        <v/>
      </c>
      <c r="F23" s="33" t="str">
        <f t="shared" si="3"/>
        <v/>
      </c>
      <c r="G23" s="33" t="str">
        <f t="shared" si="3"/>
        <v/>
      </c>
      <c r="H23" s="33" t="str">
        <f t="shared" si="3"/>
        <v/>
      </c>
      <c r="I23" s="33" t="str">
        <f t="shared" si="3"/>
        <v/>
      </c>
      <c r="L23" s="32" t="str">
        <f>IFERROR(VLOOKUP($H$4&amp;", D",[0]!bigtable,COLUMN(K14),FALSE),"")</f>
        <v/>
      </c>
      <c r="M23" s="33" t="str">
        <f>IFERROR(VLOOKUP($H$4&amp;", D",bigtable,COLUMN($L14),FALSE),"")</f>
        <v/>
      </c>
      <c r="N23" s="33" t="str">
        <f>IFERROR(VLOOKUP($H$4&amp;", D",bigtable,COLUMN($M14),FALSE),"")</f>
        <v/>
      </c>
      <c r="O23" s="33" t="str">
        <f>IFERROR(VLOOKUP($H$4&amp;", D",bigtable,COLUMN($N14),FALSE),"")</f>
        <v/>
      </c>
      <c r="P23" s="33" t="str">
        <f>IFERROR(VLOOKUP($H$4&amp;", D",bigtable,COLUMN($O14),FALSE),"")</f>
        <v/>
      </c>
      <c r="Q23" s="33" t="str">
        <f>IFERROR(VLOOKUP($H$4&amp;", D",bigtable,COLUMN($P14),FALSE),"")</f>
        <v/>
      </c>
      <c r="R23" s="33" t="str">
        <f>IFERROR(VLOOKUP($H$4&amp;", D",bigtable,COLUMN($Q14),FALSE),"")</f>
        <v/>
      </c>
      <c r="S23" s="33" t="str">
        <f>IFERROR(VLOOKUP($H$4&amp;", D",bigtable,COLUMN($R14),FALSE),"")</f>
        <v/>
      </c>
    </row>
    <row r="25" spans="1:19" ht="15.75" thickBot="1" x14ac:dyDescent="0.3"/>
    <row r="26" spans="1:19" ht="19.5" thickBot="1" x14ac:dyDescent="0.35">
      <c r="C26" s="89" t="s">
        <v>93</v>
      </c>
      <c r="D26" s="90"/>
      <c r="E26" s="90"/>
      <c r="F26" s="90"/>
      <c r="G26" s="91"/>
      <c r="I26" s="56"/>
      <c r="J26" s="56"/>
      <c r="L26" s="56"/>
      <c r="M26" s="83" t="s">
        <v>94</v>
      </c>
      <c r="N26" s="84"/>
      <c r="O26" s="84"/>
      <c r="P26" s="84"/>
      <c r="Q26" s="85"/>
      <c r="R26" s="56"/>
      <c r="S26" s="56"/>
    </row>
    <row r="27" spans="1:19" ht="31.5" x14ac:dyDescent="0.25">
      <c r="C27" s="57" t="s">
        <v>82</v>
      </c>
      <c r="D27" s="58" t="s">
        <v>6</v>
      </c>
      <c r="E27" s="58" t="s">
        <v>65</v>
      </c>
      <c r="F27" s="58" t="s">
        <v>63</v>
      </c>
      <c r="G27" s="58" t="s">
        <v>95</v>
      </c>
      <c r="I27" s="63"/>
      <c r="L27" s="63"/>
      <c r="M27" s="57" t="s">
        <v>82</v>
      </c>
      <c r="N27" s="58" t="s">
        <v>6</v>
      </c>
      <c r="O27" s="58" t="s">
        <v>88</v>
      </c>
      <c r="P27" s="58" t="s">
        <v>63</v>
      </c>
      <c r="Q27" s="58" t="s">
        <v>95</v>
      </c>
      <c r="R27" s="63"/>
      <c r="S27" s="63"/>
    </row>
    <row r="28" spans="1:19" ht="15.75" x14ac:dyDescent="0.25">
      <c r="C28" s="32" t="str">
        <f>IFERROR(VLOOKUP($H$4&amp;", X",[0]!bigtable,COLUMN(K8),FALSE),"")</f>
        <v/>
      </c>
      <c r="D28" s="33" t="str">
        <f>IFERROR(VLOOKUP($H$4&amp;", X",bigtable,COLUMN(M8),FALSE),"")</f>
        <v/>
      </c>
      <c r="E28" s="33" t="str">
        <f>IFERROR(VLOOKUP($H$4&amp;", X",bigtable,COLUMN(O8),FALSE),"")</f>
        <v/>
      </c>
      <c r="F28" s="33" t="str">
        <f>IFERROR(VLOOKUP($H$4&amp;", X",bigtable,COLUMN(P8),FALSE),"")</f>
        <v/>
      </c>
      <c r="G28" s="33" t="str">
        <f>IFERROR(VLOOKUP($H$4&amp;", X",bigtable,COLUMN(R8),FALSE),"")</f>
        <v/>
      </c>
      <c r="I28" s="64"/>
      <c r="L28" s="65"/>
      <c r="M28" s="32">
        <f>IFERROR(VLOOKUP($H$4&amp;", WH",[0]!bigtable,COLUMN(K8),FALSE),"")</f>
        <v>43946</v>
      </c>
      <c r="N28" s="33">
        <f>IFERROR(VLOOKUP($H$4&amp;", WH",bigtable,COLUMN($M19),FALSE),"")</f>
        <v>0</v>
      </c>
      <c r="O28" s="33">
        <f>IFERROR(VLOOKUP($H$4&amp;", WH",bigtable,COLUMN($O8),FALSE),"")</f>
        <v>0</v>
      </c>
      <c r="P28" s="33">
        <f>IFERROR(VLOOKUP($H$4&amp;", WH",bigtable,COLUMN($Q8),FALSE),"")</f>
        <v>0</v>
      </c>
      <c r="Q28" s="33" t="str">
        <f>IFERROR(VLOOKUP($H$4&amp;", WH",bigtable,COLUMN($R8),FALSE),"")</f>
        <v/>
      </c>
      <c r="R28" s="64"/>
      <c r="S28" s="64"/>
    </row>
    <row r="30" spans="1:19" x14ac:dyDescent="0.25">
      <c r="A30" s="73"/>
      <c r="B30" s="73"/>
      <c r="C30" s="73"/>
      <c r="D30" s="73"/>
      <c r="E30" s="73"/>
      <c r="F30" s="73"/>
      <c r="G30" s="73"/>
      <c r="H30" s="73"/>
      <c r="I30" s="73"/>
      <c r="J30" s="73"/>
      <c r="K30" s="73"/>
      <c r="L30" s="73"/>
      <c r="M30" s="73"/>
      <c r="N30" s="73"/>
      <c r="O30" s="73"/>
      <c r="P30" s="73"/>
      <c r="Q30" s="73"/>
      <c r="R30" s="73"/>
      <c r="S30" s="73"/>
    </row>
    <row r="31" spans="1:19" x14ac:dyDescent="0.25">
      <c r="G31"/>
      <c r="H31"/>
    </row>
    <row r="32" spans="1:19" x14ac:dyDescent="0.25">
      <c r="G32"/>
      <c r="H32"/>
      <c r="I32"/>
      <c r="J32"/>
      <c r="K32"/>
      <c r="L32"/>
      <c r="M32" s="72"/>
      <c r="S32" s="72"/>
    </row>
    <row r="33" spans="1:12" x14ac:dyDescent="0.25">
      <c r="A33"/>
      <c r="F33" s="71" t="s">
        <v>160</v>
      </c>
      <c r="G33" s="50" t="s">
        <v>117</v>
      </c>
      <c r="H33"/>
      <c r="I33"/>
      <c r="J33"/>
      <c r="K33"/>
      <c r="L33"/>
    </row>
    <row r="34" spans="1:12" x14ac:dyDescent="0.25">
      <c r="A34"/>
      <c r="F34" s="50" t="s">
        <v>119</v>
      </c>
      <c r="G34" s="2" t="s">
        <v>159</v>
      </c>
      <c r="H34" t="s">
        <v>118</v>
      </c>
      <c r="I34"/>
      <c r="J34"/>
      <c r="K34"/>
      <c r="L34"/>
    </row>
    <row r="35" spans="1:12" x14ac:dyDescent="0.25">
      <c r="A35"/>
      <c r="F35" s="49" t="s">
        <v>121</v>
      </c>
      <c r="G35" s="70">
        <v>2</v>
      </c>
      <c r="H35" s="51">
        <v>2</v>
      </c>
      <c r="I35"/>
      <c r="J35"/>
      <c r="K35"/>
      <c r="L35"/>
    </row>
    <row r="36" spans="1:12" x14ac:dyDescent="0.25">
      <c r="A36"/>
      <c r="F36" s="49" t="s">
        <v>105</v>
      </c>
      <c r="G36" s="70">
        <v>1</v>
      </c>
      <c r="H36" s="51">
        <v>1</v>
      </c>
      <c r="I36"/>
      <c r="J36"/>
      <c r="K36"/>
      <c r="L36"/>
    </row>
    <row r="37" spans="1:12" x14ac:dyDescent="0.25">
      <c r="A37"/>
      <c r="F37" s="49" t="s">
        <v>103</v>
      </c>
      <c r="G37" s="70">
        <v>3</v>
      </c>
      <c r="H37" s="51">
        <v>3</v>
      </c>
      <c r="I37"/>
      <c r="J37"/>
      <c r="K37"/>
      <c r="L37"/>
    </row>
    <row r="38" spans="1:12" x14ac:dyDescent="0.25">
      <c r="A38"/>
      <c r="F38" s="49" t="s">
        <v>120</v>
      </c>
      <c r="G38" s="70">
        <v>1</v>
      </c>
      <c r="H38" s="51">
        <v>1</v>
      </c>
      <c r="I38"/>
      <c r="J38"/>
      <c r="K38"/>
      <c r="L38"/>
    </row>
    <row r="39" spans="1:12" x14ac:dyDescent="0.25">
      <c r="A39"/>
      <c r="D39"/>
      <c r="E39"/>
      <c r="F39" s="49" t="s">
        <v>102</v>
      </c>
      <c r="G39" s="70">
        <v>1</v>
      </c>
      <c r="H39" s="51">
        <v>1</v>
      </c>
      <c r="I39"/>
      <c r="J39"/>
      <c r="K39"/>
      <c r="L39"/>
    </row>
    <row r="40" spans="1:12" x14ac:dyDescent="0.25">
      <c r="A40"/>
      <c r="F40" s="49" t="s">
        <v>118</v>
      </c>
      <c r="G40" s="70">
        <v>8</v>
      </c>
      <c r="H40" s="51">
        <v>8</v>
      </c>
      <c r="I40"/>
      <c r="J40"/>
      <c r="K40"/>
      <c r="L40"/>
    </row>
    <row r="41" spans="1:12" x14ac:dyDescent="0.25">
      <c r="A41"/>
      <c r="B41"/>
      <c r="C41"/>
      <c r="D41"/>
      <c r="E41"/>
      <c r="F41"/>
      <c r="G41"/>
    </row>
    <row r="42" spans="1:12" x14ac:dyDescent="0.25">
      <c r="A42"/>
      <c r="B42"/>
      <c r="C42"/>
      <c r="D42"/>
      <c r="E42"/>
      <c r="F42"/>
      <c r="G42"/>
    </row>
    <row r="43" spans="1:12" x14ac:dyDescent="0.25">
      <c r="A43"/>
      <c r="B43"/>
      <c r="C43"/>
      <c r="D43"/>
    </row>
    <row r="44" spans="1:12" x14ac:dyDescent="0.25">
      <c r="A44"/>
      <c r="B44"/>
      <c r="C44"/>
      <c r="D44"/>
    </row>
    <row r="45" spans="1:12" x14ac:dyDescent="0.25">
      <c r="A45"/>
      <c r="B45"/>
      <c r="C45"/>
      <c r="D45"/>
    </row>
    <row r="46" spans="1:12" x14ac:dyDescent="0.25">
      <c r="A46"/>
      <c r="B46"/>
      <c r="C46"/>
      <c r="D46"/>
    </row>
    <row r="47" spans="1:12" x14ac:dyDescent="0.25">
      <c r="A47"/>
      <c r="B47"/>
      <c r="C47"/>
      <c r="D47"/>
    </row>
    <row r="48" spans="1:12" x14ac:dyDescent="0.25">
      <c r="A48"/>
      <c r="B48"/>
      <c r="C48"/>
      <c r="D48"/>
    </row>
    <row r="49" spans="1:4" x14ac:dyDescent="0.25">
      <c r="A49"/>
      <c r="B49"/>
      <c r="C49"/>
      <c r="D49"/>
    </row>
    <row r="50" spans="1:4" x14ac:dyDescent="0.25">
      <c r="A50"/>
      <c r="B50"/>
      <c r="C50"/>
      <c r="D50"/>
    </row>
  </sheetData>
  <mergeCells count="15">
    <mergeCell ref="H2:M2"/>
    <mergeCell ref="L21:S21"/>
    <mergeCell ref="M26:Q26"/>
    <mergeCell ref="B21:I21"/>
    <mergeCell ref="C26:G26"/>
    <mergeCell ref="H4:M7"/>
    <mergeCell ref="B15:J15"/>
    <mergeCell ref="L15:S15"/>
    <mergeCell ref="F10:G10"/>
    <mergeCell ref="O12:P12"/>
    <mergeCell ref="L10:M11"/>
    <mergeCell ref="I10:J11"/>
    <mergeCell ref="I12:J12"/>
    <mergeCell ref="L12:M12"/>
    <mergeCell ref="O10:P11"/>
  </mergeCells>
  <conditionalFormatting sqref="L15 L16:P16 R16:S16">
    <cfRule type="expression" dxfId="41" priority="2">
      <formula>"$L$17=''"</formula>
    </cfRule>
  </conditionalFormatting>
  <pageMargins left="0.7" right="0.7" top="0.75" bottom="0.75" header="0.3" footer="0.3"/>
  <pageSetup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0D53286-05E8-41BA-AE57-B8F4FA90CB43}">
          <x14:formula1>
            <xm:f>Students!$A$1:$A$25</xm:f>
          </x14:formula1>
          <xm:sqref>H4:M7</xm:sqref>
        </x14:dataValidation>
      </x14:dataValidation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E7299-EDA3-4912-9F72-746D0D0E1BB0}">
  <dimension ref="A1:AE84"/>
  <sheetViews>
    <sheetView showGridLines="0" tabSelected="1" zoomScaleNormal="100" workbookViewId="0">
      <pane xSplit="5" ySplit="7" topLeftCell="F23" activePane="bottomRight" state="frozen"/>
      <selection pane="topRight" activeCell="F1" sqref="F1"/>
      <selection pane="bottomLeft" activeCell="A8" sqref="A8"/>
      <selection pane="bottomRight" activeCell="F23" sqref="F23"/>
    </sheetView>
  </sheetViews>
  <sheetFormatPr defaultRowHeight="15" x14ac:dyDescent="0.25"/>
  <cols>
    <col min="1" max="1" width="16.5703125" hidden="1" customWidth="1"/>
    <col min="2" max="2" width="13.5703125" customWidth="1"/>
    <col min="3" max="3" width="13.28515625" customWidth="1"/>
    <col min="4" max="4" width="14" customWidth="1"/>
    <col min="5" max="5" width="14.28515625" customWidth="1"/>
    <col min="6" max="6" width="11.5703125" customWidth="1"/>
    <col min="7" max="8" width="10.7109375" style="2" customWidth="1"/>
    <col min="9" max="10" width="13.28515625" customWidth="1"/>
    <col min="11" max="11" width="13.28515625" style="1" customWidth="1"/>
    <col min="12" max="12" width="13" style="2" customWidth="1"/>
    <col min="13" max="14" width="8.85546875" style="2" customWidth="1"/>
    <col min="15" max="15" width="10.5703125" style="2" customWidth="1"/>
    <col min="16" max="17" width="8.85546875" style="2" customWidth="1"/>
    <col min="18" max="18" width="13" style="2" customWidth="1"/>
    <col min="19" max="19" width="12.5703125" customWidth="1"/>
    <col min="20" max="20" width="13.5703125" customWidth="1"/>
    <col min="21" max="21" width="14.42578125" customWidth="1"/>
    <col min="22" max="22" width="10.85546875" customWidth="1"/>
    <col min="31" max="31" width="47.140625" customWidth="1"/>
  </cols>
  <sheetData>
    <row r="1" spans="1:31" x14ac:dyDescent="0.25">
      <c r="D1" t="s">
        <v>72</v>
      </c>
      <c r="E1" s="1">
        <v>43876</v>
      </c>
    </row>
    <row r="3" spans="1:31" ht="28.5" x14ac:dyDescent="0.45">
      <c r="D3" s="21" t="s">
        <v>109</v>
      </c>
    </row>
    <row r="5" spans="1:31" ht="19.5" thickBot="1" x14ac:dyDescent="0.35">
      <c r="X5" s="122" t="s">
        <v>165</v>
      </c>
      <c r="Y5" s="122"/>
      <c r="Z5" s="122"/>
      <c r="AA5" s="122"/>
      <c r="AB5" s="122"/>
      <c r="AC5" s="122"/>
      <c r="AD5" s="122"/>
      <c r="AE5" s="122"/>
    </row>
    <row r="6" spans="1:31" ht="19.5" thickBot="1" x14ac:dyDescent="0.35">
      <c r="B6" s="123" t="s">
        <v>122</v>
      </c>
      <c r="C6" s="124"/>
      <c r="D6" s="124"/>
      <c r="E6" s="124"/>
      <c r="F6" s="124"/>
      <c r="G6" s="124"/>
      <c r="H6" s="124"/>
      <c r="I6" s="124"/>
      <c r="J6" s="125" t="s">
        <v>108</v>
      </c>
      <c r="K6" s="126"/>
      <c r="L6" s="126"/>
      <c r="M6" s="126"/>
      <c r="N6" s="126"/>
      <c r="O6" s="126"/>
      <c r="P6" s="126"/>
      <c r="Q6" s="126"/>
      <c r="R6" s="126"/>
      <c r="S6" s="126"/>
      <c r="T6" s="127" t="s">
        <v>146</v>
      </c>
      <c r="U6" s="128"/>
      <c r="V6" s="128"/>
      <c r="W6" s="128"/>
      <c r="X6" s="129" t="s">
        <v>169</v>
      </c>
      <c r="Y6" s="130"/>
      <c r="Z6" s="130"/>
      <c r="AA6" s="131"/>
      <c r="AB6" s="129" t="s">
        <v>171</v>
      </c>
      <c r="AC6" s="130"/>
      <c r="AD6" s="130"/>
      <c r="AE6" s="131"/>
    </row>
    <row r="7" spans="1:31" ht="63.75" thickBot="1" x14ac:dyDescent="0.3">
      <c r="B7" s="11" t="s">
        <v>0</v>
      </c>
      <c r="C7" s="12" t="s">
        <v>1</v>
      </c>
      <c r="D7" s="12" t="s">
        <v>2</v>
      </c>
      <c r="E7" s="12" t="s">
        <v>3</v>
      </c>
      <c r="F7" s="12" t="s">
        <v>4</v>
      </c>
      <c r="G7" s="13" t="s">
        <v>55</v>
      </c>
      <c r="H7" s="13" t="s">
        <v>85</v>
      </c>
      <c r="I7" s="40" t="s">
        <v>56</v>
      </c>
      <c r="J7" s="43" t="s">
        <v>101</v>
      </c>
      <c r="K7" s="44" t="s">
        <v>110</v>
      </c>
      <c r="L7" s="14" t="s">
        <v>5</v>
      </c>
      <c r="M7" s="14" t="s">
        <v>6</v>
      </c>
      <c r="N7" s="14" t="s">
        <v>7</v>
      </c>
      <c r="O7" s="14" t="s">
        <v>65</v>
      </c>
      <c r="P7" s="14" t="s">
        <v>63</v>
      </c>
      <c r="Q7" s="14" t="s">
        <v>64</v>
      </c>
      <c r="R7" s="15" t="s">
        <v>95</v>
      </c>
      <c r="S7" s="15" t="s">
        <v>99</v>
      </c>
      <c r="T7" s="52" t="s">
        <v>123</v>
      </c>
      <c r="U7" s="53" t="s">
        <v>144</v>
      </c>
      <c r="V7" s="52" t="s">
        <v>157</v>
      </c>
      <c r="W7" s="75" t="s">
        <v>155</v>
      </c>
      <c r="X7" s="76" t="s">
        <v>170</v>
      </c>
      <c r="Y7" s="76" t="s">
        <v>166</v>
      </c>
      <c r="Z7" s="76" t="s">
        <v>167</v>
      </c>
      <c r="AA7" s="76" t="s">
        <v>168</v>
      </c>
      <c r="AB7" s="76" t="s">
        <v>172</v>
      </c>
      <c r="AC7" s="76" t="s">
        <v>24</v>
      </c>
      <c r="AD7" s="76" t="s">
        <v>176</v>
      </c>
      <c r="AE7" s="76" t="s">
        <v>173</v>
      </c>
    </row>
    <row r="8" spans="1:31" x14ac:dyDescent="0.25">
      <c r="A8" t="str">
        <f>Table6[[#This Row],[First Name]]&amp;", "&amp;S8</f>
        <v>Melanie, WH</v>
      </c>
      <c r="B8" s="8" t="s">
        <v>8</v>
      </c>
      <c r="C8" s="8" t="s">
        <v>9</v>
      </c>
      <c r="D8" s="8" t="s">
        <v>10</v>
      </c>
      <c r="E8" s="8" t="s">
        <v>24</v>
      </c>
      <c r="F8" s="28">
        <v>39553</v>
      </c>
      <c r="G8" s="9">
        <f t="shared" ref="G8:G39" si="0">DATEDIF(F8,$E$1,"Y")</f>
        <v>11</v>
      </c>
      <c r="H8" s="9" t="s">
        <v>86</v>
      </c>
      <c r="I8" s="10" t="str">
        <f t="shared" ref="I8:I39" si="1">IF(G8&lt;9,"YES","")</f>
        <v/>
      </c>
      <c r="J8" s="10" t="s">
        <v>77</v>
      </c>
      <c r="K8" s="45">
        <v>43946</v>
      </c>
      <c r="L8" s="22"/>
      <c r="M8" s="7">
        <v>1</v>
      </c>
      <c r="N8" s="25"/>
      <c r="O8" s="22"/>
      <c r="P8" s="7" t="str">
        <f>IF(O8=5,M8+1,"")</f>
        <v/>
      </c>
      <c r="Q8" s="78">
        <f t="shared" ref="Q8:Q39" si="2">IFERROR(N8+O8,"")</f>
        <v>0</v>
      </c>
      <c r="R8" s="6" t="str">
        <f>IF(LEFT(J8,4)="NFMC",IFERROR(IF(MOD(Table6[[#This Row],[PAP]],15)+Table6[[#This Row],[RATING]]&gt;=15,"CUP",""),""),IFERROR(IF(MOD(Table6[[#This Row],[CCS]],2),"Cert","Medal"),""))</f>
        <v/>
      </c>
      <c r="S8" s="2" t="s">
        <v>115</v>
      </c>
      <c r="T8" s="2" t="s">
        <v>136</v>
      </c>
      <c r="U8" s="2" t="str">
        <f>IF(Table6[[#This Row],[Event]]="Hymn",LEFT(Table6[[#This Row],[Phone Number]],8)&amp;"5481","")</f>
        <v>225-647-5481</v>
      </c>
      <c r="V8" s="2" t="s">
        <v>147</v>
      </c>
      <c r="W8" s="2" t="str">
        <f>IF(Table6[[#This Row],[Switch to Virtual?]]="YES","Physical","Virtual")</f>
        <v>Physical</v>
      </c>
      <c r="X8" s="2" t="s">
        <v>175</v>
      </c>
      <c r="Y8" s="2" t="s">
        <v>147</v>
      </c>
      <c r="Z8" s="2" t="s">
        <v>147</v>
      </c>
      <c r="AA8" s="2" t="s">
        <v>147</v>
      </c>
      <c r="AB8" s="2" t="s">
        <v>98</v>
      </c>
      <c r="AC8" s="2"/>
      <c r="AD8" s="2"/>
      <c r="AE8" s="49"/>
    </row>
    <row r="9" spans="1:31" x14ac:dyDescent="0.25">
      <c r="A9" t="str">
        <f>Table6[[#This Row],[First Name]]&amp;", "&amp;S9</f>
        <v>Melanie, 1</v>
      </c>
      <c r="B9" s="3" t="s">
        <v>8</v>
      </c>
      <c r="C9" s="3" t="s">
        <v>9</v>
      </c>
      <c r="D9" s="3" t="s">
        <v>10</v>
      </c>
      <c r="E9" s="3" t="s">
        <v>24</v>
      </c>
      <c r="F9" s="29">
        <v>39553</v>
      </c>
      <c r="G9" s="4">
        <f t="shared" si="0"/>
        <v>11</v>
      </c>
      <c r="H9" s="4" t="s">
        <v>86</v>
      </c>
      <c r="I9" s="10" t="str">
        <f t="shared" si="1"/>
        <v/>
      </c>
      <c r="J9" s="5" t="s">
        <v>103</v>
      </c>
      <c r="K9" s="46">
        <v>43876</v>
      </c>
      <c r="L9" s="23" t="s">
        <v>11</v>
      </c>
      <c r="M9" s="26">
        <v>2</v>
      </c>
      <c r="N9" s="26">
        <v>10</v>
      </c>
      <c r="O9" s="23">
        <v>5</v>
      </c>
      <c r="P9" s="6">
        <f>IF(O9=5,M9+1,"0")</f>
        <v>3</v>
      </c>
      <c r="Q9" s="6">
        <f t="shared" si="2"/>
        <v>15</v>
      </c>
      <c r="R9" s="6" t="str">
        <f>IF(LEFT(J9,4)="NFMC",IFERROR(IF(MOD(Table6[[#This Row],[PAP]],15)+Table6[[#This Row],[RATING]]&gt;=15,"CUP",""),""),IFERROR(IF(MOD(Table6[[#This Row],[CCS]],2),"Cert","Medal"),""))</f>
        <v>CUP</v>
      </c>
      <c r="S9" s="2">
        <v>1</v>
      </c>
      <c r="T9" s="2" t="s">
        <v>136</v>
      </c>
      <c r="U9" s="2" t="str">
        <f>IF(Table6[[#This Row],[Event]]="Hymn",LEFT(Table6[[#This Row],[Phone Number]],8)&amp;"5481","")</f>
        <v/>
      </c>
      <c r="V9" s="2" t="s">
        <v>147</v>
      </c>
      <c r="W9" s="2" t="str">
        <f>IF(Table6[[#This Row],[Switch to Virtual?]]="YES","Physical","Virtual")</f>
        <v>Physical</v>
      </c>
      <c r="X9" s="2"/>
      <c r="Y9" s="2"/>
      <c r="Z9" s="2"/>
      <c r="AA9" s="2"/>
      <c r="AB9" s="2"/>
      <c r="AC9" s="2"/>
      <c r="AD9" s="2"/>
      <c r="AE9" s="49"/>
    </row>
    <row r="10" spans="1:31" x14ac:dyDescent="0.25">
      <c r="A10" t="str">
        <f>Table6[[#This Row],[First Name]]&amp;", "&amp;S10</f>
        <v>Melanie, X</v>
      </c>
      <c r="B10" s="3" t="s">
        <v>8</v>
      </c>
      <c r="C10" s="3" t="s">
        <v>9</v>
      </c>
      <c r="D10" s="3" t="s">
        <v>10</v>
      </c>
      <c r="E10" s="3" t="s">
        <v>24</v>
      </c>
      <c r="F10" s="29">
        <v>39553</v>
      </c>
      <c r="G10" s="4">
        <f t="shared" si="0"/>
        <v>11</v>
      </c>
      <c r="H10" s="4" t="s">
        <v>86</v>
      </c>
      <c r="I10" s="10" t="str">
        <f t="shared" si="1"/>
        <v/>
      </c>
      <c r="J10" s="5" t="s">
        <v>107</v>
      </c>
      <c r="K10" s="45">
        <v>43806</v>
      </c>
      <c r="L10" s="23"/>
      <c r="M10" s="6">
        <v>1</v>
      </c>
      <c r="N10" s="26"/>
      <c r="O10" s="6">
        <v>5</v>
      </c>
      <c r="P10" s="6">
        <f>IF(O10=5,M10+1,"")</f>
        <v>2</v>
      </c>
      <c r="Q10" s="6">
        <f t="shared" si="2"/>
        <v>5</v>
      </c>
      <c r="R10" s="6" t="str">
        <f>IF(LEFT(J10,4)="NFMC",IFERROR(IF(MOD(Table6[[#This Row],[PAP]],15)+Table6[[#This Row],[RATING]]&gt;=15,"CUP",""),""),IFERROR(IF(MOD(Table6[[#This Row],[CCS]],2),"Cert","Medal"),""))</f>
        <v>Medal</v>
      </c>
      <c r="S10" s="2" t="s">
        <v>98</v>
      </c>
      <c r="T10" s="2" t="s">
        <v>136</v>
      </c>
      <c r="U10" s="2" t="str">
        <f>IF(Table6[[#This Row],[Event]]="Hymn",LEFT(Table6[[#This Row],[Phone Number]],8)&amp;"5481","")</f>
        <v/>
      </c>
      <c r="V10" s="2" t="s">
        <v>147</v>
      </c>
      <c r="W10" s="2" t="str">
        <f>IF(Table6[[#This Row],[Switch to Virtual?]]="YES","Physical","Virtual")</f>
        <v>Physical</v>
      </c>
      <c r="X10" s="2"/>
      <c r="Y10" s="2"/>
      <c r="Z10" s="2"/>
      <c r="AA10" s="2"/>
      <c r="AB10" s="2"/>
      <c r="AC10" s="2"/>
      <c r="AD10" s="2"/>
      <c r="AE10" s="49"/>
    </row>
    <row r="11" spans="1:31" x14ac:dyDescent="0.25">
      <c r="A11" t="str">
        <f>Table6[[#This Row],[First Name]]&amp;", "&amp;S11</f>
        <v>Kelby, 1</v>
      </c>
      <c r="B11" s="3" t="s">
        <v>13</v>
      </c>
      <c r="C11" s="3" t="s">
        <v>14</v>
      </c>
      <c r="D11" s="3" t="s">
        <v>15</v>
      </c>
      <c r="E11" s="3" t="s">
        <v>24</v>
      </c>
      <c r="F11" s="29">
        <v>38040</v>
      </c>
      <c r="G11" s="4">
        <f t="shared" si="0"/>
        <v>15</v>
      </c>
      <c r="H11" s="4" t="s">
        <v>86</v>
      </c>
      <c r="I11" s="10" t="str">
        <f t="shared" si="1"/>
        <v/>
      </c>
      <c r="J11" s="5" t="s">
        <v>104</v>
      </c>
      <c r="K11" s="45">
        <v>43876</v>
      </c>
      <c r="L11" s="23" t="s">
        <v>16</v>
      </c>
      <c r="M11" s="26">
        <v>0</v>
      </c>
      <c r="N11" s="26">
        <v>0</v>
      </c>
      <c r="O11" s="23">
        <v>5</v>
      </c>
      <c r="P11" s="6">
        <f>IF(O11=5,M11+1,"0")</f>
        <v>1</v>
      </c>
      <c r="Q11" s="6">
        <f t="shared" si="2"/>
        <v>5</v>
      </c>
      <c r="R11" s="6" t="str">
        <f>IF(LEFT(J11,4)="NFMC",IFERROR(IF(MOD(Table6[[#This Row],[PAP]],15)+Table6[[#This Row],[RATING]]&gt;=15,"CUP",""),""),IFERROR(IF(MOD(Table6[[#This Row],[CCS]],2),"Cert","Medal"),""))</f>
        <v/>
      </c>
      <c r="S11" s="2">
        <v>1</v>
      </c>
      <c r="T11" s="2" t="s">
        <v>132</v>
      </c>
      <c r="U11" s="2" t="str">
        <f>IF(Table6[[#This Row],[Event]]="Hymn",LEFT(Table6[[#This Row],[Phone Number]],8)&amp;"5481","")</f>
        <v/>
      </c>
      <c r="V11" s="2" t="s">
        <v>147</v>
      </c>
      <c r="W11" s="2" t="str">
        <f>IF(Table6[[#This Row],[Switch to Virtual?]]="YES","Physical","Virtual")</f>
        <v>Physical</v>
      </c>
      <c r="X11" s="2"/>
      <c r="Y11" s="2"/>
      <c r="Z11" s="2"/>
      <c r="AA11" s="2"/>
      <c r="AB11" s="2"/>
      <c r="AC11" s="2"/>
      <c r="AD11" s="2"/>
      <c r="AE11" s="2"/>
    </row>
    <row r="12" spans="1:31" x14ac:dyDescent="0.25">
      <c r="A12" t="str">
        <f>Table6[[#This Row],[First Name]]&amp;", "&amp;S12</f>
        <v>Kelby, T</v>
      </c>
      <c r="B12" s="3" t="s">
        <v>13</v>
      </c>
      <c r="C12" s="3" t="s">
        <v>14</v>
      </c>
      <c r="D12" s="3" t="s">
        <v>15</v>
      </c>
      <c r="E12" s="3" t="s">
        <v>24</v>
      </c>
      <c r="F12" s="29">
        <v>38040</v>
      </c>
      <c r="G12" s="4">
        <f t="shared" si="0"/>
        <v>15</v>
      </c>
      <c r="H12" s="4" t="s">
        <v>86</v>
      </c>
      <c r="I12" s="10" t="str">
        <f t="shared" si="1"/>
        <v/>
      </c>
      <c r="J12" s="5" t="s">
        <v>120</v>
      </c>
      <c r="K12" s="46">
        <v>43876</v>
      </c>
      <c r="L12" s="6" t="s">
        <v>12</v>
      </c>
      <c r="M12" s="6">
        <v>0</v>
      </c>
      <c r="N12" s="6">
        <v>0</v>
      </c>
      <c r="O12" s="6">
        <v>5</v>
      </c>
      <c r="P12" s="6">
        <f>IF(O12=5,M12+1,"0")</f>
        <v>1</v>
      </c>
      <c r="Q12" s="6">
        <f t="shared" si="2"/>
        <v>5</v>
      </c>
      <c r="R12" s="6" t="str">
        <f>IF(LEFT(J12,4)="NFMC",IFERROR(IF(MOD(Table6[[#This Row],[PAP]],15)+Table6[[#This Row],[RATING]]&gt;=15,"CUP",""),""),IFERROR(IF(MOD(Table6[[#This Row],[CCS]],2),"Cert","Medal"),""))</f>
        <v/>
      </c>
      <c r="S12" s="2" t="s">
        <v>111</v>
      </c>
      <c r="T12" s="2" t="s">
        <v>132</v>
      </c>
      <c r="U12" s="2" t="str">
        <f>IF(Table6[[#This Row],[Event]]="Hymn",LEFT(Table6[[#This Row],[Phone Number]],8)&amp;"5481","")</f>
        <v/>
      </c>
      <c r="V12" s="2" t="s">
        <v>147</v>
      </c>
      <c r="W12" s="2" t="str">
        <f>IF(Table6[[#This Row],[Switch to Virtual?]]="YES","Physical","Virtual")</f>
        <v>Physical</v>
      </c>
      <c r="X12" s="2"/>
      <c r="Y12" s="2"/>
      <c r="Z12" s="2"/>
      <c r="AA12" s="2"/>
      <c r="AB12" s="2"/>
      <c r="AC12" s="2"/>
      <c r="AD12" s="2"/>
      <c r="AE12" s="2"/>
    </row>
    <row r="13" spans="1:31" x14ac:dyDescent="0.25">
      <c r="A13" t="str">
        <f>Table6[[#This Row],[First Name]]&amp;", "&amp;S13</f>
        <v>Presley, WH</v>
      </c>
      <c r="B13" s="3" t="s">
        <v>17</v>
      </c>
      <c r="C13" s="3" t="s">
        <v>18</v>
      </c>
      <c r="D13" s="3" t="s">
        <v>10</v>
      </c>
      <c r="E13" s="3" t="s">
        <v>24</v>
      </c>
      <c r="F13" s="29">
        <v>40875</v>
      </c>
      <c r="G13" s="4">
        <f t="shared" si="0"/>
        <v>8</v>
      </c>
      <c r="H13" s="4" t="s">
        <v>86</v>
      </c>
      <c r="I13" s="10" t="str">
        <f t="shared" si="1"/>
        <v>YES</v>
      </c>
      <c r="J13" s="5" t="s">
        <v>77</v>
      </c>
      <c r="K13" s="45">
        <v>43946</v>
      </c>
      <c r="L13" s="23"/>
      <c r="M13" s="6">
        <v>0</v>
      </c>
      <c r="N13" s="26"/>
      <c r="O13" s="23"/>
      <c r="P13" s="6" t="str">
        <f>IF(O13=5,M13+1,"")</f>
        <v/>
      </c>
      <c r="Q13" s="37">
        <f t="shared" si="2"/>
        <v>0</v>
      </c>
      <c r="R13" s="6" t="str">
        <f>IF(LEFT(J13,4)="NFMC",IFERROR(IF(MOD(Table6[[#This Row],[PAP]],15)+Table6[[#This Row],[RATING]]&gt;=15,"CUP",""),""),IFERROR(IF(MOD(Table6[[#This Row],[CCS]],2),"Cert","Medal"),""))</f>
        <v/>
      </c>
      <c r="S13" s="2" t="s">
        <v>115</v>
      </c>
      <c r="T13" s="2" t="s">
        <v>138</v>
      </c>
      <c r="U13" s="2" t="str">
        <f>IF(Table6[[#This Row],[Event]]="Hymn",LEFT(Table6[[#This Row],[Phone Number]],8)&amp;"5481","")</f>
        <v>225-722-5481</v>
      </c>
      <c r="V13" s="2" t="s">
        <v>147</v>
      </c>
      <c r="W13" s="2" t="str">
        <f>IF(Table6[[#This Row],[Switch to Virtual?]]="YES","Physical","Virtual")</f>
        <v>Physical</v>
      </c>
      <c r="X13" s="2"/>
      <c r="Y13" s="2"/>
      <c r="Z13" s="2"/>
      <c r="AA13" s="2"/>
      <c r="AB13" s="2"/>
      <c r="AC13" s="2"/>
      <c r="AD13" s="2"/>
      <c r="AE13" s="49"/>
    </row>
    <row r="14" spans="1:31" x14ac:dyDescent="0.25">
      <c r="A14" t="str">
        <f>Table6[[#This Row],[First Name]]&amp;", "&amp;S14</f>
        <v>Presley, 1</v>
      </c>
      <c r="B14" s="3" t="s">
        <v>17</v>
      </c>
      <c r="C14" s="3" t="s">
        <v>18</v>
      </c>
      <c r="D14" s="3" t="s">
        <v>10</v>
      </c>
      <c r="E14" s="3" t="s">
        <v>24</v>
      </c>
      <c r="F14" s="29">
        <v>40875</v>
      </c>
      <c r="G14" s="4">
        <f t="shared" si="0"/>
        <v>8</v>
      </c>
      <c r="H14" s="4" t="s">
        <v>86</v>
      </c>
      <c r="I14" s="10" t="str">
        <f t="shared" si="1"/>
        <v>YES</v>
      </c>
      <c r="J14" s="5" t="s">
        <v>103</v>
      </c>
      <c r="K14" s="46">
        <v>43876</v>
      </c>
      <c r="L14" s="23" t="s">
        <v>19</v>
      </c>
      <c r="M14" s="26">
        <v>0</v>
      </c>
      <c r="N14" s="26">
        <v>0</v>
      </c>
      <c r="O14" s="23">
        <v>5</v>
      </c>
      <c r="P14" s="6">
        <f>IF(O14=5,M14+1,"0")</f>
        <v>1</v>
      </c>
      <c r="Q14" s="6">
        <f t="shared" si="2"/>
        <v>5</v>
      </c>
      <c r="R14" s="6" t="str">
        <f>IF(LEFT(J14,4)="NFMC",IFERROR(IF(MOD(Table6[[#This Row],[PAP]],15)+Table6[[#This Row],[RATING]]&gt;=15,"CUP",""),""),IFERROR(IF(MOD(Table6[[#This Row],[CCS]],2),"Cert","Medal"),""))</f>
        <v/>
      </c>
      <c r="S14" s="2">
        <v>1</v>
      </c>
      <c r="T14" s="2" t="s">
        <v>138</v>
      </c>
      <c r="U14" s="2" t="str">
        <f>IF(Table6[[#This Row],[Event]]="Hymn",LEFT(Table6[[#This Row],[Phone Number]],8)&amp;"5481","")</f>
        <v/>
      </c>
      <c r="V14" s="2" t="s">
        <v>147</v>
      </c>
      <c r="W14" s="2" t="str">
        <f>IF(Table6[[#This Row],[Switch to Virtual?]]="YES","Physical","Virtual")</f>
        <v>Physical</v>
      </c>
      <c r="X14" s="2"/>
      <c r="Y14" s="2"/>
      <c r="Z14" s="2"/>
      <c r="AA14" s="2"/>
      <c r="AB14" s="2"/>
      <c r="AC14" s="2"/>
      <c r="AD14" s="2"/>
      <c r="AE14" s="49"/>
    </row>
    <row r="15" spans="1:31" x14ac:dyDescent="0.25">
      <c r="A15" t="str">
        <f>Table6[[#This Row],[First Name]]&amp;", "&amp;S15</f>
        <v>Presley, T</v>
      </c>
      <c r="B15" s="3" t="s">
        <v>17</v>
      </c>
      <c r="C15" s="3" t="s">
        <v>18</v>
      </c>
      <c r="D15" s="3" t="s">
        <v>10</v>
      </c>
      <c r="E15" s="3" t="s">
        <v>24</v>
      </c>
      <c r="F15" s="29">
        <v>40875</v>
      </c>
      <c r="G15" s="4">
        <f t="shared" si="0"/>
        <v>8</v>
      </c>
      <c r="H15" s="4" t="s">
        <v>86</v>
      </c>
      <c r="I15" s="10" t="str">
        <f t="shared" si="1"/>
        <v>YES</v>
      </c>
      <c r="J15" s="5" t="s">
        <v>120</v>
      </c>
      <c r="K15" s="45">
        <v>43876</v>
      </c>
      <c r="L15" s="6" t="s">
        <v>20</v>
      </c>
      <c r="M15" s="6">
        <v>0</v>
      </c>
      <c r="N15" s="6">
        <v>0</v>
      </c>
      <c r="O15" s="6">
        <v>5</v>
      </c>
      <c r="P15" s="6">
        <f>IF(O15=5,M15+1,"0")</f>
        <v>1</v>
      </c>
      <c r="Q15" s="6">
        <f t="shared" si="2"/>
        <v>5</v>
      </c>
      <c r="R15" s="6" t="str">
        <f>IF(LEFT(J15,4)="NFMC",IFERROR(IF(MOD(Table6[[#This Row],[PAP]],15)+Table6[[#This Row],[RATING]]&gt;=15,"CUP",""),""),IFERROR(IF(MOD(Table6[[#This Row],[CCS]],2),"Cert","Medal"),""))</f>
        <v/>
      </c>
      <c r="S15" s="2" t="s">
        <v>111</v>
      </c>
      <c r="T15" s="2" t="s">
        <v>138</v>
      </c>
      <c r="U15" s="2" t="str">
        <f>IF(Table6[[#This Row],[Event]]="Hymn",LEFT(Table6[[#This Row],[Phone Number]],8)&amp;"5481","")</f>
        <v/>
      </c>
      <c r="V15" s="2" t="s">
        <v>147</v>
      </c>
      <c r="W15" s="2" t="str">
        <f>IF(Table6[[#This Row],[Switch to Virtual?]]="YES","Physical","Virtual")</f>
        <v>Physical</v>
      </c>
      <c r="X15" s="2"/>
      <c r="Y15" s="2"/>
      <c r="Z15" s="2"/>
      <c r="AA15" s="2"/>
      <c r="AB15" s="2"/>
      <c r="AC15" s="2"/>
      <c r="AD15" s="2"/>
      <c r="AE15" s="49"/>
    </row>
    <row r="16" spans="1:31" x14ac:dyDescent="0.25">
      <c r="A16" t="str">
        <f>Table6[[#This Row],[First Name]]&amp;", "&amp;S16</f>
        <v>Presley, X</v>
      </c>
      <c r="B16" s="3" t="s">
        <v>17</v>
      </c>
      <c r="C16" s="3" t="s">
        <v>18</v>
      </c>
      <c r="D16" s="3" t="s">
        <v>10</v>
      </c>
      <c r="E16" s="3" t="s">
        <v>24</v>
      </c>
      <c r="F16" s="29">
        <v>40875</v>
      </c>
      <c r="G16" s="4">
        <f t="shared" si="0"/>
        <v>8</v>
      </c>
      <c r="H16" s="4" t="s">
        <v>86</v>
      </c>
      <c r="I16" s="10" t="str">
        <f t="shared" si="1"/>
        <v>YES</v>
      </c>
      <c r="J16" s="5" t="s">
        <v>107</v>
      </c>
      <c r="K16" s="46">
        <v>43806</v>
      </c>
      <c r="L16" s="23"/>
      <c r="M16" s="6">
        <v>0</v>
      </c>
      <c r="N16" s="26"/>
      <c r="O16" s="6">
        <v>5</v>
      </c>
      <c r="P16" s="6">
        <f>IF(O16=5,M16+1,"")</f>
        <v>1</v>
      </c>
      <c r="Q16" s="6">
        <f t="shared" si="2"/>
        <v>5</v>
      </c>
      <c r="R16" s="6" t="str">
        <f>IF(LEFT(J16,4)="NFMC",IFERROR(IF(MOD(Table6[[#This Row],[PAP]],15)+Table6[[#This Row],[RATING]]&gt;=15,"CUP",""),""),IFERROR(IF(MOD(Table6[[#This Row],[CCS]],2),"Cert","Medal"),""))</f>
        <v>Cert</v>
      </c>
      <c r="S16" s="2" t="s">
        <v>98</v>
      </c>
      <c r="T16" s="2" t="s">
        <v>138</v>
      </c>
      <c r="U16" s="2" t="str">
        <f>IF(Table6[[#This Row],[Event]]="Hymn",LEFT(Table6[[#This Row],[Phone Number]],8)&amp;"5481","")</f>
        <v/>
      </c>
      <c r="V16" s="2" t="s">
        <v>147</v>
      </c>
      <c r="W16" s="2" t="str">
        <f>IF(Table6[[#This Row],[Switch to Virtual?]]="YES","Physical","Virtual")</f>
        <v>Physical</v>
      </c>
      <c r="X16" s="2"/>
      <c r="Y16" s="2"/>
      <c r="Z16" s="2"/>
      <c r="AA16" s="2"/>
      <c r="AB16" s="2"/>
      <c r="AC16" s="2"/>
      <c r="AD16" s="2"/>
      <c r="AE16" s="49"/>
    </row>
    <row r="17" spans="1:31" x14ac:dyDescent="0.25">
      <c r="A17" t="str">
        <f>Table6[[#This Row],[First Name]]&amp;", "&amp;S17</f>
        <v>Charley, WH</v>
      </c>
      <c r="B17" s="3" t="s">
        <v>96</v>
      </c>
      <c r="C17" s="3" t="s">
        <v>22</v>
      </c>
      <c r="D17" s="3" t="s">
        <v>10</v>
      </c>
      <c r="E17" s="3" t="s">
        <v>24</v>
      </c>
      <c r="F17" s="29">
        <v>40304</v>
      </c>
      <c r="G17" s="4">
        <f t="shared" si="0"/>
        <v>9</v>
      </c>
      <c r="H17" s="4" t="s">
        <v>86</v>
      </c>
      <c r="I17" s="10" t="str">
        <f t="shared" si="1"/>
        <v/>
      </c>
      <c r="J17" s="5" t="s">
        <v>77</v>
      </c>
      <c r="K17" s="45">
        <v>43946</v>
      </c>
      <c r="L17" s="23"/>
      <c r="M17" s="6"/>
      <c r="N17" s="26"/>
      <c r="O17" s="23"/>
      <c r="P17" s="6" t="str">
        <f>IF(O17=5,M17+1,"")</f>
        <v/>
      </c>
      <c r="Q17" s="37">
        <f t="shared" si="2"/>
        <v>0</v>
      </c>
      <c r="R17" s="6" t="str">
        <f>IF(LEFT(J17,4)="NFMC",IFERROR(IF(MOD(Table6[[#This Row],[PAP]],15)+Table6[[#This Row],[RATING]]&gt;=15,"CUP",""),""),IFERROR(IF(MOD(Table6[[#This Row],[CCS]],2),"Cert","Medal"),""))</f>
        <v/>
      </c>
      <c r="S17" s="2" t="s">
        <v>115</v>
      </c>
      <c r="T17" s="2" t="s">
        <v>128</v>
      </c>
      <c r="U17" s="2" t="str">
        <f>IF(Table6[[#This Row],[Event]]="Hymn",LEFT(Table6[[#This Row],[Phone Number]],8)&amp;"5481","")</f>
        <v>203-573-5481</v>
      </c>
      <c r="V17" s="2" t="s">
        <v>148</v>
      </c>
      <c r="W17" s="2" t="str">
        <f>IF(Table6[[#This Row],[Switch to Virtual?]]="YES","Physical","Virtual")</f>
        <v>Virtual</v>
      </c>
      <c r="X17" s="2" t="s">
        <v>182</v>
      </c>
      <c r="Y17" s="2" t="s">
        <v>147</v>
      </c>
      <c r="Z17" s="2" t="s">
        <v>147</v>
      </c>
      <c r="AA17" s="2" t="s">
        <v>147</v>
      </c>
      <c r="AB17" s="2"/>
      <c r="AC17" s="2" t="s">
        <v>98</v>
      </c>
      <c r="AD17" s="2" t="s">
        <v>98</v>
      </c>
      <c r="AE17" s="2"/>
    </row>
    <row r="18" spans="1:31" x14ac:dyDescent="0.25">
      <c r="A18" t="str">
        <f>Table6[[#This Row],[First Name]]&amp;", "&amp;S18</f>
        <v>Elena, WH</v>
      </c>
      <c r="B18" s="3" t="s">
        <v>97</v>
      </c>
      <c r="C18" s="3" t="s">
        <v>22</v>
      </c>
      <c r="D18" s="3" t="s">
        <v>10</v>
      </c>
      <c r="E18" s="3" t="s">
        <v>24</v>
      </c>
      <c r="F18" s="29">
        <v>39076</v>
      </c>
      <c r="G18" s="4">
        <f t="shared" si="0"/>
        <v>13</v>
      </c>
      <c r="H18" s="4" t="s">
        <v>86</v>
      </c>
      <c r="I18" s="10" t="str">
        <f t="shared" si="1"/>
        <v/>
      </c>
      <c r="J18" s="5" t="s">
        <v>77</v>
      </c>
      <c r="K18" s="46">
        <v>43946</v>
      </c>
      <c r="L18" s="23"/>
      <c r="M18" s="6"/>
      <c r="N18" s="26"/>
      <c r="O18" s="23"/>
      <c r="P18" s="6" t="str">
        <f>IF(O18=5,M18+1,"")</f>
        <v/>
      </c>
      <c r="Q18" s="37">
        <f t="shared" si="2"/>
        <v>0</v>
      </c>
      <c r="R18" s="6" t="str">
        <f>IF(LEFT(J18,4)="NFMC",IFERROR(IF(MOD(Table6[[#This Row],[PAP]],15)+Table6[[#This Row],[RATING]]&gt;=15,"CUP",""),""),IFERROR(IF(MOD(Table6[[#This Row],[CCS]],2),"Cert","Medal"),""))</f>
        <v/>
      </c>
      <c r="S18" s="2" t="s">
        <v>115</v>
      </c>
      <c r="T18" s="2" t="s">
        <v>128</v>
      </c>
      <c r="U18" s="2" t="str">
        <f>IF(Table6[[#This Row],[Event]]="Hymn",LEFT(Table6[[#This Row],[Phone Number]],8)&amp;"5481","")</f>
        <v>203-573-5481</v>
      </c>
      <c r="V18" s="2" t="s">
        <v>148</v>
      </c>
      <c r="W18" s="2" t="str">
        <f>IF(Table6[[#This Row],[Switch to Virtual?]]="YES","Physical","Virtual")</f>
        <v>Virtual</v>
      </c>
      <c r="X18" s="2" t="s">
        <v>182</v>
      </c>
      <c r="Y18" s="2" t="s">
        <v>147</v>
      </c>
      <c r="Z18" s="2" t="s">
        <v>147</v>
      </c>
      <c r="AA18" s="2" t="s">
        <v>147</v>
      </c>
      <c r="AB18" s="2"/>
      <c r="AC18" s="2" t="s">
        <v>98</v>
      </c>
      <c r="AD18" s="2" t="s">
        <v>98</v>
      </c>
      <c r="AE18" s="2"/>
    </row>
    <row r="19" spans="1:31" x14ac:dyDescent="0.25">
      <c r="A19" t="str">
        <f>Table6[[#This Row],[First Name]]&amp;", "&amp;S19</f>
        <v>Jeremy, WH</v>
      </c>
      <c r="B19" s="3" t="s">
        <v>21</v>
      </c>
      <c r="C19" s="3" t="s">
        <v>22</v>
      </c>
      <c r="D19" s="3" t="s">
        <v>10</v>
      </c>
      <c r="E19" s="3" t="s">
        <v>24</v>
      </c>
      <c r="F19" s="29">
        <v>38469</v>
      </c>
      <c r="G19" s="4">
        <f t="shared" si="0"/>
        <v>14</v>
      </c>
      <c r="H19" s="4" t="s">
        <v>87</v>
      </c>
      <c r="I19" s="10" t="str">
        <f t="shared" si="1"/>
        <v/>
      </c>
      <c r="J19" s="5" t="s">
        <v>77</v>
      </c>
      <c r="K19" s="45">
        <v>43946</v>
      </c>
      <c r="L19" s="23"/>
      <c r="M19" s="6">
        <v>0</v>
      </c>
      <c r="N19" s="26"/>
      <c r="O19" s="23"/>
      <c r="P19" s="6" t="str">
        <f>IF(O19=5,M19+1,"")</f>
        <v/>
      </c>
      <c r="Q19" s="37">
        <f t="shared" si="2"/>
        <v>0</v>
      </c>
      <c r="R19" s="6" t="str">
        <f>IF(LEFT(J19,4)="NFMC",IFERROR(IF(MOD(Table6[[#This Row],[PAP]],15)+Table6[[#This Row],[RATING]]&gt;=15,"CUP",""),""),IFERROR(IF(MOD(Table6[[#This Row],[CCS]],2),"Cert","Medal"),""))</f>
        <v/>
      </c>
      <c r="S19" s="2" t="s">
        <v>115</v>
      </c>
      <c r="T19" s="2" t="s">
        <v>128</v>
      </c>
      <c r="U19" s="2" t="str">
        <f>IF(Table6[[#This Row],[Event]]="Hymn",LEFT(Table6[[#This Row],[Phone Number]],8)&amp;"5481","")</f>
        <v>203-573-5481</v>
      </c>
      <c r="V19" s="2" t="s">
        <v>148</v>
      </c>
      <c r="W19" s="2" t="str">
        <f>IF(Table6[[#This Row],[Switch to Virtual?]]="YES","Physical","Virtual")</f>
        <v>Virtual</v>
      </c>
      <c r="X19" s="2" t="s">
        <v>182</v>
      </c>
      <c r="Y19" s="2" t="s">
        <v>147</v>
      </c>
      <c r="Z19" s="2" t="s">
        <v>147</v>
      </c>
      <c r="AA19" s="2" t="s">
        <v>147</v>
      </c>
      <c r="AB19" s="2"/>
      <c r="AC19" s="2" t="s">
        <v>98</v>
      </c>
      <c r="AD19" s="2" t="s">
        <v>98</v>
      </c>
      <c r="AE19" s="2"/>
    </row>
    <row r="20" spans="1:31" x14ac:dyDescent="0.25">
      <c r="A20" t="str">
        <f>Table6[[#This Row],[First Name]]&amp;", "&amp;S20</f>
        <v>Jeremy, 1</v>
      </c>
      <c r="B20" s="3" t="s">
        <v>21</v>
      </c>
      <c r="C20" s="3" t="s">
        <v>22</v>
      </c>
      <c r="D20" s="3" t="s">
        <v>23</v>
      </c>
      <c r="E20" s="3" t="s">
        <v>24</v>
      </c>
      <c r="F20" s="29">
        <v>38469</v>
      </c>
      <c r="G20" s="4">
        <f t="shared" si="0"/>
        <v>14</v>
      </c>
      <c r="H20" s="4" t="s">
        <v>87</v>
      </c>
      <c r="I20" s="10" t="str">
        <f t="shared" si="1"/>
        <v/>
      </c>
      <c r="J20" s="5" t="s">
        <v>104</v>
      </c>
      <c r="K20" s="46">
        <v>43876</v>
      </c>
      <c r="L20" s="23" t="s">
        <v>25</v>
      </c>
      <c r="M20" s="26">
        <v>0</v>
      </c>
      <c r="N20" s="26">
        <v>0</v>
      </c>
      <c r="O20" s="23">
        <v>5</v>
      </c>
      <c r="P20" s="6">
        <f>IF(O20=5,M20+1,"0")</f>
        <v>1</v>
      </c>
      <c r="Q20" s="6">
        <f t="shared" si="2"/>
        <v>5</v>
      </c>
      <c r="R20" s="6" t="str">
        <f>IF(LEFT(J20,4)="NFMC",IFERROR(IF(MOD(Table6[[#This Row],[PAP]],15)+Table6[[#This Row],[RATING]]&gt;=15,"CUP",""),""),IFERROR(IF(MOD(Table6[[#This Row],[CCS]],2),"Cert","Medal"),""))</f>
        <v/>
      </c>
      <c r="S20" s="2">
        <v>1</v>
      </c>
      <c r="T20" s="2" t="s">
        <v>128</v>
      </c>
      <c r="U20" s="2" t="str">
        <f>IF(Table6[[#This Row],[Event]]="Hymn",LEFT(Table6[[#This Row],[Phone Number]],8)&amp;"5481","")</f>
        <v/>
      </c>
      <c r="V20" s="2" t="s">
        <v>148</v>
      </c>
      <c r="W20" s="2" t="str">
        <f>IF(Table6[[#This Row],[Switch to Virtual?]]="YES","Physical","Virtual")</f>
        <v>Virtual</v>
      </c>
      <c r="X20" s="2"/>
      <c r="Y20" s="2"/>
      <c r="Z20" s="2"/>
      <c r="AA20" s="2"/>
      <c r="AB20" s="2"/>
      <c r="AC20" s="2"/>
      <c r="AD20" s="2"/>
      <c r="AE20" s="2"/>
    </row>
    <row r="21" spans="1:31" x14ac:dyDescent="0.25">
      <c r="A21" t="str">
        <f>Table6[[#This Row],[First Name]]&amp;", "&amp;S21</f>
        <v>Jeremy, T</v>
      </c>
      <c r="B21" s="3" t="s">
        <v>21</v>
      </c>
      <c r="C21" s="3" t="s">
        <v>22</v>
      </c>
      <c r="D21" s="3" t="s">
        <v>23</v>
      </c>
      <c r="E21" s="3" t="s">
        <v>24</v>
      </c>
      <c r="F21" s="29">
        <v>38469</v>
      </c>
      <c r="G21" s="4">
        <f t="shared" si="0"/>
        <v>14</v>
      </c>
      <c r="H21" s="4" t="s">
        <v>87</v>
      </c>
      <c r="I21" s="10" t="str">
        <f t="shared" si="1"/>
        <v/>
      </c>
      <c r="J21" s="5" t="s">
        <v>120</v>
      </c>
      <c r="K21" s="45">
        <v>43876</v>
      </c>
      <c r="L21" s="6" t="s">
        <v>26</v>
      </c>
      <c r="M21" s="6">
        <v>0</v>
      </c>
      <c r="N21" s="6">
        <v>8</v>
      </c>
      <c r="O21" s="6">
        <v>5</v>
      </c>
      <c r="P21" s="6">
        <f>IF(O21=5,M21+1,"0")</f>
        <v>1</v>
      </c>
      <c r="Q21" s="6">
        <f t="shared" si="2"/>
        <v>13</v>
      </c>
      <c r="R21" s="6" t="str">
        <f>IF(LEFT(J21,4)="NFMC",IFERROR(IF(MOD(Table6[[#This Row],[PAP]],15)+Table6[[#This Row],[RATING]]&gt;=15,"CUP",""),""),IFERROR(IF(MOD(Table6[[#This Row],[CCS]],2),"Cert","Medal"),""))</f>
        <v/>
      </c>
      <c r="S21" s="2" t="s">
        <v>111</v>
      </c>
      <c r="T21" s="2" t="s">
        <v>128</v>
      </c>
      <c r="U21" s="2" t="str">
        <f>IF(Table6[[#This Row],[Event]]="Hymn",LEFT(Table6[[#This Row],[Phone Number]],8)&amp;"5481","")</f>
        <v/>
      </c>
      <c r="V21" s="2" t="s">
        <v>148</v>
      </c>
      <c r="W21" s="2" t="str">
        <f>IF(Table6[[#This Row],[Switch to Virtual?]]="YES","Physical","Virtual")</f>
        <v>Virtual</v>
      </c>
      <c r="X21" s="2"/>
      <c r="Y21" s="2"/>
      <c r="Z21" s="2"/>
      <c r="AA21" s="2"/>
      <c r="AB21" s="2"/>
      <c r="AC21" s="2"/>
      <c r="AD21" s="2"/>
      <c r="AE21" s="2"/>
    </row>
    <row r="22" spans="1:31" x14ac:dyDescent="0.25">
      <c r="A22" t="str">
        <f>Table6[[#This Row],[First Name]]&amp;", "&amp;S22</f>
        <v>Jocelyn, WH</v>
      </c>
      <c r="B22" s="3" t="s">
        <v>84</v>
      </c>
      <c r="C22" s="3" t="s">
        <v>22</v>
      </c>
      <c r="D22" s="3" t="s">
        <v>10</v>
      </c>
      <c r="E22" s="3" t="s">
        <v>24</v>
      </c>
      <c r="F22" s="29">
        <v>39647</v>
      </c>
      <c r="G22" s="4">
        <f t="shared" si="0"/>
        <v>11</v>
      </c>
      <c r="H22" s="4" t="s">
        <v>86</v>
      </c>
      <c r="I22" s="10" t="str">
        <f t="shared" si="1"/>
        <v/>
      </c>
      <c r="J22" s="5" t="s">
        <v>77</v>
      </c>
      <c r="K22" s="46">
        <v>43946</v>
      </c>
      <c r="L22" s="23"/>
      <c r="M22" s="6"/>
      <c r="N22" s="26"/>
      <c r="O22" s="23"/>
      <c r="P22" s="6" t="str">
        <f>IF(O22=5,M22+1,"")</f>
        <v/>
      </c>
      <c r="Q22" s="37">
        <f t="shared" si="2"/>
        <v>0</v>
      </c>
      <c r="R22" s="6" t="str">
        <f>IF(LEFT(J22,4)="NFMC",IFERROR(IF(MOD(Table6[[#This Row],[PAP]],15)+Table6[[#This Row],[RATING]]&gt;=15,"CUP",""),""),IFERROR(IF(MOD(Table6[[#This Row],[CCS]],2),"Cert","Medal"),""))</f>
        <v/>
      </c>
      <c r="S22" s="2" t="s">
        <v>115</v>
      </c>
      <c r="T22" s="2" t="s">
        <v>128</v>
      </c>
      <c r="U22" s="2" t="str">
        <f>IF(Table6[[#This Row],[Event]]="Hymn",LEFT(Table6[[#This Row],[Phone Number]],8)&amp;"5481","")</f>
        <v>203-573-5481</v>
      </c>
      <c r="V22" s="2" t="s">
        <v>148</v>
      </c>
      <c r="W22" s="2" t="str">
        <f>IF(Table6[[#This Row],[Switch to Virtual?]]="YES","Physical","Virtual")</f>
        <v>Virtual</v>
      </c>
      <c r="X22" s="2" t="s">
        <v>182</v>
      </c>
      <c r="Y22" s="2" t="s">
        <v>147</v>
      </c>
      <c r="Z22" s="2" t="s">
        <v>147</v>
      </c>
      <c r="AA22" s="2" t="s">
        <v>147</v>
      </c>
      <c r="AB22" s="2"/>
      <c r="AC22" s="2" t="s">
        <v>98</v>
      </c>
      <c r="AD22" s="2" t="s">
        <v>98</v>
      </c>
      <c r="AE22" s="49"/>
    </row>
    <row r="23" spans="1:31" x14ac:dyDescent="0.25">
      <c r="A23" t="str">
        <f>Table6[[#This Row],[First Name]]&amp;", "&amp;S23</f>
        <v>John, 1</v>
      </c>
      <c r="B23" s="3" t="s">
        <v>27</v>
      </c>
      <c r="C23" s="3" t="s">
        <v>28</v>
      </c>
      <c r="D23" s="3" t="s">
        <v>23</v>
      </c>
      <c r="E23" s="3" t="s">
        <v>24</v>
      </c>
      <c r="F23" s="29">
        <v>37561</v>
      </c>
      <c r="G23" s="4">
        <f t="shared" si="0"/>
        <v>17</v>
      </c>
      <c r="H23" s="4" t="s">
        <v>87</v>
      </c>
      <c r="I23" s="10" t="str">
        <f t="shared" si="1"/>
        <v/>
      </c>
      <c r="J23" s="5" t="s">
        <v>104</v>
      </c>
      <c r="K23" s="45">
        <v>43876</v>
      </c>
      <c r="L23" s="23" t="s">
        <v>25</v>
      </c>
      <c r="M23" s="26">
        <v>0</v>
      </c>
      <c r="N23" s="26">
        <v>9</v>
      </c>
      <c r="O23" s="23">
        <v>4</v>
      </c>
      <c r="P23" s="6" t="str">
        <f>IF(O23=5,M23+1,"0")</f>
        <v>0</v>
      </c>
      <c r="Q23" s="6">
        <f t="shared" si="2"/>
        <v>13</v>
      </c>
      <c r="R23" s="6" t="str">
        <f>IF(LEFT(J23,4)="NFMC",IFERROR(IF(MOD(Table6[[#This Row],[PAP]],15)+Table6[[#This Row],[RATING]]&gt;=15,"CUP",""),""),IFERROR(IF(MOD(Table6[[#This Row],[CCS]],2),"Cert","Medal"),""))</f>
        <v/>
      </c>
      <c r="S23" s="2">
        <v>1</v>
      </c>
      <c r="T23" s="2" t="s">
        <v>130</v>
      </c>
      <c r="U23" s="2" t="str">
        <f>IF(Table6[[#This Row],[Event]]="Hymn",LEFT(Table6[[#This Row],[Phone Number]],8)&amp;"5481","")</f>
        <v/>
      </c>
      <c r="V23" s="2" t="s">
        <v>147</v>
      </c>
      <c r="W23" s="2" t="str">
        <f>IF(Table6[[#This Row],[Switch to Virtual?]]="YES","Physical","Virtual")</f>
        <v>Physical</v>
      </c>
      <c r="X23" s="2" t="s">
        <v>182</v>
      </c>
      <c r="Y23" s="2" t="s">
        <v>147</v>
      </c>
      <c r="Z23" s="2" t="s">
        <v>147</v>
      </c>
      <c r="AA23" s="2" t="s">
        <v>147</v>
      </c>
      <c r="AB23" s="2" t="s">
        <v>98</v>
      </c>
      <c r="AC23" s="2"/>
      <c r="AD23" s="2"/>
      <c r="AE23" s="49" t="s">
        <v>183</v>
      </c>
    </row>
    <row r="24" spans="1:31" x14ac:dyDescent="0.25">
      <c r="A24" t="str">
        <f>Table6[[#This Row],[First Name]]&amp;", "&amp;S24</f>
        <v>John, T</v>
      </c>
      <c r="B24" s="3" t="s">
        <v>27</v>
      </c>
      <c r="C24" s="3" t="s">
        <v>28</v>
      </c>
      <c r="D24" s="3" t="s">
        <v>23</v>
      </c>
      <c r="E24" s="3" t="s">
        <v>24</v>
      </c>
      <c r="F24" s="29">
        <v>37561</v>
      </c>
      <c r="G24" s="4">
        <f t="shared" si="0"/>
        <v>17</v>
      </c>
      <c r="H24" s="4" t="s">
        <v>87</v>
      </c>
      <c r="I24" s="10" t="str">
        <f t="shared" si="1"/>
        <v/>
      </c>
      <c r="J24" s="5" t="s">
        <v>120</v>
      </c>
      <c r="K24" s="46">
        <v>43876</v>
      </c>
      <c r="L24" s="6" t="s">
        <v>30</v>
      </c>
      <c r="M24" s="6">
        <v>0</v>
      </c>
      <c r="N24" s="6">
        <v>14</v>
      </c>
      <c r="O24" s="6">
        <v>3</v>
      </c>
      <c r="P24" s="6" t="str">
        <f>IF(O24=5,M24+1,"0")</f>
        <v>0</v>
      </c>
      <c r="Q24" s="6">
        <f t="shared" si="2"/>
        <v>17</v>
      </c>
      <c r="R24" s="6" t="str">
        <f>IF(LEFT(J24,4)="NFMC",IFERROR(IF(MOD(Table6[[#This Row],[PAP]],15)+Table6[[#This Row],[RATING]]&gt;=15,"CUP",""),""),IFERROR(IF(MOD(Table6[[#This Row],[CCS]],2),"Cert","Medal"),""))</f>
        <v>CUP</v>
      </c>
      <c r="S24" s="2" t="s">
        <v>111</v>
      </c>
      <c r="T24" s="2" t="s">
        <v>130</v>
      </c>
      <c r="U24" s="2" t="str">
        <f>IF(Table6[[#This Row],[Event]]="Hymn",LEFT(Table6[[#This Row],[Phone Number]],8)&amp;"5481","")</f>
        <v/>
      </c>
      <c r="V24" s="2" t="s">
        <v>147</v>
      </c>
      <c r="W24" s="2" t="str">
        <f>IF(Table6[[#This Row],[Switch to Virtual?]]="YES","Physical","Virtual")</f>
        <v>Physical</v>
      </c>
      <c r="X24" s="2"/>
      <c r="Y24" s="2"/>
      <c r="Z24" s="2"/>
      <c r="AA24" s="2"/>
      <c r="AB24" s="2"/>
      <c r="AC24" s="2"/>
      <c r="AD24" s="2"/>
      <c r="AE24" s="2"/>
    </row>
    <row r="25" spans="1:31" x14ac:dyDescent="0.25">
      <c r="A25" t="str">
        <f>Table6[[#This Row],[First Name]]&amp;", "&amp;S25</f>
        <v>Joshua, WH</v>
      </c>
      <c r="B25" s="3" t="s">
        <v>31</v>
      </c>
      <c r="C25" s="3" t="s">
        <v>32</v>
      </c>
      <c r="D25" s="3" t="s">
        <v>10</v>
      </c>
      <c r="E25" s="3" t="s">
        <v>24</v>
      </c>
      <c r="F25" s="29">
        <v>39412</v>
      </c>
      <c r="G25" s="4">
        <f t="shared" si="0"/>
        <v>12</v>
      </c>
      <c r="H25" s="4" t="s">
        <v>87</v>
      </c>
      <c r="I25" s="10" t="str">
        <f t="shared" si="1"/>
        <v/>
      </c>
      <c r="J25" s="5" t="s">
        <v>77</v>
      </c>
      <c r="K25" s="45">
        <v>43946</v>
      </c>
      <c r="L25" s="23"/>
      <c r="M25" s="6">
        <v>3</v>
      </c>
      <c r="N25" s="26"/>
      <c r="O25" s="23"/>
      <c r="P25" s="6" t="str">
        <f>IF(O25=5,M25+1,"")</f>
        <v/>
      </c>
      <c r="Q25" s="37">
        <f t="shared" si="2"/>
        <v>0</v>
      </c>
      <c r="R25" s="6" t="str">
        <f>IF(LEFT(J25,4)="NFMC",IFERROR(IF(MOD(Table6[[#This Row],[PAP]],15)+Table6[[#This Row],[RATING]]&gt;=15,"CUP",""),""),IFERROR(IF(MOD(Table6[[#This Row],[CCS]],2),"Cert","Medal"),""))</f>
        <v/>
      </c>
      <c r="S25" s="2" t="s">
        <v>115</v>
      </c>
      <c r="T25" s="2" t="s">
        <v>131</v>
      </c>
      <c r="U25" s="2" t="str">
        <f>IF(Table6[[#This Row],[Event]]="Hymn",LEFT(Table6[[#This Row],[Phone Number]],8)&amp;"5481","")</f>
        <v>225-751-5481</v>
      </c>
      <c r="V25" s="2" t="s">
        <v>148</v>
      </c>
      <c r="W25" s="2" t="str">
        <f>IF(Table6[[#This Row],[Switch to Virtual?]]="YES","Physical","Virtual")</f>
        <v>Virtual</v>
      </c>
      <c r="X25" s="2" t="s">
        <v>182</v>
      </c>
      <c r="Y25" s="2" t="s">
        <v>147</v>
      </c>
      <c r="Z25" s="2" t="s">
        <v>147</v>
      </c>
      <c r="AA25" s="2" t="s">
        <v>147</v>
      </c>
      <c r="AB25" s="2"/>
      <c r="AC25" s="2" t="s">
        <v>98</v>
      </c>
      <c r="AD25" s="2"/>
      <c r="AE25" s="2"/>
    </row>
    <row r="26" spans="1:31" x14ac:dyDescent="0.25">
      <c r="A26" t="str">
        <f>Table6[[#This Row],[First Name]]&amp;", "&amp;S26</f>
        <v>Joshua, D</v>
      </c>
      <c r="B26" s="3" t="s">
        <v>31</v>
      </c>
      <c r="C26" s="3" t="s">
        <v>32</v>
      </c>
      <c r="D26" s="3" t="s">
        <v>76</v>
      </c>
      <c r="E26" s="3" t="s">
        <v>24</v>
      </c>
      <c r="F26" s="29">
        <v>39412</v>
      </c>
      <c r="G26" s="4">
        <f t="shared" si="0"/>
        <v>12</v>
      </c>
      <c r="H26" s="4" t="s">
        <v>87</v>
      </c>
      <c r="I26" s="10" t="str">
        <f t="shared" si="1"/>
        <v/>
      </c>
      <c r="J26" s="5" t="s">
        <v>121</v>
      </c>
      <c r="K26" s="46">
        <v>43777</v>
      </c>
      <c r="L26" s="23" t="s">
        <v>25</v>
      </c>
      <c r="M26" s="26">
        <v>2</v>
      </c>
      <c r="N26" s="26">
        <v>10</v>
      </c>
      <c r="O26" s="23">
        <v>5</v>
      </c>
      <c r="P26" s="6">
        <f>IF(O26=5,M26+1,"0")</f>
        <v>3</v>
      </c>
      <c r="Q26" s="37">
        <f t="shared" si="2"/>
        <v>15</v>
      </c>
      <c r="R26" s="6" t="str">
        <f>IF(LEFT(J26,4)="NFMC",IFERROR(IF(MOD(Table6[[#This Row],[PAP]],15)+Table6[[#This Row],[RATING]]&gt;=15,"CUP",""),""),IFERROR(IF(MOD(Table6[[#This Row],[CCS]],2),"Cert","Medal"),""))</f>
        <v>CUP</v>
      </c>
      <c r="S26" s="2" t="s">
        <v>116</v>
      </c>
      <c r="T26" s="2" t="s">
        <v>131</v>
      </c>
      <c r="U26" s="2" t="str">
        <f>IF(Table6[[#This Row],[Event]]="Hymn",LEFT(Table6[[#This Row],[Phone Number]],8)&amp;"5481","")</f>
        <v/>
      </c>
      <c r="V26" s="2" t="s">
        <v>148</v>
      </c>
      <c r="W26" s="2" t="str">
        <f>IF(Table6[[#This Row],[Switch to Virtual?]]="YES","Physical","Virtual")</f>
        <v>Virtual</v>
      </c>
      <c r="X26" s="2"/>
      <c r="Y26" s="2"/>
      <c r="Z26" s="2"/>
      <c r="AA26" s="2"/>
      <c r="AB26" s="2"/>
      <c r="AC26" s="2"/>
      <c r="AD26" s="2"/>
      <c r="AE26" s="2"/>
    </row>
    <row r="27" spans="1:31" x14ac:dyDescent="0.25">
      <c r="A27" t="str">
        <f>Table6[[#This Row],[First Name]]&amp;", "&amp;S27</f>
        <v>Joshua, H</v>
      </c>
      <c r="B27" s="17" t="s">
        <v>31</v>
      </c>
      <c r="C27" s="17" t="s">
        <v>32</v>
      </c>
      <c r="D27" s="17" t="s">
        <v>10</v>
      </c>
      <c r="E27" s="17" t="s">
        <v>24</v>
      </c>
      <c r="F27" s="30">
        <v>39412</v>
      </c>
      <c r="G27" s="18">
        <f t="shared" si="0"/>
        <v>12</v>
      </c>
      <c r="H27" s="18" t="s">
        <v>87</v>
      </c>
      <c r="I27" s="10" t="str">
        <f t="shared" si="1"/>
        <v/>
      </c>
      <c r="J27" s="5" t="s">
        <v>105</v>
      </c>
      <c r="K27" s="45">
        <v>43876</v>
      </c>
      <c r="L27" s="24" t="s">
        <v>79</v>
      </c>
      <c r="M27" s="27">
        <v>3</v>
      </c>
      <c r="N27" s="27">
        <v>15</v>
      </c>
      <c r="O27" s="24">
        <v>5</v>
      </c>
      <c r="P27" s="20">
        <f>IF(O27=5,M27+1,"0")</f>
        <v>4</v>
      </c>
      <c r="Q27" s="20">
        <f t="shared" si="2"/>
        <v>20</v>
      </c>
      <c r="R27" s="6" t="str">
        <f>IF(LEFT(J27,4)="NFMC",IFERROR(IF(MOD(Table6[[#This Row],[PAP]],15)+Table6[[#This Row],[RATING]]&gt;=15,"CUP",""),""),IFERROR(IF(MOD(Table6[[#This Row],[CCS]],2),"Cert","Medal"),""))</f>
        <v/>
      </c>
      <c r="S27" s="39" t="s">
        <v>106</v>
      </c>
      <c r="T27" s="2" t="s">
        <v>131</v>
      </c>
      <c r="U27" s="2" t="str">
        <f>IF(Table6[[#This Row],[Event]]="Hymn",LEFT(Table6[[#This Row],[Phone Number]],8)&amp;"5481","")</f>
        <v/>
      </c>
      <c r="V27" s="2" t="s">
        <v>148</v>
      </c>
      <c r="W27" s="2" t="str">
        <f>IF(Table6[[#This Row],[Switch to Virtual?]]="YES","Physical","Virtual")</f>
        <v>Virtual</v>
      </c>
      <c r="X27" s="2"/>
      <c r="Y27" s="2"/>
      <c r="Z27" s="2"/>
      <c r="AA27" s="2"/>
      <c r="AB27" s="2"/>
      <c r="AC27" s="2"/>
      <c r="AD27" s="2"/>
      <c r="AE27" s="2"/>
    </row>
    <row r="28" spans="1:31" x14ac:dyDescent="0.25">
      <c r="A28" t="str">
        <f>Table6[[#This Row],[First Name]]&amp;", "&amp;S28</f>
        <v>Joshua, 1</v>
      </c>
      <c r="B28" s="17" t="s">
        <v>31</v>
      </c>
      <c r="C28" s="17" t="s">
        <v>32</v>
      </c>
      <c r="D28" s="17" t="s">
        <v>10</v>
      </c>
      <c r="E28" s="17" t="s">
        <v>24</v>
      </c>
      <c r="F28" s="30">
        <v>39412</v>
      </c>
      <c r="G28" s="18">
        <f t="shared" si="0"/>
        <v>12</v>
      </c>
      <c r="H28" s="18" t="s">
        <v>87</v>
      </c>
      <c r="I28" s="10" t="str">
        <f t="shared" si="1"/>
        <v/>
      </c>
      <c r="J28" s="19" t="s">
        <v>103</v>
      </c>
      <c r="K28" s="46">
        <v>43876</v>
      </c>
      <c r="L28" s="24" t="s">
        <v>29</v>
      </c>
      <c r="M28" s="27">
        <v>3</v>
      </c>
      <c r="N28" s="27">
        <v>15</v>
      </c>
      <c r="O28" s="24">
        <v>5</v>
      </c>
      <c r="P28" s="20">
        <f>IF(O28=5,M28+1,"0")</f>
        <v>4</v>
      </c>
      <c r="Q28" s="20">
        <f t="shared" si="2"/>
        <v>20</v>
      </c>
      <c r="R28" s="6" t="str">
        <f>IF(LEFT(J28,4)="NFMC",IFERROR(IF(MOD(Table6[[#This Row],[PAP]],15)+Table6[[#This Row],[RATING]]&gt;=15,"CUP",""),""),IFERROR(IF(MOD(Table6[[#This Row],[CCS]],2),"Cert","Medal"),""))</f>
        <v/>
      </c>
      <c r="S28" s="2">
        <v>1</v>
      </c>
      <c r="T28" s="2" t="s">
        <v>131</v>
      </c>
      <c r="U28" s="2" t="str">
        <f>IF(Table6[[#This Row],[Event]]="Hymn",LEFT(Table6[[#This Row],[Phone Number]],8)&amp;"5481","")</f>
        <v/>
      </c>
      <c r="V28" s="2" t="s">
        <v>148</v>
      </c>
      <c r="W28" s="2" t="str">
        <f>IF(Table6[[#This Row],[Switch to Virtual?]]="YES","Physical","Virtual")</f>
        <v>Virtual</v>
      </c>
      <c r="X28" s="2"/>
      <c r="Y28" s="2"/>
      <c r="Z28" s="2"/>
      <c r="AA28" s="2"/>
      <c r="AB28" s="2"/>
      <c r="AC28" s="2"/>
      <c r="AD28" s="2"/>
      <c r="AE28" s="2"/>
    </row>
    <row r="29" spans="1:31" x14ac:dyDescent="0.25">
      <c r="A29" t="str">
        <f>Table6[[#This Row],[First Name]]&amp;", "&amp;S29</f>
        <v>Joshua, T</v>
      </c>
      <c r="B29" s="17" t="s">
        <v>31</v>
      </c>
      <c r="C29" s="17" t="s">
        <v>32</v>
      </c>
      <c r="D29" s="17" t="s">
        <v>10</v>
      </c>
      <c r="E29" s="17" t="s">
        <v>24</v>
      </c>
      <c r="F29" s="30">
        <v>39412</v>
      </c>
      <c r="G29" s="18">
        <f t="shared" si="0"/>
        <v>12</v>
      </c>
      <c r="H29" s="18" t="s">
        <v>87</v>
      </c>
      <c r="I29" s="10" t="str">
        <f t="shared" si="1"/>
        <v/>
      </c>
      <c r="J29" s="19" t="s">
        <v>120</v>
      </c>
      <c r="K29" s="45">
        <v>43876</v>
      </c>
      <c r="L29" s="20" t="s">
        <v>33</v>
      </c>
      <c r="M29" s="20">
        <v>3</v>
      </c>
      <c r="N29" s="20">
        <v>15</v>
      </c>
      <c r="O29" s="20">
        <v>5</v>
      </c>
      <c r="P29" s="20">
        <f>IF(O29=5,M29+1,"0")</f>
        <v>4</v>
      </c>
      <c r="Q29" s="20">
        <f t="shared" si="2"/>
        <v>20</v>
      </c>
      <c r="R29" s="6" t="str">
        <f>IF(LEFT(J29,4)="NFMC",IFERROR(IF(MOD(Table6[[#This Row],[PAP]],15)+Table6[[#This Row],[RATING]]&gt;=15,"CUP",""),""),IFERROR(IF(MOD(Table6[[#This Row],[CCS]],2),"Cert","Medal"),""))</f>
        <v/>
      </c>
      <c r="S29" s="2" t="s">
        <v>111</v>
      </c>
      <c r="T29" s="2" t="s">
        <v>131</v>
      </c>
      <c r="U29" s="2" t="str">
        <f>IF(Table6[[#This Row],[Event]]="Hymn",LEFT(Table6[[#This Row],[Phone Number]],8)&amp;"5481","")</f>
        <v/>
      </c>
      <c r="V29" s="2" t="s">
        <v>148</v>
      </c>
      <c r="W29" s="2" t="str">
        <f>IF(Table6[[#This Row],[Switch to Virtual?]]="YES","Physical","Virtual")</f>
        <v>Virtual</v>
      </c>
      <c r="X29" s="2"/>
      <c r="Y29" s="2"/>
      <c r="Z29" s="2"/>
      <c r="AA29" s="2"/>
      <c r="AB29" s="2"/>
      <c r="AC29" s="2"/>
      <c r="AD29" s="2"/>
      <c r="AE29" s="2"/>
    </row>
    <row r="30" spans="1:31" x14ac:dyDescent="0.25">
      <c r="A30" t="str">
        <f>Table6[[#This Row],[First Name]]&amp;", "&amp;S30</f>
        <v>Joshua, X</v>
      </c>
      <c r="B30" s="3" t="s">
        <v>31</v>
      </c>
      <c r="C30" s="3" t="s">
        <v>32</v>
      </c>
      <c r="D30" s="3" t="s">
        <v>10</v>
      </c>
      <c r="E30" s="3" t="s">
        <v>24</v>
      </c>
      <c r="F30" s="29">
        <v>39412</v>
      </c>
      <c r="G30" s="18">
        <f t="shared" si="0"/>
        <v>12</v>
      </c>
      <c r="H30" s="18" t="s">
        <v>87</v>
      </c>
      <c r="I30" s="10" t="str">
        <f t="shared" si="1"/>
        <v/>
      </c>
      <c r="J30" s="19" t="s">
        <v>107</v>
      </c>
      <c r="K30" s="46">
        <v>43806</v>
      </c>
      <c r="L30" s="23"/>
      <c r="M30" s="6">
        <v>3</v>
      </c>
      <c r="N30" s="26"/>
      <c r="O30" s="6" t="s">
        <v>114</v>
      </c>
      <c r="P30" s="6" t="str">
        <f>IF(O30=5,M30+1,"")</f>
        <v/>
      </c>
      <c r="Q30" s="6" t="str">
        <f t="shared" si="2"/>
        <v/>
      </c>
      <c r="R30" s="6" t="str">
        <f>IF(LEFT(J30,4)="NFMC",IFERROR(IF(MOD(Table6[[#This Row],[PAP]],15)+Table6[[#This Row],[RATING]]&gt;=15,"CUP",""),""),IFERROR(IF(MOD(Table6[[#This Row],[CCS]],2),"Cert","Medal"),""))</f>
        <v/>
      </c>
      <c r="S30" s="2" t="s">
        <v>98</v>
      </c>
      <c r="T30" s="2" t="s">
        <v>131</v>
      </c>
      <c r="U30" s="2" t="str">
        <f>IF(Table6[[#This Row],[Event]]="Hymn",LEFT(Table6[[#This Row],[Phone Number]],8)&amp;"5481","")</f>
        <v/>
      </c>
      <c r="V30" s="2" t="s">
        <v>148</v>
      </c>
      <c r="W30" s="2" t="str">
        <f>IF(Table6[[#This Row],[Switch to Virtual?]]="YES","Physical","Virtual")</f>
        <v>Virtual</v>
      </c>
      <c r="X30" s="2"/>
      <c r="Y30" s="2"/>
      <c r="Z30" s="2"/>
      <c r="AA30" s="2"/>
      <c r="AB30" s="2"/>
      <c r="AC30" s="2"/>
      <c r="AD30" s="2"/>
      <c r="AE30" s="2"/>
    </row>
    <row r="31" spans="1:31" x14ac:dyDescent="0.25">
      <c r="A31" t="str">
        <f>Table6[[#This Row],[First Name]]&amp;", "&amp;S31</f>
        <v xml:space="preserve">Alexander, </v>
      </c>
      <c r="B31" s="3" t="s">
        <v>177</v>
      </c>
      <c r="C31" s="3" t="s">
        <v>178</v>
      </c>
      <c r="D31" s="3" t="s">
        <v>15</v>
      </c>
      <c r="E31" s="3" t="s">
        <v>24</v>
      </c>
      <c r="F31" s="29">
        <v>42044</v>
      </c>
      <c r="G31" s="4">
        <f t="shared" si="0"/>
        <v>5</v>
      </c>
      <c r="H31" s="18" t="s">
        <v>87</v>
      </c>
      <c r="I31" s="10" t="str">
        <f t="shared" si="1"/>
        <v>YES</v>
      </c>
      <c r="J31" s="19"/>
      <c r="K31" s="45"/>
      <c r="L31" s="23"/>
      <c r="M31" s="26"/>
      <c r="N31" s="26"/>
      <c r="O31" s="23"/>
      <c r="P31" s="6" t="str">
        <f>IF(O31=5,M31+1,"")</f>
        <v/>
      </c>
      <c r="Q31" s="6">
        <f t="shared" si="2"/>
        <v>0</v>
      </c>
      <c r="R31" s="37" t="str">
        <f>IF(LEFT(J31,4)="NFMC",IFERROR(IF(MOD(Table6[[#This Row],[PAP]],15)+Table6[[#This Row],[RATING]]&gt;=15,"CUP",""),""),IFERROR(IF(MOD(Table6[[#This Row],[CCS]],2),"Cert","Medal"),""))</f>
        <v/>
      </c>
      <c r="S31" s="39"/>
      <c r="T31" s="39" t="s">
        <v>179</v>
      </c>
      <c r="U31" s="2" t="str">
        <f>IF(Table6[[#This Row],[Event]]="Hymn",LEFT(Table6[[#This Row],[Phone Number]],8)&amp;"5481","")</f>
        <v/>
      </c>
      <c r="V31" s="39" t="s">
        <v>147</v>
      </c>
      <c r="W31" s="74" t="str">
        <f>IF(Table6[[#This Row],[Switch to Virtual?]]="YES","Physical","Virtual")</f>
        <v>Physical</v>
      </c>
      <c r="X31" s="39" t="s">
        <v>182</v>
      </c>
      <c r="Y31" s="39" t="s">
        <v>147</v>
      </c>
      <c r="Z31" s="39" t="s">
        <v>147</v>
      </c>
      <c r="AA31" s="39" t="s">
        <v>147</v>
      </c>
      <c r="AB31" s="39"/>
      <c r="AC31" s="39"/>
      <c r="AD31" s="39" t="s">
        <v>98</v>
      </c>
      <c r="AE31" s="77"/>
    </row>
    <row r="32" spans="1:31" x14ac:dyDescent="0.25">
      <c r="A32" t="str">
        <f>Table6[[#This Row],[First Name]]&amp;", "&amp;S32</f>
        <v>Madelynn, WH</v>
      </c>
      <c r="B32" s="3" t="s">
        <v>34</v>
      </c>
      <c r="C32" s="3" t="s">
        <v>35</v>
      </c>
      <c r="D32" s="3" t="s">
        <v>10</v>
      </c>
      <c r="E32" s="3" t="s">
        <v>24</v>
      </c>
      <c r="F32" s="29">
        <v>38235</v>
      </c>
      <c r="G32" s="4">
        <f t="shared" si="0"/>
        <v>15</v>
      </c>
      <c r="H32" s="41" t="s">
        <v>86</v>
      </c>
      <c r="I32" s="10" t="str">
        <f t="shared" si="1"/>
        <v/>
      </c>
      <c r="J32" s="42" t="s">
        <v>77</v>
      </c>
      <c r="K32" s="46">
        <v>43946</v>
      </c>
      <c r="L32" s="23"/>
      <c r="M32" s="6">
        <v>0</v>
      </c>
      <c r="N32" s="26"/>
      <c r="O32" s="23"/>
      <c r="P32" s="6" t="str">
        <f>IF(O32=5,M32+1,"")</f>
        <v/>
      </c>
      <c r="Q32" s="37">
        <f t="shared" si="2"/>
        <v>0</v>
      </c>
      <c r="R32" s="6" t="str">
        <f>IF(LEFT(J32,4)="NFMC",IFERROR(IF(MOD(Table6[[#This Row],[PAP]],15)+Table6[[#This Row],[RATING]]&gt;=15,"CUP",""),""),IFERROR(IF(MOD(Table6[[#This Row],[CCS]],2),"Cert","Medal"),""))</f>
        <v/>
      </c>
      <c r="S32" s="2" t="s">
        <v>115</v>
      </c>
      <c r="T32" s="2" t="s">
        <v>135</v>
      </c>
      <c r="U32" s="2" t="str">
        <f>IF(Table6[[#This Row],[Event]]="Hymn",LEFT(Table6[[#This Row],[Phone Number]],8)&amp;"5481","")</f>
        <v>225-467-5481</v>
      </c>
      <c r="V32" s="2" t="s">
        <v>147</v>
      </c>
      <c r="W32" s="2" t="str">
        <f>IF(Table6[[#This Row],[Switch to Virtual?]]="YES","Physical","Virtual")</f>
        <v>Physical</v>
      </c>
      <c r="X32" s="2" t="s">
        <v>175</v>
      </c>
      <c r="Y32" s="2" t="s">
        <v>147</v>
      </c>
      <c r="Z32" s="2" t="s">
        <v>147</v>
      </c>
      <c r="AA32" s="2" t="s">
        <v>147</v>
      </c>
      <c r="AB32" s="2" t="s">
        <v>98</v>
      </c>
      <c r="AC32" s="2"/>
      <c r="AD32" s="2"/>
      <c r="AE32" s="2"/>
    </row>
    <row r="33" spans="1:31" x14ac:dyDescent="0.25">
      <c r="A33" t="str">
        <f>Table6[[#This Row],[First Name]]&amp;", "&amp;S33</f>
        <v>Madelynn, T</v>
      </c>
      <c r="B33" s="3" t="s">
        <v>34</v>
      </c>
      <c r="C33" s="3" t="s">
        <v>35</v>
      </c>
      <c r="D33" s="3" t="s">
        <v>36</v>
      </c>
      <c r="E33" s="3" t="s">
        <v>24</v>
      </c>
      <c r="F33" s="29">
        <v>38235</v>
      </c>
      <c r="G33" s="4">
        <f t="shared" si="0"/>
        <v>15</v>
      </c>
      <c r="H33" s="41" t="s">
        <v>86</v>
      </c>
      <c r="I33" s="10" t="str">
        <f t="shared" si="1"/>
        <v/>
      </c>
      <c r="J33" s="42" t="s">
        <v>120</v>
      </c>
      <c r="K33" s="45">
        <v>43876</v>
      </c>
      <c r="L33" s="6" t="s">
        <v>26</v>
      </c>
      <c r="M33" s="6">
        <v>1</v>
      </c>
      <c r="N33" s="6">
        <v>5</v>
      </c>
      <c r="O33" s="6">
        <v>5</v>
      </c>
      <c r="P33" s="6">
        <f>IF(O33=5,M33+1,"0")</f>
        <v>2</v>
      </c>
      <c r="Q33" s="6">
        <f t="shared" si="2"/>
        <v>10</v>
      </c>
      <c r="R33" s="6" t="str">
        <f>IF(LEFT(J33,4)="NFMC",IFERROR(IF(MOD(Table6[[#This Row],[PAP]],15)+Table6[[#This Row],[RATING]]&gt;=15,"CUP",""),""),IFERROR(IF(MOD(Table6[[#This Row],[CCS]],2),"Cert","Medal"),""))</f>
        <v/>
      </c>
      <c r="S33" s="2" t="s">
        <v>111</v>
      </c>
      <c r="T33" s="2" t="s">
        <v>135</v>
      </c>
      <c r="U33" s="2" t="str">
        <f>IF(Table6[[#This Row],[Event]]="Hymn",LEFT(Table6[[#This Row],[Phone Number]],8)&amp;"5481","")</f>
        <v/>
      </c>
      <c r="V33" s="2" t="s">
        <v>147</v>
      </c>
      <c r="W33" s="2" t="str">
        <f>IF(Table6[[#This Row],[Switch to Virtual?]]="YES","Physical","Virtual")</f>
        <v>Physical</v>
      </c>
      <c r="X33" s="2"/>
      <c r="Y33" s="2"/>
      <c r="Z33" s="2"/>
      <c r="AA33" s="2"/>
      <c r="AB33" s="2"/>
      <c r="AC33" s="2"/>
      <c r="AD33" s="2"/>
      <c r="AE33" s="49"/>
    </row>
    <row r="34" spans="1:31" x14ac:dyDescent="0.25">
      <c r="A34" t="str">
        <f>Table6[[#This Row],[First Name]]&amp;", "&amp;S34</f>
        <v>Madelynn, 1</v>
      </c>
      <c r="B34" s="3" t="s">
        <v>34</v>
      </c>
      <c r="C34" s="3" t="s">
        <v>35</v>
      </c>
      <c r="D34" s="3" t="s">
        <v>36</v>
      </c>
      <c r="E34" s="3" t="s">
        <v>24</v>
      </c>
      <c r="F34" s="29">
        <v>38235</v>
      </c>
      <c r="G34" s="4">
        <f t="shared" si="0"/>
        <v>15</v>
      </c>
      <c r="H34" s="18" t="s">
        <v>86</v>
      </c>
      <c r="I34" s="10" t="str">
        <f t="shared" si="1"/>
        <v/>
      </c>
      <c r="J34" s="19" t="s">
        <v>102</v>
      </c>
      <c r="K34" s="47">
        <v>43876</v>
      </c>
      <c r="L34" s="23" t="s">
        <v>37</v>
      </c>
      <c r="M34" s="26">
        <v>1</v>
      </c>
      <c r="N34" s="26">
        <v>5</v>
      </c>
      <c r="O34" s="23">
        <v>5</v>
      </c>
      <c r="P34" s="6">
        <f>IF(O34=5,M34+1,"0")</f>
        <v>2</v>
      </c>
      <c r="Q34" s="6">
        <f t="shared" si="2"/>
        <v>10</v>
      </c>
      <c r="R34" s="6" t="str">
        <f>IF(LEFT(J34,4)="NFMC",IFERROR(IF(MOD(Table6[[#This Row],[PAP]],15)+Table6[[#This Row],[RATING]]&gt;=15,"CUP",""),""),IFERROR(IF(MOD(Table6[[#This Row],[CCS]],2),"Cert","Medal"),""))</f>
        <v/>
      </c>
      <c r="S34" s="2">
        <v>1</v>
      </c>
      <c r="T34" s="2" t="s">
        <v>135</v>
      </c>
      <c r="U34" s="2" t="str">
        <f>IF(Table6[[#This Row],[Event]]="Hymn",LEFT(Table6[[#This Row],[Phone Number]],8)&amp;"5481","")</f>
        <v/>
      </c>
      <c r="V34" s="2" t="s">
        <v>147</v>
      </c>
      <c r="W34" s="2" t="str">
        <f>IF(Table6[[#This Row],[Switch to Virtual?]]="YES","Physical","Virtual")</f>
        <v>Physical</v>
      </c>
      <c r="X34" s="2"/>
      <c r="Y34" s="2"/>
      <c r="Z34" s="2"/>
      <c r="AA34" s="2"/>
      <c r="AB34" s="2"/>
      <c r="AC34" s="2"/>
      <c r="AD34" s="2"/>
      <c r="AE34" s="49"/>
    </row>
    <row r="35" spans="1:31" x14ac:dyDescent="0.25">
      <c r="A35" t="str">
        <f>Table6[[#This Row],[First Name]]&amp;", "&amp;S35</f>
        <v>Victoria, WH</v>
      </c>
      <c r="B35" s="3" t="s">
        <v>38</v>
      </c>
      <c r="C35" s="3" t="s">
        <v>39</v>
      </c>
      <c r="D35" s="3" t="s">
        <v>10</v>
      </c>
      <c r="E35" s="3" t="s">
        <v>24</v>
      </c>
      <c r="F35" s="29">
        <v>39957</v>
      </c>
      <c r="G35" s="4">
        <f t="shared" si="0"/>
        <v>10</v>
      </c>
      <c r="H35" s="41" t="s">
        <v>86</v>
      </c>
      <c r="I35" s="10" t="str">
        <f t="shared" si="1"/>
        <v/>
      </c>
      <c r="J35" s="42" t="s">
        <v>77</v>
      </c>
      <c r="K35" s="47">
        <v>43946</v>
      </c>
      <c r="L35" s="23"/>
      <c r="M35" s="6">
        <v>3</v>
      </c>
      <c r="N35" s="26"/>
      <c r="O35" s="23"/>
      <c r="P35" s="6" t="str">
        <f>IF(O35=5,M35+1,"")</f>
        <v/>
      </c>
      <c r="Q35" s="37">
        <f t="shared" si="2"/>
        <v>0</v>
      </c>
      <c r="R35" s="6" t="str">
        <f>IF(LEFT(J35,4)="NFMC",IFERROR(IF(MOD(Table6[[#This Row],[PAP]],15)+Table6[[#This Row],[RATING]]&gt;=15,"CUP",""),""),IFERROR(IF(MOD(Table6[[#This Row],[CCS]],2),"Cert","Medal"),""))</f>
        <v/>
      </c>
      <c r="S35" s="2" t="s">
        <v>115</v>
      </c>
      <c r="T35" s="2" t="s">
        <v>141</v>
      </c>
      <c r="U35" s="2" t="str">
        <f>IF(Table6[[#This Row],[Event]]="Hymn",LEFT(Table6[[#This Row],[Phone Number]],8)&amp;"5481","")</f>
        <v>225-740-5481</v>
      </c>
      <c r="V35" s="2" t="s">
        <v>147</v>
      </c>
      <c r="W35" s="2" t="str">
        <f>IF(Table6[[#This Row],[Switch to Virtual?]]="YES","Physical","Virtual")</f>
        <v>Physical</v>
      </c>
      <c r="X35" s="2" t="s">
        <v>182</v>
      </c>
      <c r="Y35" s="2" t="s">
        <v>147</v>
      </c>
      <c r="Z35" s="2" t="s">
        <v>147</v>
      </c>
      <c r="AA35" s="2" t="s">
        <v>147</v>
      </c>
      <c r="AB35" s="2" t="s">
        <v>98</v>
      </c>
      <c r="AC35" s="2"/>
      <c r="AD35" s="2"/>
      <c r="AE35" s="49"/>
    </row>
    <row r="36" spans="1:31" x14ac:dyDescent="0.25">
      <c r="A36" t="str">
        <f>Table6[[#This Row],[First Name]]&amp;", "&amp;S36</f>
        <v>Victoria, D</v>
      </c>
      <c r="B36" s="16" t="s">
        <v>38</v>
      </c>
      <c r="C36" s="16" t="s">
        <v>39</v>
      </c>
      <c r="D36" s="16" t="s">
        <v>76</v>
      </c>
      <c r="E36" s="16" t="s">
        <v>24</v>
      </c>
      <c r="F36" s="29">
        <v>39957</v>
      </c>
      <c r="G36" s="4">
        <f t="shared" si="0"/>
        <v>10</v>
      </c>
      <c r="H36" s="41" t="s">
        <v>86</v>
      </c>
      <c r="I36" s="10" t="str">
        <f t="shared" si="1"/>
        <v/>
      </c>
      <c r="J36" s="42" t="s">
        <v>121</v>
      </c>
      <c r="K36" s="48">
        <v>43777</v>
      </c>
      <c r="L36" s="23" t="s">
        <v>25</v>
      </c>
      <c r="M36" s="26">
        <v>2</v>
      </c>
      <c r="N36" s="26">
        <v>10</v>
      </c>
      <c r="O36" s="23">
        <v>5</v>
      </c>
      <c r="P36" s="6">
        <f>IF(O36=5,M36+1,"0")</f>
        <v>3</v>
      </c>
      <c r="Q36" s="37">
        <f t="shared" si="2"/>
        <v>15</v>
      </c>
      <c r="R36" s="6" t="str">
        <f>IF(LEFT(J36,4)="NFMC",IFERROR(IF(MOD(Table6[[#This Row],[PAP]],15)+Table6[[#This Row],[RATING]]&gt;=15,"CUP",""),""),IFERROR(IF(MOD(Table6[[#This Row],[CCS]],2),"Cert","Medal"),""))</f>
        <v>CUP</v>
      </c>
      <c r="S36" s="39" t="s">
        <v>116</v>
      </c>
      <c r="T36" s="2" t="s">
        <v>141</v>
      </c>
      <c r="U36" s="2" t="str">
        <f>IF(Table6[[#This Row],[Event]]="Hymn",LEFT(Table6[[#This Row],[Phone Number]],8)&amp;"5481","")</f>
        <v/>
      </c>
      <c r="V36" s="2" t="s">
        <v>147</v>
      </c>
      <c r="W36" s="2" t="str">
        <f>IF(Table6[[#This Row],[Switch to Virtual?]]="YES","Physical","Virtual")</f>
        <v>Physical</v>
      </c>
      <c r="X36" s="2"/>
      <c r="Y36" s="2"/>
      <c r="Z36" s="2"/>
      <c r="AA36" s="2"/>
      <c r="AB36" s="2"/>
      <c r="AC36" s="2"/>
      <c r="AD36" s="2"/>
      <c r="AE36" s="49"/>
    </row>
    <row r="37" spans="1:31" x14ac:dyDescent="0.25">
      <c r="A37" t="str">
        <f>Table6[[#This Row],[First Name]]&amp;", "&amp;S37</f>
        <v>Victoria, H</v>
      </c>
      <c r="B37" s="3" t="s">
        <v>38</v>
      </c>
      <c r="C37" s="3" t="s">
        <v>39</v>
      </c>
      <c r="D37" s="3" t="s">
        <v>10</v>
      </c>
      <c r="E37" s="3" t="s">
        <v>24</v>
      </c>
      <c r="F37" s="29">
        <v>39957</v>
      </c>
      <c r="G37" s="4">
        <f t="shared" si="0"/>
        <v>10</v>
      </c>
      <c r="H37" s="41" t="s">
        <v>86</v>
      </c>
      <c r="I37" s="10" t="str">
        <f t="shared" si="1"/>
        <v/>
      </c>
      <c r="J37" s="42" t="s">
        <v>105</v>
      </c>
      <c r="K37" s="47">
        <v>43876</v>
      </c>
      <c r="L37" s="23" t="s">
        <v>78</v>
      </c>
      <c r="M37" s="26">
        <v>2</v>
      </c>
      <c r="N37" s="26">
        <v>10</v>
      </c>
      <c r="O37" s="23">
        <v>5</v>
      </c>
      <c r="P37" s="6">
        <f>IF(O37=5,M37+1,"0")</f>
        <v>3</v>
      </c>
      <c r="Q37" s="6">
        <f t="shared" si="2"/>
        <v>15</v>
      </c>
      <c r="R37" s="6" t="str">
        <f>IF(LEFT(J37,4)="NFMC",IFERROR(IF(MOD(Table6[[#This Row],[PAP]],15)+Table6[[#This Row],[RATING]]&gt;=15,"CUP",""),""),IFERROR(IF(MOD(Table6[[#This Row],[CCS]],2),"Cert","Medal"),""))</f>
        <v>CUP</v>
      </c>
      <c r="S37" s="2" t="s">
        <v>106</v>
      </c>
      <c r="T37" s="2" t="s">
        <v>141</v>
      </c>
      <c r="U37" s="2" t="str">
        <f>IF(Table6[[#This Row],[Event]]="Hymn",LEFT(Table6[[#This Row],[Phone Number]],8)&amp;"5481","")</f>
        <v/>
      </c>
      <c r="V37" s="2" t="s">
        <v>147</v>
      </c>
      <c r="W37" s="2" t="str">
        <f>IF(Table6[[#This Row],[Switch to Virtual?]]="YES","Physical","Virtual")</f>
        <v>Physical</v>
      </c>
      <c r="X37" s="2"/>
      <c r="Y37" s="2"/>
      <c r="Z37" s="2"/>
      <c r="AA37" s="2"/>
      <c r="AB37" s="2"/>
      <c r="AC37" s="2"/>
      <c r="AD37" s="2"/>
      <c r="AE37" s="49"/>
    </row>
    <row r="38" spans="1:31" x14ac:dyDescent="0.25">
      <c r="A38" t="str">
        <f>Table6[[#This Row],[First Name]]&amp;", "&amp;S38</f>
        <v>Victoria, 1</v>
      </c>
      <c r="B38" s="3" t="s">
        <v>38</v>
      </c>
      <c r="C38" s="3" t="s">
        <v>39</v>
      </c>
      <c r="D38" s="3" t="s">
        <v>10</v>
      </c>
      <c r="E38" s="3" t="s">
        <v>24</v>
      </c>
      <c r="F38" s="29">
        <v>39957</v>
      </c>
      <c r="G38" s="4">
        <f t="shared" si="0"/>
        <v>10</v>
      </c>
      <c r="H38" s="41" t="s">
        <v>86</v>
      </c>
      <c r="I38" s="10" t="str">
        <f t="shared" si="1"/>
        <v/>
      </c>
      <c r="J38" s="42" t="s">
        <v>103</v>
      </c>
      <c r="K38" s="48">
        <v>43876</v>
      </c>
      <c r="L38" s="23" t="s">
        <v>25</v>
      </c>
      <c r="M38" s="26">
        <v>3</v>
      </c>
      <c r="N38" s="26">
        <v>15</v>
      </c>
      <c r="O38" s="23">
        <v>5</v>
      </c>
      <c r="P38" s="6">
        <f>IF(O38=5,M38+1,"0")</f>
        <v>4</v>
      </c>
      <c r="Q38" s="6">
        <f t="shared" si="2"/>
        <v>20</v>
      </c>
      <c r="R38" s="6" t="str">
        <f>IF(LEFT(J38,4)="NFMC",IFERROR(IF(MOD(Table6[[#This Row],[PAP]],15)+Table6[[#This Row],[RATING]]&gt;=15,"CUP",""),""),IFERROR(IF(MOD(Table6[[#This Row],[CCS]],2),"Cert","Medal"),""))</f>
        <v/>
      </c>
      <c r="S38" s="2">
        <v>1</v>
      </c>
      <c r="T38" s="2" t="s">
        <v>141</v>
      </c>
      <c r="U38" s="2" t="str">
        <f>IF(Table6[[#This Row],[Event]]="Hymn",LEFT(Table6[[#This Row],[Phone Number]],8)&amp;"5481","")</f>
        <v/>
      </c>
      <c r="V38" s="2" t="s">
        <v>147</v>
      </c>
      <c r="W38" s="2" t="str">
        <f>IF(Table6[[#This Row],[Switch to Virtual?]]="YES","Physical","Virtual")</f>
        <v>Physical</v>
      </c>
      <c r="X38" s="2"/>
      <c r="Y38" s="2"/>
      <c r="Z38" s="2"/>
      <c r="AA38" s="2"/>
      <c r="AB38" s="2"/>
      <c r="AC38" s="2"/>
      <c r="AD38" s="2"/>
      <c r="AE38" s="49"/>
    </row>
    <row r="39" spans="1:31" x14ac:dyDescent="0.25">
      <c r="A39" t="str">
        <f>Table6[[#This Row],[First Name]]&amp;", "&amp;S39</f>
        <v>Victoria, T</v>
      </c>
      <c r="B39" s="3" t="s">
        <v>38</v>
      </c>
      <c r="C39" s="3" t="s">
        <v>39</v>
      </c>
      <c r="D39" s="3" t="s">
        <v>10</v>
      </c>
      <c r="E39" s="3" t="s">
        <v>24</v>
      </c>
      <c r="F39" s="29">
        <v>39957</v>
      </c>
      <c r="G39" s="4">
        <f t="shared" si="0"/>
        <v>10</v>
      </c>
      <c r="H39" s="18" t="s">
        <v>86</v>
      </c>
      <c r="I39" s="10" t="str">
        <f t="shared" si="1"/>
        <v/>
      </c>
      <c r="J39" s="19" t="s">
        <v>120</v>
      </c>
      <c r="K39" s="47">
        <v>43876</v>
      </c>
      <c r="L39" s="6" t="s">
        <v>33</v>
      </c>
      <c r="M39" s="6">
        <v>3</v>
      </c>
      <c r="N39" s="6">
        <v>15</v>
      </c>
      <c r="O39" s="6">
        <v>5</v>
      </c>
      <c r="P39" s="6">
        <f>IF(O39=5,M39+1,"0")</f>
        <v>4</v>
      </c>
      <c r="Q39" s="6">
        <f t="shared" si="2"/>
        <v>20</v>
      </c>
      <c r="R39" s="6" t="str">
        <f>IF(LEFT(J39,4)="NFMC",IFERROR(IF(MOD(Table6[[#This Row],[PAP]],15)+Table6[[#This Row],[RATING]]&gt;=15,"CUP",""),""),IFERROR(IF(MOD(Table6[[#This Row],[CCS]],2),"Cert","Medal"),""))</f>
        <v/>
      </c>
      <c r="S39" s="2" t="s">
        <v>111</v>
      </c>
      <c r="T39" s="2" t="s">
        <v>141</v>
      </c>
      <c r="U39" s="2" t="str">
        <f>IF(Table6[[#This Row],[Event]]="Hymn",LEFT(Table6[[#This Row],[Phone Number]],8)&amp;"5481","")</f>
        <v/>
      </c>
      <c r="V39" s="2" t="s">
        <v>147</v>
      </c>
      <c r="W39" s="2" t="str">
        <f>IF(Table6[[#This Row],[Switch to Virtual?]]="YES","Physical","Virtual")</f>
        <v>Physical</v>
      </c>
      <c r="X39" s="2"/>
      <c r="Y39" s="2"/>
      <c r="Z39" s="2"/>
      <c r="AA39" s="2"/>
      <c r="AB39" s="2"/>
      <c r="AC39" s="2"/>
      <c r="AD39" s="2"/>
      <c r="AE39" s="49"/>
    </row>
    <row r="40" spans="1:31" x14ac:dyDescent="0.25">
      <c r="A40" t="str">
        <f>Table6[[#This Row],[First Name]]&amp;", "&amp;S40</f>
        <v>Victoria, 2</v>
      </c>
      <c r="B40" s="3" t="s">
        <v>38</v>
      </c>
      <c r="C40" s="3" t="s">
        <v>39</v>
      </c>
      <c r="D40" s="3" t="s">
        <v>36</v>
      </c>
      <c r="E40" s="3" t="s">
        <v>24</v>
      </c>
      <c r="F40" s="29">
        <v>39957</v>
      </c>
      <c r="G40" s="4">
        <f t="shared" ref="G40:G71" si="3">DATEDIF(F40,$E$1,"Y")</f>
        <v>10</v>
      </c>
      <c r="H40" s="41" t="s">
        <v>86</v>
      </c>
      <c r="I40" s="10" t="str">
        <f t="shared" ref="I40:I71" si="4">IF(G40&lt;9,"YES","")</f>
        <v/>
      </c>
      <c r="J40" s="42" t="s">
        <v>102</v>
      </c>
      <c r="K40" s="48">
        <v>43876</v>
      </c>
      <c r="L40" s="23" t="s">
        <v>29</v>
      </c>
      <c r="M40" s="26">
        <v>1</v>
      </c>
      <c r="N40" s="26">
        <v>5</v>
      </c>
      <c r="O40" s="23">
        <v>5</v>
      </c>
      <c r="P40" s="6">
        <f>IF(O40=5,M40+1,"0")</f>
        <v>2</v>
      </c>
      <c r="Q40" s="6">
        <f t="shared" ref="Q40:Q71" si="5">IFERROR(N40+O40,"")</f>
        <v>10</v>
      </c>
      <c r="R40" s="6" t="str">
        <f>IF(LEFT(J40,4)="NFMC",IFERROR(IF(MOD(Table6[[#This Row],[PAP]],15)+Table6[[#This Row],[RATING]]&gt;=15,"CUP",""),""),IFERROR(IF(MOD(Table6[[#This Row],[CCS]],2),"Cert","Medal"),""))</f>
        <v/>
      </c>
      <c r="S40" s="2">
        <v>2</v>
      </c>
      <c r="T40" s="2" t="s">
        <v>141</v>
      </c>
      <c r="U40" s="2" t="str">
        <f>IF(Table6[[#This Row],[Event]]="Hymn",LEFT(Table6[[#This Row],[Phone Number]],8)&amp;"5481","")</f>
        <v/>
      </c>
      <c r="V40" s="2" t="s">
        <v>147</v>
      </c>
      <c r="W40" s="2" t="str">
        <f>IF(Table6[[#This Row],[Switch to Virtual?]]="YES","Physical","Virtual")</f>
        <v>Physical</v>
      </c>
      <c r="X40" s="2"/>
      <c r="Y40" s="2"/>
      <c r="Z40" s="2"/>
      <c r="AA40" s="2"/>
      <c r="AB40" s="2"/>
      <c r="AC40" s="2"/>
      <c r="AD40" s="2"/>
      <c r="AE40" s="49"/>
    </row>
    <row r="41" spans="1:31" x14ac:dyDescent="0.25">
      <c r="A41" t="str">
        <f>Table6[[#This Row],[First Name]]&amp;", "&amp;S41</f>
        <v>Victoria, X</v>
      </c>
      <c r="B41" s="3" t="s">
        <v>38</v>
      </c>
      <c r="C41" s="3" t="s">
        <v>39</v>
      </c>
      <c r="D41" s="3" t="s">
        <v>10</v>
      </c>
      <c r="E41" s="3" t="s">
        <v>24</v>
      </c>
      <c r="F41" s="29">
        <v>39957</v>
      </c>
      <c r="G41" s="4">
        <f t="shared" si="3"/>
        <v>10</v>
      </c>
      <c r="H41" s="41" t="s">
        <v>86</v>
      </c>
      <c r="I41" s="10" t="str">
        <f t="shared" si="4"/>
        <v/>
      </c>
      <c r="J41" s="42" t="s">
        <v>107</v>
      </c>
      <c r="K41" s="47">
        <v>43806</v>
      </c>
      <c r="L41" s="23"/>
      <c r="M41" s="6">
        <v>3</v>
      </c>
      <c r="N41" s="26"/>
      <c r="O41" s="6">
        <v>5</v>
      </c>
      <c r="P41" s="6">
        <f>IF(O41=5,M41+1,"")</f>
        <v>4</v>
      </c>
      <c r="Q41" s="6">
        <f t="shared" si="5"/>
        <v>5</v>
      </c>
      <c r="R41" s="6" t="str">
        <f>IF(LEFT(J41,4)="NFMC",IFERROR(IF(MOD(Table6[[#This Row],[PAP]],15)+Table6[[#This Row],[RATING]]&gt;=15,"CUP",""),""),IFERROR(IF(MOD(Table6[[#This Row],[CCS]],2),"Cert","Medal"),""))</f>
        <v>Medal</v>
      </c>
      <c r="S41" s="2" t="s">
        <v>98</v>
      </c>
      <c r="T41" s="2" t="s">
        <v>141</v>
      </c>
      <c r="U41" s="2" t="str">
        <f>IF(Table6[[#This Row],[Event]]="Hymn",LEFT(Table6[[#This Row],[Phone Number]],8)&amp;"5481","")</f>
        <v/>
      </c>
      <c r="V41" s="2" t="s">
        <v>147</v>
      </c>
      <c r="W41" s="2" t="str">
        <f>IF(Table6[[#This Row],[Switch to Virtual?]]="YES","Physical","Virtual")</f>
        <v>Physical</v>
      </c>
      <c r="X41" s="2"/>
      <c r="Y41" s="2"/>
      <c r="Z41" s="2"/>
      <c r="AA41" s="2"/>
      <c r="AB41" s="2"/>
      <c r="AC41" s="2"/>
      <c r="AD41" s="2"/>
      <c r="AE41" s="49"/>
    </row>
    <row r="42" spans="1:31" x14ac:dyDescent="0.25">
      <c r="A42" t="str">
        <f>Table6[[#This Row],[First Name]]&amp;", "&amp;S42</f>
        <v>Isabella, WH</v>
      </c>
      <c r="B42" s="3" t="s">
        <v>40</v>
      </c>
      <c r="C42" s="3" t="s">
        <v>41</v>
      </c>
      <c r="D42" s="3" t="s">
        <v>36</v>
      </c>
      <c r="E42" s="3" t="s">
        <v>24</v>
      </c>
      <c r="F42" s="29">
        <v>37970</v>
      </c>
      <c r="G42" s="4">
        <f t="shared" si="3"/>
        <v>16</v>
      </c>
      <c r="H42" s="41" t="s">
        <v>86</v>
      </c>
      <c r="I42" s="10" t="str">
        <f t="shared" si="4"/>
        <v/>
      </c>
      <c r="J42" s="42" t="s">
        <v>77</v>
      </c>
      <c r="K42" s="47">
        <v>43946</v>
      </c>
      <c r="L42" s="23"/>
      <c r="M42" s="6">
        <v>0</v>
      </c>
      <c r="N42" s="26"/>
      <c r="O42" s="23"/>
      <c r="P42" s="6" t="str">
        <f>IF(O42=5,M42+1,"")</f>
        <v/>
      </c>
      <c r="Q42" s="37">
        <f t="shared" si="5"/>
        <v>0</v>
      </c>
      <c r="R42" s="6" t="str">
        <f>IF(LEFT(J42,4)="NFMC",IFERROR(IF(MOD(Table6[[#This Row],[PAP]],15)+Table6[[#This Row],[RATING]]&gt;=15,"CUP",""),""),IFERROR(IF(MOD(Table6[[#This Row],[CCS]],2),"Cert","Medal"),""))</f>
        <v/>
      </c>
      <c r="S42" s="2" t="s">
        <v>115</v>
      </c>
      <c r="T42" s="2" t="s">
        <v>129</v>
      </c>
      <c r="U42" s="2" t="str">
        <f>IF(Table6[[#This Row],[Event]]="Hymn",LEFT(Table6[[#This Row],[Phone Number]],8)&amp;"5481","")</f>
        <v>225-744-5481</v>
      </c>
      <c r="V42" s="2" t="s">
        <v>147</v>
      </c>
      <c r="W42" s="2" t="str">
        <f>IF(Table6[[#This Row],[Switch to Virtual?]]="YES","Physical","Virtual")</f>
        <v>Physical</v>
      </c>
      <c r="X42" s="2" t="s">
        <v>182</v>
      </c>
      <c r="Y42" s="2" t="s">
        <v>147</v>
      </c>
      <c r="Z42" s="2" t="s">
        <v>147</v>
      </c>
      <c r="AA42" s="2" t="s">
        <v>147</v>
      </c>
      <c r="AB42" s="2" t="s">
        <v>98</v>
      </c>
      <c r="AC42" s="2"/>
      <c r="AD42" s="2"/>
      <c r="AE42" s="2"/>
    </row>
    <row r="43" spans="1:31" x14ac:dyDescent="0.25">
      <c r="A43" t="str">
        <f>Table6[[#This Row],[First Name]]&amp;", "&amp;S43</f>
        <v>Isabella, T</v>
      </c>
      <c r="B43" s="3" t="s">
        <v>40</v>
      </c>
      <c r="C43" s="3" t="s">
        <v>41</v>
      </c>
      <c r="D43" s="3" t="s">
        <v>36</v>
      </c>
      <c r="E43" s="3" t="s">
        <v>24</v>
      </c>
      <c r="F43" s="29">
        <v>37970</v>
      </c>
      <c r="G43" s="4">
        <f t="shared" si="3"/>
        <v>16</v>
      </c>
      <c r="H43" s="41" t="s">
        <v>86</v>
      </c>
      <c r="I43" s="10" t="str">
        <f t="shared" si="4"/>
        <v/>
      </c>
      <c r="J43" s="42" t="s">
        <v>120</v>
      </c>
      <c r="K43" s="48">
        <v>43876</v>
      </c>
      <c r="L43" s="6" t="s">
        <v>43</v>
      </c>
      <c r="M43" s="6">
        <v>1</v>
      </c>
      <c r="N43" s="6">
        <v>5</v>
      </c>
      <c r="O43" s="6">
        <v>5</v>
      </c>
      <c r="P43" s="6">
        <f>IF(O43=5,M43+1,"0")</f>
        <v>2</v>
      </c>
      <c r="Q43" s="6">
        <f t="shared" si="5"/>
        <v>10</v>
      </c>
      <c r="R43" s="6" t="str">
        <f>IF(LEFT(J43,4)="NFMC",IFERROR(IF(MOD(Table6[[#This Row],[PAP]],15)+Table6[[#This Row],[RATING]]&gt;=15,"CUP",""),""),IFERROR(IF(MOD(Table6[[#This Row],[CCS]],2),"Cert","Medal"),""))</f>
        <v/>
      </c>
      <c r="S43" s="2" t="s">
        <v>111</v>
      </c>
      <c r="T43" s="2" t="s">
        <v>129</v>
      </c>
      <c r="U43" s="2" t="str">
        <f>IF(Table6[[#This Row],[Event]]="Hymn",LEFT(Table6[[#This Row],[Phone Number]],8)&amp;"5481","")</f>
        <v/>
      </c>
      <c r="V43" s="2" t="s">
        <v>147</v>
      </c>
      <c r="W43" s="2" t="str">
        <f>IF(Table6[[#This Row],[Switch to Virtual?]]="YES","Physical","Virtual")</f>
        <v>Physical</v>
      </c>
      <c r="X43" s="2"/>
      <c r="Y43" s="2"/>
      <c r="Z43" s="2"/>
      <c r="AA43" s="2"/>
      <c r="AB43" s="2"/>
      <c r="AC43" s="2"/>
      <c r="AD43" s="2"/>
      <c r="AE43" s="2"/>
    </row>
    <row r="44" spans="1:31" x14ac:dyDescent="0.25">
      <c r="A44" t="str">
        <f>Table6[[#This Row],[First Name]]&amp;", "&amp;S44</f>
        <v>Isabella, 1</v>
      </c>
      <c r="B44" s="17" t="s">
        <v>40</v>
      </c>
      <c r="C44" s="17" t="s">
        <v>41</v>
      </c>
      <c r="D44" s="17" t="s">
        <v>36</v>
      </c>
      <c r="E44" s="17" t="s">
        <v>24</v>
      </c>
      <c r="F44" s="30">
        <v>37970</v>
      </c>
      <c r="G44" s="18">
        <f t="shared" si="3"/>
        <v>16</v>
      </c>
      <c r="H44" s="41" t="s">
        <v>86</v>
      </c>
      <c r="I44" s="10" t="str">
        <f t="shared" si="4"/>
        <v/>
      </c>
      <c r="J44" s="42" t="s">
        <v>102</v>
      </c>
      <c r="K44" s="47">
        <v>43876</v>
      </c>
      <c r="L44" s="24" t="s">
        <v>42</v>
      </c>
      <c r="M44" s="26">
        <v>1</v>
      </c>
      <c r="N44" s="27">
        <v>5</v>
      </c>
      <c r="O44" s="23">
        <v>5</v>
      </c>
      <c r="P44" s="6">
        <f>IF(O44=5,M44+1,"0")</f>
        <v>2</v>
      </c>
      <c r="Q44" s="6">
        <f t="shared" si="5"/>
        <v>10</v>
      </c>
      <c r="R44" s="6" t="str">
        <f>IF(LEFT(J44,4)="NFMC",IFERROR(IF(MOD(Table6[[#This Row],[PAP]],15)+Table6[[#This Row],[RATING]]&gt;=15,"CUP",""),""),IFERROR(IF(MOD(Table6[[#This Row],[CCS]],2),"Cert","Medal"),""))</f>
        <v/>
      </c>
      <c r="S44" s="2">
        <v>1</v>
      </c>
      <c r="T44" s="2" t="s">
        <v>129</v>
      </c>
      <c r="U44" s="2" t="str">
        <f>IF(Table6[[#This Row],[Event]]="Hymn",LEFT(Table6[[#This Row],[Phone Number]],8)&amp;"5481","")</f>
        <v/>
      </c>
      <c r="V44" s="2" t="s">
        <v>147</v>
      </c>
      <c r="W44" s="2" t="str">
        <f>IF(Table6[[#This Row],[Switch to Virtual?]]="YES","Physical","Virtual")</f>
        <v>Physical</v>
      </c>
      <c r="X44" s="2"/>
      <c r="Y44" s="2"/>
      <c r="Z44" s="2"/>
      <c r="AA44" s="2"/>
      <c r="AB44" s="2"/>
      <c r="AC44" s="2"/>
      <c r="AD44" s="2"/>
      <c r="AE44" s="2"/>
    </row>
    <row r="45" spans="1:31" x14ac:dyDescent="0.25">
      <c r="A45" t="str">
        <f>Table6[[#This Row],[First Name]]&amp;", "&amp;S45</f>
        <v>Zoe, WH</v>
      </c>
      <c r="B45" s="3" t="s">
        <v>44</v>
      </c>
      <c r="C45" s="3" t="s">
        <v>45</v>
      </c>
      <c r="D45" s="3" t="s">
        <v>10</v>
      </c>
      <c r="E45" s="3" t="s">
        <v>24</v>
      </c>
      <c r="F45" s="29">
        <v>40984</v>
      </c>
      <c r="G45" s="4">
        <f t="shared" si="3"/>
        <v>7</v>
      </c>
      <c r="H45" s="18" t="s">
        <v>86</v>
      </c>
      <c r="I45" s="10" t="str">
        <f t="shared" si="4"/>
        <v>YES</v>
      </c>
      <c r="J45" s="19" t="s">
        <v>77</v>
      </c>
      <c r="K45" s="48">
        <v>43946</v>
      </c>
      <c r="L45" s="23"/>
      <c r="M45" s="20">
        <v>3</v>
      </c>
      <c r="N45" s="26"/>
      <c r="O45" s="24"/>
      <c r="P45" s="6" t="str">
        <f>IF(O45=5,M45+1,"")</f>
        <v/>
      </c>
      <c r="Q45" s="37">
        <f t="shared" si="5"/>
        <v>0</v>
      </c>
      <c r="R45" s="6" t="str">
        <f>IF(LEFT(J45,4)="NFMC",IFERROR(IF(MOD(Table6[[#This Row],[PAP]],15)+Table6[[#This Row],[RATING]]&gt;=15,"CUP",""),""),IFERROR(IF(MOD(Table6[[#This Row],[CCS]],2),"Cert","Medal"),""))</f>
        <v/>
      </c>
      <c r="S45" s="2" t="s">
        <v>115</v>
      </c>
      <c r="T45" s="2" t="s">
        <v>143</v>
      </c>
      <c r="U45" s="2" t="str">
        <f>IF(Table6[[#This Row],[Event]]="Hymn",LEFT(Table6[[#This Row],[Phone Number]],8)&amp;"5481","")</f>
        <v>225-794-5481</v>
      </c>
      <c r="V45" s="2" t="s">
        <v>147</v>
      </c>
      <c r="W45" s="2" t="str">
        <f>IF(Table6[[#This Row],[Switch to Virtual?]]="YES","Physical","Virtual")</f>
        <v>Physical</v>
      </c>
      <c r="X45" s="2" t="s">
        <v>182</v>
      </c>
      <c r="Y45" s="2" t="s">
        <v>147</v>
      </c>
      <c r="Z45" s="2" t="s">
        <v>147</v>
      </c>
      <c r="AA45" s="2" t="s">
        <v>147</v>
      </c>
      <c r="AB45" s="2"/>
      <c r="AC45" s="2" t="s">
        <v>98</v>
      </c>
      <c r="AD45" s="2"/>
      <c r="AE45" s="49" t="s">
        <v>174</v>
      </c>
    </row>
    <row r="46" spans="1:31" x14ac:dyDescent="0.25">
      <c r="A46" t="str">
        <f>Table6[[#This Row],[First Name]]&amp;", "&amp;S46</f>
        <v>Zoe, 1</v>
      </c>
      <c r="B46" s="3" t="s">
        <v>44</v>
      </c>
      <c r="C46" s="3" t="s">
        <v>45</v>
      </c>
      <c r="D46" s="3" t="s">
        <v>10</v>
      </c>
      <c r="E46" s="3" t="s">
        <v>24</v>
      </c>
      <c r="F46" s="29">
        <v>40984</v>
      </c>
      <c r="G46" s="4">
        <f t="shared" si="3"/>
        <v>7</v>
      </c>
      <c r="H46" s="18" t="s">
        <v>86</v>
      </c>
      <c r="I46" s="10" t="str">
        <f t="shared" si="4"/>
        <v>YES</v>
      </c>
      <c r="J46" s="19" t="s">
        <v>103</v>
      </c>
      <c r="K46" s="48">
        <v>43876</v>
      </c>
      <c r="L46" s="23" t="s">
        <v>11</v>
      </c>
      <c r="M46" s="26">
        <v>3</v>
      </c>
      <c r="N46" s="26">
        <v>15</v>
      </c>
      <c r="O46" s="23">
        <v>5</v>
      </c>
      <c r="P46" s="6">
        <f>IF(O46=5,M46+1,"0")</f>
        <v>4</v>
      </c>
      <c r="Q46" s="6">
        <f t="shared" si="5"/>
        <v>20</v>
      </c>
      <c r="R46" s="6" t="str">
        <f>IF(LEFT(J46,4)="NFMC",IFERROR(IF(MOD(Table6[[#This Row],[PAP]],15)+Table6[[#This Row],[RATING]]&gt;=15,"CUP",""),""),IFERROR(IF(MOD(Table6[[#This Row],[CCS]],2),"Cert","Medal"),""))</f>
        <v/>
      </c>
      <c r="S46" s="2">
        <v>1</v>
      </c>
      <c r="T46" s="2" t="s">
        <v>143</v>
      </c>
      <c r="U46" s="2" t="str">
        <f>IF(Table6[[#This Row],[Event]]="Hymn",LEFT(Table6[[#This Row],[Phone Number]],8)&amp;"5481","")</f>
        <v/>
      </c>
      <c r="V46" s="2" t="s">
        <v>147</v>
      </c>
      <c r="W46" s="2" t="str">
        <f>IF(Table6[[#This Row],[Switch to Virtual?]]="YES","Physical","Virtual")</f>
        <v>Physical</v>
      </c>
      <c r="X46" s="2"/>
      <c r="Y46" s="2"/>
      <c r="Z46" s="2"/>
      <c r="AA46" s="2"/>
      <c r="AB46" s="2"/>
      <c r="AC46" s="2"/>
      <c r="AD46" s="2"/>
      <c r="AE46" s="49"/>
    </row>
    <row r="47" spans="1:31" x14ac:dyDescent="0.25">
      <c r="A47" t="str">
        <f>Table6[[#This Row],[First Name]]&amp;", "&amp;S47</f>
        <v>Zoe, 2</v>
      </c>
      <c r="B47" s="3" t="s">
        <v>44</v>
      </c>
      <c r="C47" s="3" t="s">
        <v>45</v>
      </c>
      <c r="D47" s="3" t="s">
        <v>15</v>
      </c>
      <c r="E47" s="3" t="s">
        <v>24</v>
      </c>
      <c r="F47" s="29">
        <v>40984</v>
      </c>
      <c r="G47" s="4">
        <f t="shared" si="3"/>
        <v>7</v>
      </c>
      <c r="H47" s="41" t="s">
        <v>86</v>
      </c>
      <c r="I47" s="10" t="str">
        <f t="shared" si="4"/>
        <v>YES</v>
      </c>
      <c r="J47" s="42" t="s">
        <v>104</v>
      </c>
      <c r="K47" s="48">
        <v>43876</v>
      </c>
      <c r="L47" s="23" t="s">
        <v>46</v>
      </c>
      <c r="M47" s="26">
        <v>1</v>
      </c>
      <c r="N47" s="26">
        <v>5</v>
      </c>
      <c r="O47" s="23">
        <v>5</v>
      </c>
      <c r="P47" s="6">
        <f>IF(O47=5,M47+1,"0")</f>
        <v>2</v>
      </c>
      <c r="Q47" s="6">
        <f t="shared" si="5"/>
        <v>10</v>
      </c>
      <c r="R47" s="6" t="str">
        <f>IF(LEFT(J47,4)="NFMC",IFERROR(IF(MOD(Table6[[#This Row],[PAP]],15)+Table6[[#This Row],[RATING]]&gt;=15,"CUP",""),""),IFERROR(IF(MOD(Table6[[#This Row],[CCS]],2),"Cert","Medal"),""))</f>
        <v/>
      </c>
      <c r="S47" s="2">
        <v>2</v>
      </c>
      <c r="T47" s="2" t="s">
        <v>143</v>
      </c>
      <c r="U47" s="2" t="str">
        <f>IF(Table6[[#This Row],[Event]]="Hymn",LEFT(Table6[[#This Row],[Phone Number]],8)&amp;"5481","")</f>
        <v/>
      </c>
      <c r="V47" s="2" t="s">
        <v>147</v>
      </c>
      <c r="W47" s="2" t="str">
        <f>IF(Table6[[#This Row],[Switch to Virtual?]]="YES","Physical","Virtual")</f>
        <v>Physical</v>
      </c>
      <c r="X47" s="2"/>
      <c r="Y47" s="2"/>
      <c r="Z47" s="2"/>
      <c r="AA47" s="2"/>
      <c r="AB47" s="2"/>
      <c r="AC47" s="2"/>
      <c r="AD47" s="2"/>
      <c r="AE47" s="49"/>
    </row>
    <row r="48" spans="1:31" x14ac:dyDescent="0.25">
      <c r="A48" t="str">
        <f>Table6[[#This Row],[First Name]]&amp;", "&amp;S48</f>
        <v>Zoe, T</v>
      </c>
      <c r="B48" s="3" t="s">
        <v>44</v>
      </c>
      <c r="C48" s="3" t="s">
        <v>45</v>
      </c>
      <c r="D48" s="3" t="s">
        <v>10</v>
      </c>
      <c r="E48" s="3" t="s">
        <v>24</v>
      </c>
      <c r="F48" s="29">
        <v>40984</v>
      </c>
      <c r="G48" s="4">
        <f t="shared" si="3"/>
        <v>7</v>
      </c>
      <c r="H48" s="41" t="s">
        <v>86</v>
      </c>
      <c r="I48" s="10" t="str">
        <f t="shared" si="4"/>
        <v>YES</v>
      </c>
      <c r="J48" s="42" t="s">
        <v>120</v>
      </c>
      <c r="K48" s="48">
        <v>43876</v>
      </c>
      <c r="L48" s="6" t="s">
        <v>20</v>
      </c>
      <c r="M48" s="6">
        <v>0</v>
      </c>
      <c r="N48" s="6">
        <v>0</v>
      </c>
      <c r="O48" s="6">
        <v>5</v>
      </c>
      <c r="P48" s="6">
        <f>IF(O48=5,M48+1,"0")</f>
        <v>1</v>
      </c>
      <c r="Q48" s="6">
        <f t="shared" si="5"/>
        <v>5</v>
      </c>
      <c r="R48" s="6" t="str">
        <f>IF(LEFT(J48,4)="NFMC",IFERROR(IF(MOD(Table6[[#This Row],[PAP]],15)+Table6[[#This Row],[RATING]]&gt;=15,"CUP",""),""),IFERROR(IF(MOD(Table6[[#This Row],[CCS]],2),"Cert","Medal"),""))</f>
        <v/>
      </c>
      <c r="S48" s="2" t="s">
        <v>111</v>
      </c>
      <c r="T48" s="2" t="s">
        <v>143</v>
      </c>
      <c r="U48" s="2" t="str">
        <f>IF(Table6[[#This Row],[Event]]="Hymn",LEFT(Table6[[#This Row],[Phone Number]],8)&amp;"5481","")</f>
        <v/>
      </c>
      <c r="V48" s="2" t="s">
        <v>147</v>
      </c>
      <c r="W48" s="2" t="str">
        <f>IF(Table6[[#This Row],[Switch to Virtual?]]="YES","Physical","Virtual")</f>
        <v>Physical</v>
      </c>
      <c r="X48" s="2"/>
      <c r="Y48" s="2"/>
      <c r="Z48" s="2"/>
      <c r="AA48" s="2"/>
      <c r="AB48" s="2"/>
      <c r="AC48" s="2"/>
      <c r="AD48" s="2"/>
      <c r="AE48" s="49"/>
    </row>
    <row r="49" spans="1:31" x14ac:dyDescent="0.25">
      <c r="A49" t="str">
        <f>Table6[[#This Row],[First Name]]&amp;", "&amp;S49</f>
        <v>Zoe, X</v>
      </c>
      <c r="B49" s="3" t="s">
        <v>44</v>
      </c>
      <c r="C49" s="3" t="s">
        <v>45</v>
      </c>
      <c r="D49" s="3" t="s">
        <v>10</v>
      </c>
      <c r="E49" s="3" t="s">
        <v>24</v>
      </c>
      <c r="F49" s="29">
        <v>40984</v>
      </c>
      <c r="G49" s="4">
        <f t="shared" si="3"/>
        <v>7</v>
      </c>
      <c r="H49" s="41" t="s">
        <v>86</v>
      </c>
      <c r="I49" s="10" t="str">
        <f t="shared" si="4"/>
        <v>YES</v>
      </c>
      <c r="J49" s="42" t="s">
        <v>107</v>
      </c>
      <c r="K49" s="48">
        <v>43806</v>
      </c>
      <c r="L49" s="23"/>
      <c r="M49" s="6">
        <v>4</v>
      </c>
      <c r="N49" s="26"/>
      <c r="O49" s="6">
        <v>5</v>
      </c>
      <c r="P49" s="6">
        <f>IF(O49=5,M49+1,"")</f>
        <v>5</v>
      </c>
      <c r="Q49" s="6">
        <f t="shared" si="5"/>
        <v>5</v>
      </c>
      <c r="R49" s="6" t="str">
        <f>IF(LEFT(J49,4)="NFMC",IFERROR(IF(MOD(Table6[[#This Row],[PAP]],15)+Table6[[#This Row],[RATING]]&gt;=15,"CUP",""),""),IFERROR(IF(MOD(Table6[[#This Row],[CCS]],2),"Cert","Medal"),""))</f>
        <v>Cert</v>
      </c>
      <c r="S49" s="39" t="s">
        <v>98</v>
      </c>
      <c r="T49" s="2" t="s">
        <v>143</v>
      </c>
      <c r="U49" s="2" t="str">
        <f>IF(Table6[[#This Row],[Event]]="Hymn",LEFT(Table6[[#This Row],[Phone Number]],8)&amp;"5481","")</f>
        <v/>
      </c>
      <c r="V49" s="2" t="s">
        <v>147</v>
      </c>
      <c r="W49" s="2" t="str">
        <f>IF(Table6[[#This Row],[Switch to Virtual?]]="YES","Physical","Virtual")</f>
        <v>Physical</v>
      </c>
      <c r="X49" s="2"/>
      <c r="Y49" s="2"/>
      <c r="Z49" s="2"/>
      <c r="AA49" s="2"/>
      <c r="AB49" s="2"/>
      <c r="AC49" s="2"/>
      <c r="AD49" s="2"/>
      <c r="AE49" s="49"/>
    </row>
    <row r="50" spans="1:31" x14ac:dyDescent="0.25">
      <c r="A50" t="str">
        <f>Table6[[#This Row],[First Name]]&amp;", "&amp;S50</f>
        <v>Scarlett, WH</v>
      </c>
      <c r="B50" s="3" t="s">
        <v>66</v>
      </c>
      <c r="C50" s="3" t="s">
        <v>48</v>
      </c>
      <c r="D50" s="3" t="s">
        <v>10</v>
      </c>
      <c r="E50" s="3" t="s">
        <v>24</v>
      </c>
      <c r="F50" s="29">
        <v>41656</v>
      </c>
      <c r="G50" s="4">
        <f t="shared" si="3"/>
        <v>6</v>
      </c>
      <c r="H50" s="41" t="s">
        <v>86</v>
      </c>
      <c r="I50" s="10" t="str">
        <f t="shared" si="4"/>
        <v>YES</v>
      </c>
      <c r="J50" s="42" t="s">
        <v>77</v>
      </c>
      <c r="K50" s="48">
        <v>43946</v>
      </c>
      <c r="L50" s="23"/>
      <c r="M50" s="6"/>
      <c r="N50" s="26"/>
      <c r="O50" s="23"/>
      <c r="P50" s="6" t="str">
        <f>IF(O50=5,M50+1,"")</f>
        <v/>
      </c>
      <c r="Q50" s="37">
        <f t="shared" si="5"/>
        <v>0</v>
      </c>
      <c r="R50" s="6" t="str">
        <f>IF(LEFT(J50,4)="NFMC",IFERROR(IF(MOD(Table6[[#This Row],[PAP]],15)+Table6[[#This Row],[RATING]]&gt;=15,"CUP",""),""),IFERROR(IF(MOD(Table6[[#This Row],[CCS]],2),"Cert","Medal"),""))</f>
        <v/>
      </c>
      <c r="S50" s="2" t="s">
        <v>115</v>
      </c>
      <c r="T50" s="2" t="s">
        <v>140</v>
      </c>
      <c r="U50" s="2" t="str">
        <f>IF(Table6[[#This Row],[Event]]="Hymn",LEFT(Table6[[#This Row],[Phone Number]],8)&amp;"5481","")</f>
        <v>225-927-5481</v>
      </c>
      <c r="V50" s="2" t="s">
        <v>147</v>
      </c>
      <c r="W50" s="2" t="str">
        <f>IF(Table6[[#This Row],[Switch to Virtual?]]="YES","Physical","Virtual")</f>
        <v>Physical</v>
      </c>
      <c r="X50" s="2" t="s">
        <v>182</v>
      </c>
      <c r="Y50" s="2" t="s">
        <v>147</v>
      </c>
      <c r="Z50" s="2" t="s">
        <v>147</v>
      </c>
      <c r="AA50" s="2" t="s">
        <v>147</v>
      </c>
      <c r="AB50" s="2"/>
      <c r="AC50" s="2"/>
      <c r="AD50" s="2" t="s">
        <v>98</v>
      </c>
      <c r="AE50" s="49" t="s">
        <v>181</v>
      </c>
    </row>
    <row r="51" spans="1:31" x14ac:dyDescent="0.25">
      <c r="A51" t="str">
        <f>Table6[[#This Row],[First Name]]&amp;", "&amp;S51</f>
        <v>Scarlett, 1</v>
      </c>
      <c r="B51" s="3" t="s">
        <v>66</v>
      </c>
      <c r="C51" s="3" t="s">
        <v>48</v>
      </c>
      <c r="D51" s="3" t="s">
        <v>10</v>
      </c>
      <c r="E51" s="3" t="s">
        <v>24</v>
      </c>
      <c r="F51" s="29">
        <v>41656</v>
      </c>
      <c r="G51" s="4">
        <f t="shared" si="3"/>
        <v>6</v>
      </c>
      <c r="H51" s="41" t="s">
        <v>86</v>
      </c>
      <c r="I51" s="10" t="str">
        <f t="shared" si="4"/>
        <v>YES</v>
      </c>
      <c r="J51" s="42" t="s">
        <v>103</v>
      </c>
      <c r="K51" s="48">
        <v>43876</v>
      </c>
      <c r="L51" s="23" t="s">
        <v>19</v>
      </c>
      <c r="M51" s="26">
        <v>0</v>
      </c>
      <c r="N51" s="26">
        <v>0</v>
      </c>
      <c r="O51" s="23">
        <v>5</v>
      </c>
      <c r="P51" s="6">
        <f>IF(O51=5,M51+1,"0")</f>
        <v>1</v>
      </c>
      <c r="Q51" s="6">
        <f t="shared" si="5"/>
        <v>5</v>
      </c>
      <c r="R51" s="6" t="str">
        <f>IF(LEFT(J51,4)="NFMC",IFERROR(IF(MOD(Table6[[#This Row],[PAP]],15)+Table6[[#This Row],[RATING]]&gt;=15,"CUP",""),""),IFERROR(IF(MOD(Table6[[#This Row],[CCS]],2),"Cert","Medal"),""))</f>
        <v/>
      </c>
      <c r="S51" s="2">
        <v>1</v>
      </c>
      <c r="T51" s="2" t="s">
        <v>140</v>
      </c>
      <c r="U51" s="2" t="str">
        <f>IF(Table6[[#This Row],[Event]]="Hymn",LEFT(Table6[[#This Row],[Phone Number]],8)&amp;"5481","")</f>
        <v/>
      </c>
      <c r="V51" s="2" t="s">
        <v>147</v>
      </c>
      <c r="W51" s="2" t="str">
        <f>IF(Table6[[#This Row],[Switch to Virtual?]]="YES","Physical","Virtual")</f>
        <v>Physical</v>
      </c>
      <c r="X51" s="2"/>
      <c r="Y51" s="2"/>
      <c r="Z51" s="2"/>
      <c r="AA51" s="2"/>
      <c r="AB51" s="2"/>
      <c r="AC51" s="2"/>
      <c r="AD51" s="2"/>
      <c r="AE51" s="49"/>
    </row>
    <row r="52" spans="1:31" x14ac:dyDescent="0.25">
      <c r="A52" t="str">
        <f>Table6[[#This Row],[First Name]]&amp;", "&amp;S52</f>
        <v>Scarlett, X</v>
      </c>
      <c r="B52" s="3" t="s">
        <v>66</v>
      </c>
      <c r="C52" s="3" t="s">
        <v>48</v>
      </c>
      <c r="D52" s="3" t="s">
        <v>10</v>
      </c>
      <c r="E52" s="3" t="s">
        <v>24</v>
      </c>
      <c r="F52" s="29">
        <v>41656</v>
      </c>
      <c r="G52" s="4">
        <f t="shared" si="3"/>
        <v>6</v>
      </c>
      <c r="H52" s="41" t="s">
        <v>86</v>
      </c>
      <c r="I52" s="10" t="str">
        <f t="shared" si="4"/>
        <v>YES</v>
      </c>
      <c r="J52" s="42" t="s">
        <v>107</v>
      </c>
      <c r="K52" s="48">
        <v>43806</v>
      </c>
      <c r="L52" s="23"/>
      <c r="M52" s="6">
        <v>1</v>
      </c>
      <c r="N52" s="26"/>
      <c r="O52" s="6">
        <v>5</v>
      </c>
      <c r="P52" s="6">
        <f>IF(O52=5,M52+1,"")</f>
        <v>2</v>
      </c>
      <c r="Q52" s="6">
        <f t="shared" si="5"/>
        <v>5</v>
      </c>
      <c r="R52" s="6" t="str">
        <f>IF(LEFT(J52,4)="NFMC",IFERROR(IF(MOD(Table6[[#This Row],[PAP]],15)+Table6[[#This Row],[RATING]]&gt;=15,"CUP",""),""),IFERROR(IF(MOD(Table6[[#This Row],[CCS]],2),"Cert","Medal"),""))</f>
        <v>Medal</v>
      </c>
      <c r="S52" s="2" t="s">
        <v>98</v>
      </c>
      <c r="T52" s="2" t="s">
        <v>140</v>
      </c>
      <c r="U52" s="2" t="str">
        <f>IF(Table6[[#This Row],[Event]]="Hymn",LEFT(Table6[[#This Row],[Phone Number]],8)&amp;"5481","")</f>
        <v/>
      </c>
      <c r="V52" s="2" t="s">
        <v>147</v>
      </c>
      <c r="W52" s="2" t="str">
        <f>IF(Table6[[#This Row],[Switch to Virtual?]]="YES","Physical","Virtual")</f>
        <v>Physical</v>
      </c>
      <c r="X52" s="2"/>
      <c r="Y52" s="2"/>
      <c r="Z52" s="2"/>
      <c r="AA52" s="2"/>
      <c r="AB52" s="2"/>
      <c r="AC52" s="2"/>
      <c r="AD52" s="2"/>
      <c r="AE52" s="49"/>
    </row>
    <row r="53" spans="1:31" x14ac:dyDescent="0.25">
      <c r="A53" t="str">
        <f>Table6[[#This Row],[First Name]]&amp;", "&amp;S53</f>
        <v>Valerie, 1</v>
      </c>
      <c r="B53" s="3" t="s">
        <v>47</v>
      </c>
      <c r="C53" s="3" t="s">
        <v>48</v>
      </c>
      <c r="D53" s="3" t="s">
        <v>15</v>
      </c>
      <c r="E53" s="3" t="s">
        <v>24</v>
      </c>
      <c r="F53" s="29">
        <v>40884</v>
      </c>
      <c r="G53" s="4">
        <f t="shared" si="3"/>
        <v>8</v>
      </c>
      <c r="H53" s="41" t="s">
        <v>86</v>
      </c>
      <c r="I53" s="10" t="str">
        <f t="shared" si="4"/>
        <v>YES</v>
      </c>
      <c r="J53" s="42" t="s">
        <v>104</v>
      </c>
      <c r="K53" s="48">
        <v>43876</v>
      </c>
      <c r="L53" s="23" t="s">
        <v>46</v>
      </c>
      <c r="M53" s="26">
        <v>1</v>
      </c>
      <c r="N53" s="26">
        <v>5</v>
      </c>
      <c r="O53" s="23">
        <v>5</v>
      </c>
      <c r="P53" s="6">
        <f>IF(O53=5,M53+1,"0")</f>
        <v>2</v>
      </c>
      <c r="Q53" s="6">
        <f t="shared" si="5"/>
        <v>10</v>
      </c>
      <c r="R53" s="6" t="str">
        <f>IF(LEFT(J53,4)="NFMC",IFERROR(IF(MOD(Table6[[#This Row],[PAP]],15)+Table6[[#This Row],[RATING]]&gt;=15,"CUP",""),""),IFERROR(IF(MOD(Table6[[#This Row],[CCS]],2),"Cert","Medal"),""))</f>
        <v/>
      </c>
      <c r="S53" s="2">
        <v>1</v>
      </c>
      <c r="T53" s="2" t="s">
        <v>140</v>
      </c>
      <c r="U53" s="2" t="str">
        <f>IF(Table6[[#This Row],[Event]]="Hymn",LEFT(Table6[[#This Row],[Phone Number]],8)&amp;"5481","")</f>
        <v/>
      </c>
      <c r="V53" s="2" t="s">
        <v>147</v>
      </c>
      <c r="W53" s="2" t="str">
        <f>IF(Table6[[#This Row],[Switch to Virtual?]]="YES","Physical","Virtual")</f>
        <v>Physical</v>
      </c>
      <c r="X53" s="2"/>
      <c r="Y53" s="2"/>
      <c r="Z53" s="2"/>
      <c r="AA53" s="2"/>
      <c r="AB53" s="2"/>
      <c r="AC53" s="2"/>
      <c r="AD53" s="2"/>
      <c r="AE53" s="49"/>
    </row>
    <row r="54" spans="1:31" x14ac:dyDescent="0.25">
      <c r="A54" t="str">
        <f>Table6[[#This Row],[First Name]]&amp;", "&amp;S54</f>
        <v>Amelia, 1</v>
      </c>
      <c r="B54" s="3" t="s">
        <v>53</v>
      </c>
      <c r="C54" s="3" t="s">
        <v>54</v>
      </c>
      <c r="D54" s="3" t="s">
        <v>15</v>
      </c>
      <c r="E54" s="3" t="s">
        <v>24</v>
      </c>
      <c r="F54" s="29">
        <v>40298</v>
      </c>
      <c r="G54" s="4">
        <f t="shared" si="3"/>
        <v>9</v>
      </c>
      <c r="H54" s="41" t="s">
        <v>86</v>
      </c>
      <c r="I54" s="10" t="str">
        <f t="shared" si="4"/>
        <v/>
      </c>
      <c r="J54" s="42" t="s">
        <v>104</v>
      </c>
      <c r="K54" s="48">
        <v>43876</v>
      </c>
      <c r="L54" s="23" t="s">
        <v>11</v>
      </c>
      <c r="M54" s="26">
        <v>0</v>
      </c>
      <c r="N54" s="26">
        <v>9</v>
      </c>
      <c r="O54" s="23">
        <v>5</v>
      </c>
      <c r="P54" s="6">
        <f>IF(O54=5,M54+1,"0")</f>
        <v>1</v>
      </c>
      <c r="Q54" s="6">
        <f t="shared" si="5"/>
        <v>14</v>
      </c>
      <c r="R54" s="6" t="str">
        <f>IF(LEFT(J54,4)="NFMC",IFERROR(IF(MOD(Table6[[#This Row],[PAP]],15)+Table6[[#This Row],[RATING]]&gt;=15,"CUP",""),""),IFERROR(IF(MOD(Table6[[#This Row],[CCS]],2),"Cert","Medal"),""))</f>
        <v/>
      </c>
      <c r="S54" s="2">
        <v>1</v>
      </c>
      <c r="T54" s="2" t="s">
        <v>124</v>
      </c>
      <c r="U54" s="2" t="str">
        <f>IF(Table6[[#This Row],[Event]]="Hymn",LEFT(Table6[[#This Row],[Phone Number]],8)&amp;"5481","")</f>
        <v/>
      </c>
      <c r="V54" s="2" t="s">
        <v>147</v>
      </c>
      <c r="W54" s="2" t="str">
        <f>IF(Table6[[#This Row],[Switch to Virtual?]]="YES","Physical","Virtual")</f>
        <v>Physical</v>
      </c>
      <c r="X54" s="2" t="s">
        <v>175</v>
      </c>
      <c r="Y54" s="2" t="s">
        <v>147</v>
      </c>
      <c r="Z54" s="2" t="s">
        <v>147</v>
      </c>
      <c r="AA54" s="2" t="s">
        <v>147</v>
      </c>
      <c r="AB54" s="2" t="s">
        <v>98</v>
      </c>
      <c r="AC54" s="2"/>
      <c r="AD54" s="2"/>
      <c r="AE54" s="2"/>
    </row>
    <row r="55" spans="1:31" x14ac:dyDescent="0.25">
      <c r="A55" t="str">
        <f>Table6[[#This Row],[First Name]]&amp;", "&amp;S55</f>
        <v>Ava, 1</v>
      </c>
      <c r="B55" s="3" t="s">
        <v>57</v>
      </c>
      <c r="C55" s="3" t="s">
        <v>58</v>
      </c>
      <c r="D55" s="3" t="s">
        <v>10</v>
      </c>
      <c r="E55" s="3" t="s">
        <v>24</v>
      </c>
      <c r="F55" s="29">
        <v>39608</v>
      </c>
      <c r="G55" s="4">
        <f t="shared" si="3"/>
        <v>11</v>
      </c>
      <c r="H55" s="41" t="s">
        <v>86</v>
      </c>
      <c r="I55" s="10" t="str">
        <f t="shared" si="4"/>
        <v/>
      </c>
      <c r="J55" s="42" t="s">
        <v>103</v>
      </c>
      <c r="K55" s="48">
        <v>43876</v>
      </c>
      <c r="L55" s="23" t="s">
        <v>59</v>
      </c>
      <c r="M55" s="26">
        <v>2</v>
      </c>
      <c r="N55" s="26">
        <v>10</v>
      </c>
      <c r="O55" s="23">
        <v>5</v>
      </c>
      <c r="P55" s="6">
        <f>IF(O55=5,M55+1,"0")</f>
        <v>3</v>
      </c>
      <c r="Q55" s="6">
        <f t="shared" si="5"/>
        <v>15</v>
      </c>
      <c r="R55" s="6" t="str">
        <f>IF(LEFT(J55,4)="NFMC",IFERROR(IF(MOD(Table6[[#This Row],[PAP]],15)+Table6[[#This Row],[RATING]]&gt;=15,"CUP",""),""),IFERROR(IF(MOD(Table6[[#This Row],[CCS]],2),"Cert","Medal"),""))</f>
        <v>CUP</v>
      </c>
      <c r="S55" s="2">
        <v>1</v>
      </c>
      <c r="T55" s="2" t="s">
        <v>126</v>
      </c>
      <c r="U55" s="2" t="str">
        <f>IF(Table6[[#This Row],[Event]]="Hymn",LEFT(Table6[[#This Row],[Phone Number]],8)&amp;"5481","")</f>
        <v/>
      </c>
      <c r="V55" s="2" t="s">
        <v>148</v>
      </c>
      <c r="W55" s="2" t="str">
        <f>IF(Table6[[#This Row],[Switch to Virtual?]]="YES","Physical","Virtual")</f>
        <v>Virtual</v>
      </c>
      <c r="X55" s="2" t="s">
        <v>182</v>
      </c>
      <c r="Y55" s="2" t="s">
        <v>147</v>
      </c>
      <c r="Z55" s="2" t="s">
        <v>147</v>
      </c>
      <c r="AA55" s="2" t="s">
        <v>147</v>
      </c>
      <c r="AB55" s="2"/>
      <c r="AC55" s="2" t="s">
        <v>98</v>
      </c>
      <c r="AD55" s="2"/>
      <c r="AE55" s="2"/>
    </row>
    <row r="56" spans="1:31" x14ac:dyDescent="0.25">
      <c r="A56" t="str">
        <f>Table6[[#This Row],[First Name]]&amp;", "&amp;S56</f>
        <v>Ava, T</v>
      </c>
      <c r="B56" s="3" t="s">
        <v>57</v>
      </c>
      <c r="C56" s="3" t="s">
        <v>58</v>
      </c>
      <c r="D56" s="3" t="s">
        <v>10</v>
      </c>
      <c r="E56" s="3" t="s">
        <v>24</v>
      </c>
      <c r="F56" s="29">
        <v>39608</v>
      </c>
      <c r="G56" s="4">
        <f t="shared" si="3"/>
        <v>11</v>
      </c>
      <c r="H56" s="41" t="s">
        <v>86</v>
      </c>
      <c r="I56" s="10" t="str">
        <f t="shared" si="4"/>
        <v/>
      </c>
      <c r="J56" s="42" t="s">
        <v>120</v>
      </c>
      <c r="K56" s="48">
        <v>43876</v>
      </c>
      <c r="L56" s="6" t="s">
        <v>12</v>
      </c>
      <c r="M56" s="6">
        <v>1</v>
      </c>
      <c r="N56" s="6">
        <v>10</v>
      </c>
      <c r="O56" s="6">
        <v>4</v>
      </c>
      <c r="P56" s="6" t="str">
        <f>IF(O56=5,M56+1,"0")</f>
        <v>0</v>
      </c>
      <c r="Q56" s="6">
        <f t="shared" si="5"/>
        <v>14</v>
      </c>
      <c r="R56" s="6" t="str">
        <f>IF(LEFT(J56,4)="NFMC",IFERROR(IF(MOD(Table6[[#This Row],[PAP]],15)+Table6[[#This Row],[RATING]]&gt;=15,"CUP",""),""),IFERROR(IF(MOD(Table6[[#This Row],[CCS]],2),"Cert","Medal"),""))</f>
        <v/>
      </c>
      <c r="S56" s="2" t="s">
        <v>111</v>
      </c>
      <c r="T56" s="2" t="s">
        <v>126</v>
      </c>
      <c r="U56" s="2" t="str">
        <f>IF(Table6[[#This Row],[Event]]="Hymn",LEFT(Table6[[#This Row],[Phone Number]],8)&amp;"5481","")</f>
        <v/>
      </c>
      <c r="V56" s="2" t="s">
        <v>148</v>
      </c>
      <c r="W56" s="2" t="str">
        <f>IF(Table6[[#This Row],[Switch to Virtual?]]="YES","Physical","Virtual")</f>
        <v>Virtual</v>
      </c>
      <c r="X56" s="2"/>
      <c r="Y56" s="2"/>
      <c r="Z56" s="2"/>
      <c r="AA56" s="2"/>
      <c r="AB56" s="2"/>
      <c r="AC56" s="2"/>
      <c r="AD56" s="2"/>
      <c r="AE56" s="2"/>
    </row>
    <row r="57" spans="1:31" x14ac:dyDescent="0.25">
      <c r="A57" t="str">
        <f>Table6[[#This Row],[First Name]]&amp;", "&amp;S57</f>
        <v>Anna, WH</v>
      </c>
      <c r="B57" s="3" t="s">
        <v>67</v>
      </c>
      <c r="C57" s="3" t="s">
        <v>61</v>
      </c>
      <c r="D57" s="3" t="s">
        <v>10</v>
      </c>
      <c r="E57" s="3" t="s">
        <v>24</v>
      </c>
      <c r="F57" s="29">
        <v>41718</v>
      </c>
      <c r="G57" s="4">
        <f t="shared" si="3"/>
        <v>5</v>
      </c>
      <c r="H57" s="41" t="s">
        <v>86</v>
      </c>
      <c r="I57" s="10" t="str">
        <f t="shared" si="4"/>
        <v>YES</v>
      </c>
      <c r="J57" s="42" t="s">
        <v>77</v>
      </c>
      <c r="K57" s="48">
        <v>43946</v>
      </c>
      <c r="L57" s="23"/>
      <c r="M57" s="6">
        <v>1</v>
      </c>
      <c r="N57" s="26"/>
      <c r="O57" s="23"/>
      <c r="P57" s="6" t="str">
        <f>IF(O57=5,M57+1,"")</f>
        <v/>
      </c>
      <c r="Q57" s="37">
        <f t="shared" si="5"/>
        <v>0</v>
      </c>
      <c r="R57" s="6" t="str">
        <f>IF(LEFT(J57,4)="NFMC",IFERROR(IF(MOD(Table6[[#This Row],[PAP]],15)+Table6[[#This Row],[RATING]]&gt;=15,"CUP",""),""),IFERROR(IF(MOD(Table6[[#This Row],[CCS]],2),"Cert","Medal"),""))</f>
        <v/>
      </c>
      <c r="S57" s="2" t="s">
        <v>115</v>
      </c>
      <c r="T57" s="2" t="s">
        <v>125</v>
      </c>
      <c r="U57" s="2" t="str">
        <f>IF(Table6[[#This Row],[Event]]="Hymn",LEFT(Table6[[#This Row],[Phone Number]],8)&amp;"5481","")</f>
        <v>225-761-5481</v>
      </c>
      <c r="V57" s="2" t="s">
        <v>147</v>
      </c>
      <c r="W57" s="2" t="str">
        <f>IF(Table6[[#This Row],[Switch to Virtual?]]="YES","Physical","Virtual")</f>
        <v>Physical</v>
      </c>
      <c r="X57" s="2" t="s">
        <v>182</v>
      </c>
      <c r="Y57" s="2" t="s">
        <v>147</v>
      </c>
      <c r="Z57" s="2" t="s">
        <v>147</v>
      </c>
      <c r="AA57" s="2" t="s">
        <v>147</v>
      </c>
      <c r="AB57" s="2"/>
      <c r="AC57" s="2"/>
      <c r="AD57" s="2" t="s">
        <v>98</v>
      </c>
      <c r="AE57" s="2"/>
    </row>
    <row r="58" spans="1:31" x14ac:dyDescent="0.25">
      <c r="A58" t="str">
        <f>Table6[[#This Row],[First Name]]&amp;", "&amp;S58</f>
        <v>Anna, H</v>
      </c>
      <c r="B58" s="3" t="s">
        <v>67</v>
      </c>
      <c r="C58" s="3" t="s">
        <v>61</v>
      </c>
      <c r="D58" s="3" t="s">
        <v>10</v>
      </c>
      <c r="E58" s="3" t="s">
        <v>24</v>
      </c>
      <c r="F58" s="31">
        <v>41718</v>
      </c>
      <c r="G58" s="4">
        <f t="shared" si="3"/>
        <v>5</v>
      </c>
      <c r="H58" s="41" t="s">
        <v>86</v>
      </c>
      <c r="I58" s="10" t="str">
        <f t="shared" si="4"/>
        <v>YES</v>
      </c>
      <c r="J58" s="42" t="s">
        <v>105</v>
      </c>
      <c r="K58" s="48">
        <v>43876</v>
      </c>
      <c r="L58" s="24" t="s">
        <v>29</v>
      </c>
      <c r="M58" s="27">
        <v>6</v>
      </c>
      <c r="N58" s="27">
        <v>30</v>
      </c>
      <c r="O58" s="24">
        <v>5</v>
      </c>
      <c r="P58" s="6">
        <f>IF(O58=5,M58+1,"0")</f>
        <v>7</v>
      </c>
      <c r="Q58" s="6">
        <f t="shared" si="5"/>
        <v>35</v>
      </c>
      <c r="R58" s="6" t="str">
        <f>IF(LEFT(J58,4)="NFMC",IFERROR(IF(MOD(Table6[[#This Row],[PAP]],15)+Table6[[#This Row],[RATING]]&gt;=15,"CUP",""),""),IFERROR(IF(MOD(Table6[[#This Row],[CCS]],2),"Cert","Medal"),""))</f>
        <v/>
      </c>
      <c r="S58" s="2" t="s">
        <v>106</v>
      </c>
      <c r="T58" s="2" t="s">
        <v>125</v>
      </c>
      <c r="U58" s="2" t="str">
        <f>IF(Table6[[#This Row],[Event]]="Hymn",LEFT(Table6[[#This Row],[Phone Number]],8)&amp;"5481","")</f>
        <v/>
      </c>
      <c r="V58" s="2" t="s">
        <v>147</v>
      </c>
      <c r="W58" s="2" t="str">
        <f>IF(Table6[[#This Row],[Switch to Virtual?]]="YES","Physical","Virtual")</f>
        <v>Physical</v>
      </c>
      <c r="X58" s="2"/>
      <c r="Y58" s="2"/>
      <c r="Z58" s="2"/>
      <c r="AA58" s="2"/>
      <c r="AB58" s="2"/>
      <c r="AC58" s="2"/>
      <c r="AD58" s="2"/>
      <c r="AE58" s="2"/>
    </row>
    <row r="59" spans="1:31" x14ac:dyDescent="0.25">
      <c r="A59" t="str">
        <f>Table6[[#This Row],[First Name]]&amp;", "&amp;S59</f>
        <v>Anna, 1</v>
      </c>
      <c r="B59" s="17" t="s">
        <v>67</v>
      </c>
      <c r="C59" s="17" t="s">
        <v>61</v>
      </c>
      <c r="D59" s="17" t="s">
        <v>10</v>
      </c>
      <c r="E59" s="17" t="s">
        <v>24</v>
      </c>
      <c r="F59" s="30">
        <v>41718</v>
      </c>
      <c r="G59" s="18">
        <f t="shared" si="3"/>
        <v>5</v>
      </c>
      <c r="H59" s="41" t="s">
        <v>86</v>
      </c>
      <c r="I59" s="10" t="str">
        <f t="shared" si="4"/>
        <v>YES</v>
      </c>
      <c r="J59" s="42" t="s">
        <v>103</v>
      </c>
      <c r="K59" s="48">
        <v>43876</v>
      </c>
      <c r="L59" s="24" t="s">
        <v>19</v>
      </c>
      <c r="M59" s="27">
        <v>0</v>
      </c>
      <c r="N59" s="27">
        <v>0</v>
      </c>
      <c r="O59" s="24">
        <v>5</v>
      </c>
      <c r="P59" s="20">
        <f>IF(O59=5,M59+1,"0")</f>
        <v>1</v>
      </c>
      <c r="Q59" s="20">
        <f t="shared" si="5"/>
        <v>5</v>
      </c>
      <c r="R59" s="6" t="str">
        <f>IF(LEFT(J59,4)="NFMC",IFERROR(IF(MOD(Table6[[#This Row],[PAP]],15)+Table6[[#This Row],[RATING]]&gt;=15,"CUP",""),""),IFERROR(IF(MOD(Table6[[#This Row],[CCS]],2),"Cert","Medal"),""))</f>
        <v/>
      </c>
      <c r="S59" s="2">
        <v>1</v>
      </c>
      <c r="T59" s="2" t="s">
        <v>125</v>
      </c>
      <c r="U59" s="2" t="str">
        <f>IF(Table6[[#This Row],[Event]]="Hymn",LEFT(Table6[[#This Row],[Phone Number]],8)&amp;"5481","")</f>
        <v/>
      </c>
      <c r="V59" s="2" t="s">
        <v>147</v>
      </c>
      <c r="W59" s="2" t="str">
        <f>IF(Table6[[#This Row],[Switch to Virtual?]]="YES","Physical","Virtual")</f>
        <v>Physical</v>
      </c>
      <c r="X59" s="2"/>
      <c r="Y59" s="2"/>
      <c r="Z59" s="2"/>
      <c r="AA59" s="2"/>
      <c r="AB59" s="2"/>
      <c r="AC59" s="2"/>
      <c r="AD59" s="2"/>
      <c r="AE59" s="2"/>
    </row>
    <row r="60" spans="1:31" x14ac:dyDescent="0.25">
      <c r="A60" t="str">
        <f>Table6[[#This Row],[First Name]]&amp;", "&amp;S60</f>
        <v>Anna, X</v>
      </c>
      <c r="B60" s="3" t="s">
        <v>67</v>
      </c>
      <c r="C60" s="3" t="s">
        <v>61</v>
      </c>
      <c r="D60" s="3" t="s">
        <v>10</v>
      </c>
      <c r="E60" s="3" t="s">
        <v>24</v>
      </c>
      <c r="F60" s="29">
        <v>41718</v>
      </c>
      <c r="G60" s="4">
        <f t="shared" si="3"/>
        <v>5</v>
      </c>
      <c r="H60" s="18" t="s">
        <v>86</v>
      </c>
      <c r="I60" s="10" t="str">
        <f t="shared" si="4"/>
        <v>YES</v>
      </c>
      <c r="J60" s="19" t="s">
        <v>107</v>
      </c>
      <c r="K60" s="48">
        <v>43806</v>
      </c>
      <c r="L60" s="23"/>
      <c r="M60" s="6">
        <v>1</v>
      </c>
      <c r="N60" s="26"/>
      <c r="O60" s="6">
        <v>5</v>
      </c>
      <c r="P60" s="6">
        <f>IF(O60=5,M60+1,"")</f>
        <v>2</v>
      </c>
      <c r="Q60" s="6">
        <f t="shared" si="5"/>
        <v>5</v>
      </c>
      <c r="R60" s="6" t="str">
        <f>IF(LEFT(J60,4)="NFMC",IFERROR(IF(MOD(Table6[[#This Row],[PAP]],15)+Table6[[#This Row],[RATING]]&gt;=15,"CUP",""),""),IFERROR(IF(MOD(Table6[[#This Row],[CCS]],2),"Cert","Medal"),""))</f>
        <v>Medal</v>
      </c>
      <c r="S60" s="2" t="s">
        <v>98</v>
      </c>
      <c r="T60" s="2" t="s">
        <v>125</v>
      </c>
      <c r="U60" s="2" t="str">
        <f>IF(Table6[[#This Row],[Event]]="Hymn",LEFT(Table6[[#This Row],[Phone Number]],8)&amp;"5481","")</f>
        <v/>
      </c>
      <c r="V60" s="2" t="s">
        <v>147</v>
      </c>
      <c r="W60" s="2" t="str">
        <f>IF(Table6[[#This Row],[Switch to Virtual?]]="YES","Physical","Virtual")</f>
        <v>Physical</v>
      </c>
      <c r="X60" s="2"/>
      <c r="Y60" s="2"/>
      <c r="Z60" s="2"/>
      <c r="AA60" s="2"/>
      <c r="AB60" s="2"/>
      <c r="AC60" s="2"/>
      <c r="AD60" s="2"/>
      <c r="AE60" s="2"/>
    </row>
    <row r="61" spans="1:31" x14ac:dyDescent="0.25">
      <c r="A61" t="str">
        <f>Table6[[#This Row],[First Name]]&amp;", "&amp;S61</f>
        <v>Catherine, WH</v>
      </c>
      <c r="B61" s="3" t="s">
        <v>60</v>
      </c>
      <c r="C61" s="3" t="s">
        <v>61</v>
      </c>
      <c r="D61" s="3" t="s">
        <v>10</v>
      </c>
      <c r="E61" s="3" t="s">
        <v>24</v>
      </c>
      <c r="F61" s="29">
        <v>40905</v>
      </c>
      <c r="G61" s="4">
        <f t="shared" si="3"/>
        <v>8</v>
      </c>
      <c r="H61" s="41" t="s">
        <v>86</v>
      </c>
      <c r="I61" s="10" t="str">
        <f t="shared" si="4"/>
        <v>YES</v>
      </c>
      <c r="J61" s="42" t="s">
        <v>77</v>
      </c>
      <c r="K61" s="48">
        <v>43946</v>
      </c>
      <c r="L61" s="23"/>
      <c r="M61" s="6">
        <v>0</v>
      </c>
      <c r="N61" s="26"/>
      <c r="O61" s="23"/>
      <c r="P61" s="6" t="str">
        <f>IF(O61=5,M61+1,"")</f>
        <v/>
      </c>
      <c r="Q61" s="37">
        <f t="shared" si="5"/>
        <v>0</v>
      </c>
      <c r="R61" s="6" t="str">
        <f>IF(LEFT(J61,4)="NFMC",IFERROR(IF(MOD(Table6[[#This Row],[PAP]],15)+Table6[[#This Row],[RATING]]&gt;=15,"CUP",""),""),IFERROR(IF(MOD(Table6[[#This Row],[CCS]],2),"Cert","Medal"),""))</f>
        <v/>
      </c>
      <c r="S61" s="2" t="s">
        <v>115</v>
      </c>
      <c r="T61" s="2" t="s">
        <v>125</v>
      </c>
      <c r="U61" s="2" t="str">
        <f>IF(Table6[[#This Row],[Event]]="Hymn",LEFT(Table6[[#This Row],[Phone Number]],8)&amp;"5481","")</f>
        <v>225-761-5481</v>
      </c>
      <c r="V61" s="2" t="s">
        <v>147</v>
      </c>
      <c r="W61" s="2" t="str">
        <f>IF(Table6[[#This Row],[Switch to Virtual?]]="YES","Physical","Virtual")</f>
        <v>Physical</v>
      </c>
      <c r="X61" s="2" t="s">
        <v>182</v>
      </c>
      <c r="Y61" s="2" t="s">
        <v>147</v>
      </c>
      <c r="Z61" s="2" t="s">
        <v>147</v>
      </c>
      <c r="AA61" s="2" t="s">
        <v>147</v>
      </c>
      <c r="AB61" s="2"/>
      <c r="AC61" s="2"/>
      <c r="AD61" s="2" t="s">
        <v>98</v>
      </c>
      <c r="AE61" s="2"/>
    </row>
    <row r="62" spans="1:31" x14ac:dyDescent="0.25">
      <c r="A62" t="str">
        <f>Table6[[#This Row],[First Name]]&amp;", "&amp;S62</f>
        <v>Catherine, H</v>
      </c>
      <c r="B62" s="3" t="s">
        <v>60</v>
      </c>
      <c r="C62" s="3" t="s">
        <v>61</v>
      </c>
      <c r="D62" s="3" t="s">
        <v>10</v>
      </c>
      <c r="E62" s="3" t="s">
        <v>24</v>
      </c>
      <c r="F62" s="29">
        <v>40906</v>
      </c>
      <c r="G62" s="4">
        <f t="shared" si="3"/>
        <v>8</v>
      </c>
      <c r="H62" s="41" t="s">
        <v>86</v>
      </c>
      <c r="I62" s="10" t="str">
        <f t="shared" si="4"/>
        <v>YES</v>
      </c>
      <c r="J62" s="19" t="s">
        <v>105</v>
      </c>
      <c r="K62" s="48">
        <v>43876</v>
      </c>
      <c r="L62" s="23" t="s">
        <v>83</v>
      </c>
      <c r="M62" s="26">
        <v>0</v>
      </c>
      <c r="N62" s="26">
        <v>5</v>
      </c>
      <c r="O62" s="23">
        <v>4</v>
      </c>
      <c r="P62" s="6" t="str">
        <f>IF(O62=5,M62+1,"0")</f>
        <v>0</v>
      </c>
      <c r="Q62" s="6">
        <f t="shared" si="5"/>
        <v>9</v>
      </c>
      <c r="R62" s="6" t="str">
        <f>IF(LEFT(J62,4)="NFMC",IFERROR(IF(MOD(Table6[[#This Row],[PAP]],15)+Table6[[#This Row],[RATING]]&gt;=15,"CUP",""),""),IFERROR(IF(MOD(Table6[[#This Row],[CCS]],2),"Cert","Medal"),""))</f>
        <v/>
      </c>
      <c r="S62" s="2" t="s">
        <v>106</v>
      </c>
      <c r="T62" s="2" t="s">
        <v>125</v>
      </c>
      <c r="U62" s="2" t="str">
        <f>IF(Table6[[#This Row],[Event]]="Hymn",LEFT(Table6[[#This Row],[Phone Number]],8)&amp;"5481","")</f>
        <v/>
      </c>
      <c r="V62" s="2" t="s">
        <v>147</v>
      </c>
      <c r="W62" s="2" t="str">
        <f>IF(Table6[[#This Row],[Switch to Virtual?]]="YES","Physical","Virtual")</f>
        <v>Physical</v>
      </c>
      <c r="X62" s="2"/>
      <c r="Y62" s="2"/>
      <c r="Z62" s="2"/>
      <c r="AA62" s="2"/>
      <c r="AB62" s="2"/>
      <c r="AC62" s="2"/>
      <c r="AD62" s="2"/>
      <c r="AE62" s="2"/>
    </row>
    <row r="63" spans="1:31" x14ac:dyDescent="0.25">
      <c r="A63" t="str">
        <f>Table6[[#This Row],[First Name]]&amp;", "&amp;S63</f>
        <v>Catherine, 1</v>
      </c>
      <c r="B63" s="3" t="s">
        <v>60</v>
      </c>
      <c r="C63" s="3" t="s">
        <v>61</v>
      </c>
      <c r="D63" s="3" t="s">
        <v>10</v>
      </c>
      <c r="E63" s="3" t="s">
        <v>24</v>
      </c>
      <c r="F63" s="29">
        <v>40905</v>
      </c>
      <c r="G63" s="4">
        <f t="shared" si="3"/>
        <v>8</v>
      </c>
      <c r="H63" s="41" t="s">
        <v>86</v>
      </c>
      <c r="I63" s="10" t="str">
        <f t="shared" si="4"/>
        <v>YES</v>
      </c>
      <c r="J63" s="42" t="s">
        <v>103</v>
      </c>
      <c r="K63" s="48">
        <v>43876</v>
      </c>
      <c r="L63" s="23" t="s">
        <v>11</v>
      </c>
      <c r="M63" s="26">
        <v>3</v>
      </c>
      <c r="N63" s="26">
        <v>15</v>
      </c>
      <c r="O63" s="23">
        <v>5</v>
      </c>
      <c r="P63" s="6">
        <f>IF(O63=5,M63+1,"0")</f>
        <v>4</v>
      </c>
      <c r="Q63" s="6">
        <f t="shared" si="5"/>
        <v>20</v>
      </c>
      <c r="R63" s="6" t="str">
        <f>IF(LEFT(J63,4)="NFMC",IFERROR(IF(MOD(Table6[[#This Row],[PAP]],15)+Table6[[#This Row],[RATING]]&gt;=15,"CUP",""),""),IFERROR(IF(MOD(Table6[[#This Row],[CCS]],2),"Cert","Medal"),""))</f>
        <v/>
      </c>
      <c r="S63" s="2">
        <v>1</v>
      </c>
      <c r="T63" s="2" t="s">
        <v>125</v>
      </c>
      <c r="U63" s="2" t="str">
        <f>IF(Table6[[#This Row],[Event]]="Hymn",LEFT(Table6[[#This Row],[Phone Number]],8)&amp;"5481","")</f>
        <v/>
      </c>
      <c r="V63" s="2" t="s">
        <v>147</v>
      </c>
      <c r="W63" s="2" t="str">
        <f>IF(Table6[[#This Row],[Switch to Virtual?]]="YES","Physical","Virtual")</f>
        <v>Physical</v>
      </c>
      <c r="X63" s="2"/>
      <c r="Y63" s="2"/>
      <c r="Z63" s="2"/>
      <c r="AA63" s="2"/>
      <c r="AB63" s="2"/>
      <c r="AC63" s="2"/>
      <c r="AD63" s="2"/>
      <c r="AE63" s="2"/>
    </row>
    <row r="64" spans="1:31" x14ac:dyDescent="0.25">
      <c r="A64" t="str">
        <f>Table6[[#This Row],[First Name]]&amp;", "&amp;S64</f>
        <v>Catherine, T</v>
      </c>
      <c r="B64" s="3" t="s">
        <v>60</v>
      </c>
      <c r="C64" s="3" t="s">
        <v>61</v>
      </c>
      <c r="D64" s="3" t="s">
        <v>10</v>
      </c>
      <c r="E64" s="3" t="s">
        <v>24</v>
      </c>
      <c r="F64" s="29">
        <v>40905</v>
      </c>
      <c r="G64" s="4">
        <f t="shared" si="3"/>
        <v>8</v>
      </c>
      <c r="H64" s="41" t="s">
        <v>86</v>
      </c>
      <c r="I64" s="10" t="str">
        <f t="shared" si="4"/>
        <v>YES</v>
      </c>
      <c r="J64" s="19" t="s">
        <v>120</v>
      </c>
      <c r="K64" s="48">
        <v>43876</v>
      </c>
      <c r="L64" s="6" t="s">
        <v>62</v>
      </c>
      <c r="M64" s="6">
        <v>0</v>
      </c>
      <c r="N64" s="6">
        <v>0</v>
      </c>
      <c r="O64" s="6">
        <v>3</v>
      </c>
      <c r="P64" s="6" t="str">
        <f>IF(O64=5,M64+1,"0")</f>
        <v>0</v>
      </c>
      <c r="Q64" s="6">
        <f t="shared" si="5"/>
        <v>3</v>
      </c>
      <c r="R64" s="6" t="str">
        <f>IF(LEFT(J64,4)="NFMC",IFERROR(IF(MOD(Table6[[#This Row],[PAP]],15)+Table6[[#This Row],[RATING]]&gt;=15,"CUP",""),""),IFERROR(IF(MOD(Table6[[#This Row],[CCS]],2),"Cert","Medal"),""))</f>
        <v/>
      </c>
      <c r="S64" s="2" t="s">
        <v>111</v>
      </c>
      <c r="T64" s="2" t="s">
        <v>125</v>
      </c>
      <c r="U64" s="2" t="str">
        <f>IF(Table6[[#This Row],[Event]]="Hymn",LEFT(Table6[[#This Row],[Phone Number]],8)&amp;"5481","")</f>
        <v/>
      </c>
      <c r="V64" s="2" t="s">
        <v>147</v>
      </c>
      <c r="W64" s="2" t="str">
        <f>IF(Table6[[#This Row],[Switch to Virtual?]]="YES","Physical","Virtual")</f>
        <v>Physical</v>
      </c>
      <c r="X64" s="2"/>
      <c r="Y64" s="2"/>
      <c r="Z64" s="2"/>
      <c r="AA64" s="2"/>
      <c r="AB64" s="2"/>
      <c r="AC64" s="2"/>
      <c r="AD64" s="2"/>
      <c r="AE64" s="2"/>
    </row>
    <row r="65" spans="1:31" x14ac:dyDescent="0.25">
      <c r="A65" t="str">
        <f>Table6[[#This Row],[First Name]]&amp;", "&amp;S65</f>
        <v>Catherine, X</v>
      </c>
      <c r="B65" s="3" t="s">
        <v>60</v>
      </c>
      <c r="C65" s="3" t="s">
        <v>61</v>
      </c>
      <c r="D65" s="3" t="s">
        <v>10</v>
      </c>
      <c r="E65" s="3" t="s">
        <v>24</v>
      </c>
      <c r="F65" s="29">
        <v>40905</v>
      </c>
      <c r="G65" s="4">
        <f t="shared" si="3"/>
        <v>8</v>
      </c>
      <c r="H65" s="41" t="s">
        <v>86</v>
      </c>
      <c r="I65" s="10" t="str">
        <f t="shared" si="4"/>
        <v>YES</v>
      </c>
      <c r="J65" s="42" t="s">
        <v>107</v>
      </c>
      <c r="K65" s="48">
        <v>43806</v>
      </c>
      <c r="L65" s="23"/>
      <c r="M65" s="6">
        <v>3</v>
      </c>
      <c r="N65" s="26"/>
      <c r="O65" s="6" t="s">
        <v>114</v>
      </c>
      <c r="P65" s="6" t="str">
        <f>IF(O65=5,M65+1,"")</f>
        <v/>
      </c>
      <c r="Q65" s="6" t="str">
        <f t="shared" si="5"/>
        <v/>
      </c>
      <c r="R65" s="6" t="str">
        <f>IF(LEFT(J65,4)="NFMC",IFERROR(IF(MOD(Table6[[#This Row],[PAP]],15)+Table6[[#This Row],[RATING]]&gt;=15,"CUP",""),""),IFERROR(IF(MOD(Table6[[#This Row],[CCS]],2),"Cert","Medal"),""))</f>
        <v/>
      </c>
      <c r="S65" s="2" t="s">
        <v>98</v>
      </c>
      <c r="T65" s="2" t="s">
        <v>125</v>
      </c>
      <c r="U65" s="2" t="str">
        <f>IF(Table6[[#This Row],[Event]]="Hymn",LEFT(Table6[[#This Row],[Phone Number]],8)&amp;"5481","")</f>
        <v/>
      </c>
      <c r="V65" s="2" t="s">
        <v>147</v>
      </c>
      <c r="W65" s="2" t="str">
        <f>IF(Table6[[#This Row],[Switch to Virtual?]]="YES","Physical","Virtual")</f>
        <v>Physical</v>
      </c>
      <c r="X65" s="2"/>
      <c r="Y65" s="2"/>
      <c r="Z65" s="2"/>
      <c r="AA65" s="2"/>
      <c r="AB65" s="2"/>
      <c r="AC65" s="2"/>
      <c r="AD65" s="2"/>
      <c r="AE65" s="2"/>
    </row>
    <row r="66" spans="1:31" x14ac:dyDescent="0.25">
      <c r="A66" t="str">
        <f>Table6[[#This Row],[First Name]]&amp;", "&amp;S66</f>
        <v>Mia, WH</v>
      </c>
      <c r="B66" s="3" t="s">
        <v>49</v>
      </c>
      <c r="C66" s="3" t="s">
        <v>50</v>
      </c>
      <c r="D66" s="3" t="s">
        <v>10</v>
      </c>
      <c r="E66" s="3" t="s">
        <v>24</v>
      </c>
      <c r="F66" s="29">
        <v>39560</v>
      </c>
      <c r="G66" s="4">
        <f t="shared" si="3"/>
        <v>11</v>
      </c>
      <c r="H66" s="41" t="s">
        <v>86</v>
      </c>
      <c r="I66" s="10" t="str">
        <f t="shared" si="4"/>
        <v/>
      </c>
      <c r="J66" s="19" t="s">
        <v>77</v>
      </c>
      <c r="K66" s="48">
        <v>43946</v>
      </c>
      <c r="L66" s="23"/>
      <c r="M66" s="6">
        <v>6</v>
      </c>
      <c r="N66" s="26"/>
      <c r="O66" s="23"/>
      <c r="P66" s="6" t="str">
        <f>IF(O66=5,M66+1,"")</f>
        <v/>
      </c>
      <c r="Q66" s="37">
        <f t="shared" si="5"/>
        <v>0</v>
      </c>
      <c r="R66" s="6" t="str">
        <f>IF(LEFT(J66,4)="NFMC",IFERROR(IF(MOD(Table6[[#This Row],[PAP]],15)+Table6[[#This Row],[RATING]]&gt;=15,"CUP",""),""),IFERROR(IF(MOD(Table6[[#This Row],[CCS]],2),"Cert","Medal"),""))</f>
        <v/>
      </c>
      <c r="S66" s="2" t="s">
        <v>115</v>
      </c>
      <c r="T66" s="2" t="s">
        <v>137</v>
      </c>
      <c r="U66" s="2" t="str">
        <f>IF(Table6[[#This Row],[Event]]="Hymn",LEFT(Table6[[#This Row],[Phone Number]],8)&amp;"5481","")</f>
        <v>225-871-5481</v>
      </c>
      <c r="V66" s="2" t="s">
        <v>147</v>
      </c>
      <c r="W66" s="2" t="str">
        <f>IF(Table6[[#This Row],[Switch to Virtual?]]="YES","Physical","Virtual")</f>
        <v>Physical</v>
      </c>
      <c r="X66" s="2"/>
      <c r="Y66" s="2"/>
      <c r="Z66" s="2"/>
      <c r="AA66" s="2"/>
      <c r="AB66" s="2"/>
      <c r="AC66" s="2"/>
      <c r="AD66" s="2"/>
      <c r="AE66" s="49"/>
    </row>
    <row r="67" spans="1:31" x14ac:dyDescent="0.25">
      <c r="A67" t="str">
        <f>Table6[[#This Row],[First Name]]&amp;", "&amp;S67</f>
        <v>Mia, 1</v>
      </c>
      <c r="B67" s="3" t="s">
        <v>49</v>
      </c>
      <c r="C67" s="3" t="s">
        <v>50</v>
      </c>
      <c r="D67" s="3" t="s">
        <v>10</v>
      </c>
      <c r="E67" s="3" t="s">
        <v>24</v>
      </c>
      <c r="F67" s="29">
        <v>39560</v>
      </c>
      <c r="G67" s="4">
        <f t="shared" si="3"/>
        <v>11</v>
      </c>
      <c r="H67" s="41" t="s">
        <v>86</v>
      </c>
      <c r="I67" s="10" t="str">
        <f t="shared" si="4"/>
        <v/>
      </c>
      <c r="J67" s="42" t="s">
        <v>103</v>
      </c>
      <c r="K67" s="48">
        <v>43876</v>
      </c>
      <c r="L67" s="23" t="s">
        <v>29</v>
      </c>
      <c r="M67" s="26">
        <v>6</v>
      </c>
      <c r="N67" s="26">
        <v>30</v>
      </c>
      <c r="O67" s="23">
        <v>5</v>
      </c>
      <c r="P67" s="6">
        <f>IF(O67=5,M67+1,"0")</f>
        <v>7</v>
      </c>
      <c r="Q67" s="6">
        <f t="shared" si="5"/>
        <v>35</v>
      </c>
      <c r="R67" s="6" t="str">
        <f>IF(LEFT(J67,4)="NFMC",IFERROR(IF(MOD(Table6[[#This Row],[PAP]],15)+Table6[[#This Row],[RATING]]&gt;=15,"CUP",""),""),IFERROR(IF(MOD(Table6[[#This Row],[CCS]],2),"Cert","Medal"),""))</f>
        <v/>
      </c>
      <c r="S67" s="2">
        <v>1</v>
      </c>
      <c r="T67" s="2" t="s">
        <v>137</v>
      </c>
      <c r="U67" s="2" t="str">
        <f>IF(Table6[[#This Row],[Event]]="Hymn",LEFT(Table6[[#This Row],[Phone Number]],8)&amp;"5481","")</f>
        <v/>
      </c>
      <c r="V67" s="2" t="s">
        <v>147</v>
      </c>
      <c r="W67" s="2" t="str">
        <f>IF(Table6[[#This Row],[Switch to Virtual?]]="YES","Physical","Virtual")</f>
        <v>Physical</v>
      </c>
      <c r="X67" s="2"/>
      <c r="Y67" s="2"/>
      <c r="Z67" s="2"/>
      <c r="AA67" s="2"/>
      <c r="AB67" s="2"/>
      <c r="AC67" s="2"/>
      <c r="AD67" s="2"/>
      <c r="AE67" s="49"/>
    </row>
    <row r="68" spans="1:31" x14ac:dyDescent="0.25">
      <c r="A68" t="str">
        <f>Table6[[#This Row],[First Name]]&amp;", "&amp;S68</f>
        <v>Mia, X</v>
      </c>
      <c r="B68" s="3" t="s">
        <v>49</v>
      </c>
      <c r="C68" s="3" t="s">
        <v>50</v>
      </c>
      <c r="D68" s="3" t="s">
        <v>10</v>
      </c>
      <c r="E68" s="3" t="s">
        <v>24</v>
      </c>
      <c r="F68" s="29">
        <v>39560</v>
      </c>
      <c r="G68" s="4">
        <f t="shared" si="3"/>
        <v>11</v>
      </c>
      <c r="H68" s="41" t="s">
        <v>86</v>
      </c>
      <c r="I68" s="10" t="str">
        <f t="shared" si="4"/>
        <v/>
      </c>
      <c r="J68" s="19" t="s">
        <v>107</v>
      </c>
      <c r="K68" s="48">
        <v>43806</v>
      </c>
      <c r="L68" s="23"/>
      <c r="M68" s="6">
        <v>5</v>
      </c>
      <c r="N68" s="26"/>
      <c r="O68" s="6" t="s">
        <v>114</v>
      </c>
      <c r="P68" s="6" t="str">
        <f>IF(O68=5,M68+1,"")</f>
        <v/>
      </c>
      <c r="Q68" s="6" t="str">
        <f t="shared" si="5"/>
        <v/>
      </c>
      <c r="R68" s="6" t="str">
        <f>IF(LEFT(J68,4)="NFMC",IFERROR(IF(MOD(Table6[[#This Row],[PAP]],15)+Table6[[#This Row],[RATING]]&gt;=15,"CUP",""),""),IFERROR(IF(MOD(Table6[[#This Row],[CCS]],2),"Cert","Medal"),""))</f>
        <v/>
      </c>
      <c r="S68" s="2" t="s">
        <v>98</v>
      </c>
      <c r="T68" s="2" t="s">
        <v>137</v>
      </c>
      <c r="U68" s="2" t="str">
        <f>IF(Table6[[#This Row],[Event]]="Hymn",LEFT(Table6[[#This Row],[Phone Number]],8)&amp;"5481","")</f>
        <v/>
      </c>
      <c r="V68" s="2" t="s">
        <v>147</v>
      </c>
      <c r="W68" s="2" t="str">
        <f>IF(Table6[[#This Row],[Switch to Virtual?]]="YES","Physical","Virtual")</f>
        <v>Physical</v>
      </c>
      <c r="X68" s="2"/>
      <c r="Y68" s="2"/>
      <c r="Z68" s="2"/>
      <c r="AA68" s="2"/>
      <c r="AB68" s="2"/>
      <c r="AC68" s="2"/>
      <c r="AD68" s="2"/>
      <c r="AE68" s="49"/>
    </row>
    <row r="69" spans="1:31" x14ac:dyDescent="0.25">
      <c r="A69" t="str">
        <f>Table6[[#This Row],[First Name]]&amp;", "&amp;S69</f>
        <v>Landry, X</v>
      </c>
      <c r="B69" s="3" t="s">
        <v>112</v>
      </c>
      <c r="C69" s="3" t="s">
        <v>113</v>
      </c>
      <c r="D69" s="3" t="s">
        <v>10</v>
      </c>
      <c r="E69" s="3" t="s">
        <v>24</v>
      </c>
      <c r="F69" s="29">
        <v>41988</v>
      </c>
      <c r="G69" s="4">
        <f t="shared" si="3"/>
        <v>5</v>
      </c>
      <c r="H69" s="41" t="s">
        <v>86</v>
      </c>
      <c r="I69" s="10" t="str">
        <f t="shared" si="4"/>
        <v>YES</v>
      </c>
      <c r="J69" s="42" t="s">
        <v>107</v>
      </c>
      <c r="K69" s="48">
        <v>43806</v>
      </c>
      <c r="L69" s="23"/>
      <c r="M69" s="6">
        <v>0</v>
      </c>
      <c r="N69" s="26"/>
      <c r="O69" s="6">
        <v>5</v>
      </c>
      <c r="P69" s="6">
        <f>IF(O69=5,M69+1,"")</f>
        <v>1</v>
      </c>
      <c r="Q69" s="6">
        <f t="shared" si="5"/>
        <v>5</v>
      </c>
      <c r="R69" s="6" t="str">
        <f>IF(LEFT(J69,4)="NFMC",IFERROR(IF(MOD(Table6[[#This Row],[PAP]],15)+Table6[[#This Row],[RATING]]&gt;=15,"CUP",""),""),IFERROR(IF(MOD(Table6[[#This Row],[CCS]],2),"Cert","Medal"),""))</f>
        <v>Cert</v>
      </c>
      <c r="S69" s="39" t="s">
        <v>98</v>
      </c>
      <c r="T69" s="2" t="s">
        <v>134</v>
      </c>
      <c r="U69" s="2" t="str">
        <f>IF(Table6[[#This Row],[Event]]="Hymn",LEFT(Table6[[#This Row],[Phone Number]],8)&amp;"5481","")</f>
        <v/>
      </c>
      <c r="V69" s="2" t="s">
        <v>147</v>
      </c>
      <c r="W69" s="2" t="str">
        <f>IF(Table6[[#This Row],[Switch to Virtual?]]="YES","Physical","Virtual")</f>
        <v>Physical</v>
      </c>
      <c r="X69" s="2" t="s">
        <v>182</v>
      </c>
      <c r="Y69" s="2" t="s">
        <v>147</v>
      </c>
      <c r="Z69" s="2" t="s">
        <v>147</v>
      </c>
      <c r="AA69" s="2" t="s">
        <v>147</v>
      </c>
      <c r="AB69" s="2" t="s">
        <v>98</v>
      </c>
      <c r="AC69" s="2"/>
      <c r="AD69" s="2"/>
      <c r="AE69" s="2"/>
    </row>
    <row r="70" spans="1:31" x14ac:dyDescent="0.25">
      <c r="A70" t="str">
        <f>Table6[[#This Row],[First Name]]&amp;", "&amp;S70</f>
        <v>Ryan, 1</v>
      </c>
      <c r="B70" s="3" t="s">
        <v>51</v>
      </c>
      <c r="C70" s="3" t="s">
        <v>52</v>
      </c>
      <c r="D70" s="3" t="s">
        <v>10</v>
      </c>
      <c r="E70" s="3" t="s">
        <v>24</v>
      </c>
      <c r="F70" s="29">
        <v>38664</v>
      </c>
      <c r="G70" s="4">
        <f t="shared" si="3"/>
        <v>14</v>
      </c>
      <c r="H70" s="41" t="s">
        <v>86</v>
      </c>
      <c r="I70" s="10" t="str">
        <f t="shared" si="4"/>
        <v/>
      </c>
      <c r="J70" s="19" t="s">
        <v>103</v>
      </c>
      <c r="K70" s="48">
        <v>43876</v>
      </c>
      <c r="L70" s="23" t="s">
        <v>29</v>
      </c>
      <c r="M70" s="26">
        <v>5</v>
      </c>
      <c r="N70" s="26">
        <v>25</v>
      </c>
      <c r="O70" s="23">
        <v>5</v>
      </c>
      <c r="P70" s="6">
        <f>IF(O70=5,M70+1,"0")</f>
        <v>6</v>
      </c>
      <c r="Q70" s="6">
        <f t="shared" si="5"/>
        <v>30</v>
      </c>
      <c r="R70" s="6" t="str">
        <f>IF(LEFT(J70,4)="NFMC",IFERROR(IF(MOD(Table6[[#This Row],[PAP]],15)+Table6[[#This Row],[RATING]]&gt;=15,"CUP",""),""),IFERROR(IF(MOD(Table6[[#This Row],[CCS]],2),"Cert","Medal"),""))</f>
        <v>CUP</v>
      </c>
      <c r="S70" s="2">
        <v>1</v>
      </c>
      <c r="T70" s="2" t="s">
        <v>139</v>
      </c>
      <c r="U70" s="2" t="str">
        <f>IF(Table6[[#This Row],[Event]]="Hymn",LEFT(Table6[[#This Row],[Phone Number]],8)&amp;"5481","")</f>
        <v/>
      </c>
      <c r="V70" s="2" t="s">
        <v>147</v>
      </c>
      <c r="W70" s="2" t="str">
        <f>IF(Table6[[#This Row],[Switch to Virtual?]]="YES","Physical","Virtual")</f>
        <v>Physical</v>
      </c>
      <c r="X70" s="2" t="s">
        <v>182</v>
      </c>
      <c r="Y70" s="2" t="s">
        <v>147</v>
      </c>
      <c r="Z70" s="2" t="s">
        <v>147</v>
      </c>
      <c r="AA70" s="2" t="s">
        <v>147</v>
      </c>
      <c r="AB70" s="2"/>
      <c r="AC70" s="2"/>
      <c r="AD70" s="2" t="s">
        <v>98</v>
      </c>
      <c r="AE70" s="49" t="s">
        <v>180</v>
      </c>
    </row>
    <row r="71" spans="1:31" x14ac:dyDescent="0.25">
      <c r="A71" t="str">
        <f>Table6[[#This Row],[First Name]]&amp;", "&amp;S71</f>
        <v>Ryan, T</v>
      </c>
      <c r="B71" s="3" t="s">
        <v>51</v>
      </c>
      <c r="C71" s="3" t="s">
        <v>52</v>
      </c>
      <c r="D71" s="3" t="s">
        <v>10</v>
      </c>
      <c r="E71" s="3" t="s">
        <v>24</v>
      </c>
      <c r="F71" s="29">
        <v>38664</v>
      </c>
      <c r="G71" s="4">
        <f t="shared" si="3"/>
        <v>14</v>
      </c>
      <c r="H71" s="41" t="s">
        <v>87</v>
      </c>
      <c r="I71" s="10" t="str">
        <f t="shared" si="4"/>
        <v/>
      </c>
      <c r="J71" s="42" t="s">
        <v>120</v>
      </c>
      <c r="K71" s="48">
        <v>43876</v>
      </c>
      <c r="L71" s="6" t="s">
        <v>33</v>
      </c>
      <c r="M71" s="6">
        <v>2</v>
      </c>
      <c r="N71" s="6">
        <v>17</v>
      </c>
      <c r="O71" s="6">
        <v>5</v>
      </c>
      <c r="P71" s="6">
        <f>IF(O71=5,M71+1,"0")</f>
        <v>3</v>
      </c>
      <c r="Q71" s="6">
        <f t="shared" si="5"/>
        <v>22</v>
      </c>
      <c r="R71" s="6" t="str">
        <f>IF(LEFT(J71,4)="NFMC",IFERROR(IF(MOD(Table6[[#This Row],[PAP]],15)+Table6[[#This Row],[RATING]]&gt;=15,"CUP",""),""),IFERROR(IF(MOD(Table6[[#This Row],[CCS]],2),"Cert","Medal"),""))</f>
        <v/>
      </c>
      <c r="S71" s="2" t="s">
        <v>111</v>
      </c>
      <c r="T71" s="2" t="s">
        <v>139</v>
      </c>
      <c r="U71" s="2" t="str">
        <f>IF(Table6[[#This Row],[Event]]="Hymn",LEFT(Table6[[#This Row],[Phone Number]],8)&amp;"5481","")</f>
        <v/>
      </c>
      <c r="V71" s="2" t="s">
        <v>147</v>
      </c>
      <c r="W71" s="2" t="str">
        <f>IF(Table6[[#This Row],[Switch to Virtual?]]="YES","Physical","Virtual")</f>
        <v>Physical</v>
      </c>
      <c r="X71" s="2"/>
      <c r="Y71" s="2"/>
      <c r="Z71" s="2"/>
      <c r="AA71" s="2"/>
      <c r="AB71" s="2"/>
      <c r="AC71" s="2"/>
      <c r="AD71" s="2"/>
      <c r="AE71" s="49"/>
    </row>
    <row r="72" spans="1:31" x14ac:dyDescent="0.25">
      <c r="A72" t="str">
        <f>Table6[[#This Row],[First Name]]&amp;", "&amp;S72</f>
        <v>Zane, WH</v>
      </c>
      <c r="B72" s="3" t="s">
        <v>68</v>
      </c>
      <c r="C72" s="3" t="s">
        <v>69</v>
      </c>
      <c r="D72" s="3" t="s">
        <v>10</v>
      </c>
      <c r="E72" s="3" t="s">
        <v>24</v>
      </c>
      <c r="F72" s="29">
        <v>37522</v>
      </c>
      <c r="G72" s="4">
        <f t="shared" ref="G72:G82" si="6">DATEDIF(F72,$E$1,"Y")</f>
        <v>17</v>
      </c>
      <c r="H72" s="41" t="s">
        <v>87</v>
      </c>
      <c r="I72" s="10" t="str">
        <f t="shared" ref="I72:I82" si="7">IF(G72&lt;9,"YES","")</f>
        <v/>
      </c>
      <c r="J72" s="19" t="s">
        <v>77</v>
      </c>
      <c r="K72" s="48">
        <v>43946</v>
      </c>
      <c r="L72" s="23"/>
      <c r="M72" s="6">
        <v>0</v>
      </c>
      <c r="N72" s="26"/>
      <c r="O72" s="23"/>
      <c r="P72" s="6" t="str">
        <f>IF(O72=5,M72+1,"")</f>
        <v/>
      </c>
      <c r="Q72" s="37">
        <f t="shared" ref="Q72:Q82" si="8">IFERROR(N72+O72,"")</f>
        <v>0</v>
      </c>
      <c r="R72" s="6" t="str">
        <f>IF(LEFT(J72,4)="NFMC",IFERROR(IF(MOD(Table6[[#This Row],[PAP]],15)+Table6[[#This Row],[RATING]]&gt;=15,"CUP",""),""),IFERROR(IF(MOD(Table6[[#This Row],[CCS]],2),"Cert","Medal"),""))</f>
        <v/>
      </c>
      <c r="S72" s="2" t="s">
        <v>115</v>
      </c>
      <c r="T72" s="2" t="s">
        <v>142</v>
      </c>
      <c r="U72" s="2" t="str">
        <f>IF(Table6[[#This Row],[Event]]="Hymn",LEFT(Table6[[#This Row],[Phone Number]],8)&amp;"5481","")</f>
        <v>225-420-5481</v>
      </c>
      <c r="V72" s="2" t="s">
        <v>147</v>
      </c>
      <c r="W72" s="2" t="str">
        <f>IF(Table6[[#This Row],[Switch to Virtual?]]="YES","Physical","Virtual")</f>
        <v>Physical</v>
      </c>
      <c r="X72" s="2" t="s">
        <v>175</v>
      </c>
      <c r="Y72" s="2" t="s">
        <v>147</v>
      </c>
      <c r="Z72" s="2" t="s">
        <v>147</v>
      </c>
      <c r="AA72" s="2" t="s">
        <v>147</v>
      </c>
      <c r="AB72" s="2" t="s">
        <v>98</v>
      </c>
      <c r="AC72" s="2"/>
      <c r="AD72" s="2"/>
      <c r="AE72" s="49"/>
    </row>
    <row r="73" spans="1:31" x14ac:dyDescent="0.25">
      <c r="A73" t="str">
        <f>Table6[[#This Row],[First Name]]&amp;", "&amp;S73</f>
        <v>Zane, WH</v>
      </c>
      <c r="B73" s="3" t="s">
        <v>68</v>
      </c>
      <c r="C73" s="3" t="s">
        <v>69</v>
      </c>
      <c r="D73" s="3" t="s">
        <v>10</v>
      </c>
      <c r="E73" s="3" t="s">
        <v>24</v>
      </c>
      <c r="F73" s="29">
        <v>37522</v>
      </c>
      <c r="G73" s="4">
        <f t="shared" si="6"/>
        <v>17</v>
      </c>
      <c r="H73" s="41" t="s">
        <v>87</v>
      </c>
      <c r="I73" s="10" t="str">
        <f t="shared" si="7"/>
        <v/>
      </c>
      <c r="J73" s="42" t="s">
        <v>77</v>
      </c>
      <c r="K73" s="48">
        <v>43946</v>
      </c>
      <c r="L73" s="23"/>
      <c r="M73" s="26">
        <v>0</v>
      </c>
      <c r="N73" s="26"/>
      <c r="O73" s="23"/>
      <c r="P73" s="6" t="str">
        <f>IF(O73=5,M73+1,"")</f>
        <v/>
      </c>
      <c r="Q73" s="37">
        <f t="shared" si="8"/>
        <v>0</v>
      </c>
      <c r="R73" s="6" t="str">
        <f>IF(LEFT(J73,4)="NFMC",IFERROR(IF(MOD(Table6[[#This Row],[PAP]],15)+Table6[[#This Row],[RATING]]&gt;=15,"CUP",""),""),IFERROR(IF(MOD(Table6[[#This Row],[CCS]],2),"Cert","Medal"),""))</f>
        <v/>
      </c>
      <c r="S73" s="39" t="s">
        <v>115</v>
      </c>
      <c r="T73" s="2" t="s">
        <v>142</v>
      </c>
      <c r="U73" s="2" t="str">
        <f>IF(Table6[[#This Row],[Event]]="Hymn",LEFT(Table6[[#This Row],[Phone Number]],8)&amp;"5481","")</f>
        <v>225-420-5481</v>
      </c>
      <c r="V73" s="2" t="s">
        <v>147</v>
      </c>
      <c r="W73" s="2" t="str">
        <f>IF(Table6[[#This Row],[Switch to Virtual?]]="YES","Physical","Virtual")</f>
        <v>Physical</v>
      </c>
      <c r="X73" s="2"/>
      <c r="Y73" s="2"/>
      <c r="Z73" s="2"/>
      <c r="AA73" s="2"/>
      <c r="AB73" s="2"/>
      <c r="AC73" s="2"/>
      <c r="AD73" s="2"/>
      <c r="AE73" s="49"/>
    </row>
    <row r="74" spans="1:31" x14ac:dyDescent="0.25">
      <c r="A74" t="str">
        <f>Table6[[#This Row],[First Name]]&amp;", "&amp;S74</f>
        <v>Zane, 1</v>
      </c>
      <c r="B74" s="3" t="s">
        <v>68</v>
      </c>
      <c r="C74" s="3" t="s">
        <v>69</v>
      </c>
      <c r="D74" s="3" t="s">
        <v>10</v>
      </c>
      <c r="E74" s="3" t="s">
        <v>24</v>
      </c>
      <c r="F74" s="29">
        <v>37522</v>
      </c>
      <c r="G74" s="4">
        <f t="shared" si="6"/>
        <v>17</v>
      </c>
      <c r="H74" s="41" t="s">
        <v>87</v>
      </c>
      <c r="I74" s="10" t="str">
        <f t="shared" si="7"/>
        <v/>
      </c>
      <c r="J74" s="19" t="s">
        <v>103</v>
      </c>
      <c r="K74" s="48">
        <v>43876</v>
      </c>
      <c r="L74" s="23" t="s">
        <v>59</v>
      </c>
      <c r="M74" s="26">
        <v>0</v>
      </c>
      <c r="N74" s="26">
        <v>5</v>
      </c>
      <c r="O74" s="23">
        <v>5</v>
      </c>
      <c r="P74" s="6">
        <f>IF(O74=5,M74+1,"0")</f>
        <v>1</v>
      </c>
      <c r="Q74" s="6">
        <f t="shared" si="8"/>
        <v>10</v>
      </c>
      <c r="R74" s="6" t="str">
        <f>IF(LEFT(J74,4)="NFMC",IFERROR(IF(MOD(Table6[[#This Row],[PAP]],15)+Table6[[#This Row],[RATING]]&gt;=15,"CUP",""),""),IFERROR(IF(MOD(Table6[[#This Row],[CCS]],2),"Cert","Medal"),""))</f>
        <v/>
      </c>
      <c r="S74" s="2">
        <v>1</v>
      </c>
      <c r="T74" s="2" t="s">
        <v>142</v>
      </c>
      <c r="U74" s="2" t="str">
        <f>IF(Table6[[#This Row],[Event]]="Hymn",LEFT(Table6[[#This Row],[Phone Number]],8)&amp;"5481","")</f>
        <v/>
      </c>
      <c r="V74" s="2" t="s">
        <v>147</v>
      </c>
      <c r="W74" s="2" t="str">
        <f>IF(Table6[[#This Row],[Switch to Virtual?]]="YES","Physical","Virtual")</f>
        <v>Physical</v>
      </c>
      <c r="X74" s="2"/>
      <c r="Y74" s="2"/>
      <c r="Z74" s="2"/>
      <c r="AA74" s="2"/>
      <c r="AB74" s="2"/>
      <c r="AC74" s="2"/>
      <c r="AD74" s="2"/>
      <c r="AE74" s="49"/>
    </row>
    <row r="75" spans="1:31" x14ac:dyDescent="0.25">
      <c r="A75" t="str">
        <f>Table6[[#This Row],[First Name]]&amp;", "&amp;S75</f>
        <v>Zane, T</v>
      </c>
      <c r="B75" s="3" t="s">
        <v>68</v>
      </c>
      <c r="C75" s="3" t="s">
        <v>69</v>
      </c>
      <c r="D75" s="3" t="s">
        <v>10</v>
      </c>
      <c r="E75" s="3" t="s">
        <v>24</v>
      </c>
      <c r="F75" s="29">
        <v>37522</v>
      </c>
      <c r="G75" s="4">
        <f t="shared" si="6"/>
        <v>17</v>
      </c>
      <c r="H75" s="41" t="s">
        <v>87</v>
      </c>
      <c r="I75" s="10" t="str">
        <f t="shared" si="7"/>
        <v/>
      </c>
      <c r="J75" s="42" t="s">
        <v>120</v>
      </c>
      <c r="K75" s="48">
        <v>43876</v>
      </c>
      <c r="L75" s="6" t="s">
        <v>62</v>
      </c>
      <c r="M75" s="6">
        <v>0</v>
      </c>
      <c r="N75" s="6">
        <v>5</v>
      </c>
      <c r="O75" s="6">
        <v>5</v>
      </c>
      <c r="P75" s="6">
        <f>IF(O75=5,M75+1,"0")</f>
        <v>1</v>
      </c>
      <c r="Q75" s="6">
        <f t="shared" si="8"/>
        <v>10</v>
      </c>
      <c r="R75" s="6" t="str">
        <f>IF(LEFT(J75,4)="NFMC",IFERROR(IF(MOD(Table6[[#This Row],[PAP]],15)+Table6[[#This Row],[RATING]]&gt;=15,"CUP",""),""),IFERROR(IF(MOD(Table6[[#This Row],[CCS]],2),"Cert","Medal"),""))</f>
        <v/>
      </c>
      <c r="S75" s="2" t="s">
        <v>111</v>
      </c>
      <c r="T75" s="2" t="s">
        <v>142</v>
      </c>
      <c r="U75" s="2" t="str">
        <f>IF(Table6[[#This Row],[Event]]="Hymn",LEFT(Table6[[#This Row],[Phone Number]],8)&amp;"5481","")</f>
        <v/>
      </c>
      <c r="V75" s="2" t="s">
        <v>147</v>
      </c>
      <c r="W75" s="2" t="str">
        <f>IF(Table6[[#This Row],[Switch to Virtual?]]="YES","Physical","Virtual")</f>
        <v>Physical</v>
      </c>
      <c r="X75" s="2"/>
      <c r="Y75" s="2"/>
      <c r="Z75" s="2"/>
      <c r="AA75" s="2"/>
      <c r="AB75" s="2"/>
      <c r="AC75" s="2"/>
      <c r="AD75" s="2"/>
      <c r="AE75" s="49"/>
    </row>
    <row r="76" spans="1:31" x14ac:dyDescent="0.25">
      <c r="A76" t="str">
        <f>Table6[[#This Row],[First Name]]&amp;", "&amp;S76</f>
        <v>Zane, X</v>
      </c>
      <c r="B76" s="3" t="s">
        <v>68</v>
      </c>
      <c r="C76" s="3" t="s">
        <v>69</v>
      </c>
      <c r="D76" s="3" t="s">
        <v>10</v>
      </c>
      <c r="E76" s="3" t="s">
        <v>24</v>
      </c>
      <c r="F76" s="29">
        <v>37522</v>
      </c>
      <c r="G76" s="4">
        <f t="shared" si="6"/>
        <v>17</v>
      </c>
      <c r="H76" s="41" t="s">
        <v>87</v>
      </c>
      <c r="I76" s="10" t="str">
        <f t="shared" si="7"/>
        <v/>
      </c>
      <c r="J76" s="19" t="s">
        <v>107</v>
      </c>
      <c r="K76" s="48">
        <v>43806</v>
      </c>
      <c r="L76" s="23"/>
      <c r="M76" s="20">
        <v>0</v>
      </c>
      <c r="N76" s="26"/>
      <c r="O76" s="6">
        <v>5</v>
      </c>
      <c r="P76" s="6">
        <f>IF(O76=5,M76+1,"")</f>
        <v>1</v>
      </c>
      <c r="Q76" s="6">
        <f t="shared" si="8"/>
        <v>5</v>
      </c>
      <c r="R76" s="6" t="str">
        <f>IF(LEFT(J76,4)="NFMC",IFERROR(IF(MOD(Table6[[#This Row],[PAP]],15)+Table6[[#This Row],[RATING]]&gt;=15,"CUP",""),""),IFERROR(IF(MOD(Table6[[#This Row],[CCS]],2),"Cert","Medal"),""))</f>
        <v>Cert</v>
      </c>
      <c r="S76" s="2" t="s">
        <v>98</v>
      </c>
      <c r="T76" s="2" t="s">
        <v>142</v>
      </c>
      <c r="U76" s="2" t="str">
        <f>IF(Table6[[#This Row],[Event]]="Hymn",LEFT(Table6[[#This Row],[Phone Number]],8)&amp;"5481","")</f>
        <v/>
      </c>
      <c r="V76" s="2" t="s">
        <v>147</v>
      </c>
      <c r="W76" s="2" t="str">
        <f>IF(Table6[[#This Row],[Switch to Virtual?]]="YES","Physical","Virtual")</f>
        <v>Physical</v>
      </c>
      <c r="X76" s="2"/>
      <c r="Y76" s="2"/>
      <c r="Z76" s="2"/>
      <c r="AA76" s="2"/>
      <c r="AB76" s="2"/>
      <c r="AC76" s="2"/>
      <c r="AD76" s="2"/>
      <c r="AE76" s="49"/>
    </row>
    <row r="77" spans="1:31" x14ac:dyDescent="0.25">
      <c r="A77" t="str">
        <f>Table6[[#This Row],[First Name]]&amp;", "&amp;S77</f>
        <v>Bryn, WH</v>
      </c>
      <c r="B77" s="17" t="s">
        <v>70</v>
      </c>
      <c r="C77" s="17" t="s">
        <v>71</v>
      </c>
      <c r="D77" s="17" t="s">
        <v>10</v>
      </c>
      <c r="E77" s="17" t="s">
        <v>24</v>
      </c>
      <c r="F77" s="30">
        <v>41401</v>
      </c>
      <c r="G77" s="18">
        <f t="shared" si="6"/>
        <v>6</v>
      </c>
      <c r="H77" s="41" t="s">
        <v>86</v>
      </c>
      <c r="I77" s="10" t="str">
        <f t="shared" si="7"/>
        <v>YES</v>
      </c>
      <c r="J77" s="42" t="s">
        <v>77</v>
      </c>
      <c r="K77" s="48">
        <v>43946</v>
      </c>
      <c r="L77" s="24"/>
      <c r="M77" s="20">
        <v>0</v>
      </c>
      <c r="N77" s="27"/>
      <c r="O77" s="24"/>
      <c r="P77" s="20" t="str">
        <f>IF(O77=5,M77+1,"")</f>
        <v/>
      </c>
      <c r="Q77" s="38">
        <f t="shared" si="8"/>
        <v>0</v>
      </c>
      <c r="R77" s="6" t="str">
        <f>IF(LEFT(J77,4)="NFMC",IFERROR(IF(MOD(Table6[[#This Row],[PAP]],15)+Table6[[#This Row],[RATING]]&gt;=15,"CUP",""),""),IFERROR(IF(MOD(Table6[[#This Row],[CCS]],2),"Cert","Medal"),""))</f>
        <v/>
      </c>
      <c r="S77" s="2" t="s">
        <v>115</v>
      </c>
      <c r="T77" s="2" t="s">
        <v>145</v>
      </c>
      <c r="U77" s="2" t="str">
        <f>IF(Table6[[#This Row],[Event]]="Hymn",LEFT(Table6[[#This Row],[Phone Number]],8)&amp;"5481","")</f>
        <v>222-445-5481</v>
      </c>
      <c r="V77" s="2" t="s">
        <v>147</v>
      </c>
      <c r="W77" s="2" t="str">
        <f>IF(Table6[[#This Row],[Switch to Virtual?]]="YES","Physical","Virtual")</f>
        <v>Physical</v>
      </c>
      <c r="X77" s="2"/>
      <c r="Y77" s="2"/>
      <c r="Z77" s="2"/>
      <c r="AA77" s="2"/>
      <c r="AB77" s="2"/>
      <c r="AC77" s="2"/>
      <c r="AD77" s="2"/>
      <c r="AE77" s="2"/>
    </row>
    <row r="78" spans="1:31" x14ac:dyDescent="0.25">
      <c r="A78" t="str">
        <f>Table6[[#This Row],[First Name]]&amp;", "&amp;S78</f>
        <v>Bryn, 1</v>
      </c>
      <c r="B78" s="3" t="s">
        <v>70</v>
      </c>
      <c r="C78" s="3" t="s">
        <v>71</v>
      </c>
      <c r="D78" s="3" t="s">
        <v>10</v>
      </c>
      <c r="E78" s="3" t="s">
        <v>24</v>
      </c>
      <c r="F78" s="29">
        <v>41401</v>
      </c>
      <c r="G78" s="4">
        <f t="shared" si="6"/>
        <v>6</v>
      </c>
      <c r="H78" s="18" t="s">
        <v>86</v>
      </c>
      <c r="I78" s="10" t="str">
        <f t="shared" si="7"/>
        <v>YES</v>
      </c>
      <c r="J78" s="19" t="s">
        <v>103</v>
      </c>
      <c r="K78" s="48">
        <v>43876</v>
      </c>
      <c r="L78" s="23" t="s">
        <v>19</v>
      </c>
      <c r="M78" s="26">
        <v>0</v>
      </c>
      <c r="N78" s="26">
        <v>0</v>
      </c>
      <c r="O78" s="23">
        <v>5</v>
      </c>
      <c r="P78" s="6">
        <f>IF(O78=5,M78+1,"0")</f>
        <v>1</v>
      </c>
      <c r="Q78" s="6">
        <f t="shared" si="8"/>
        <v>5</v>
      </c>
      <c r="R78" s="6" t="str">
        <f>IF(LEFT(J78,4)="NFMC",IFERROR(IF(MOD(Table6[[#This Row],[PAP]],15)+Table6[[#This Row],[RATING]]&gt;=15,"CUP",""),""),IFERROR(IF(MOD(Table6[[#This Row],[CCS]],2),"Cert","Medal"),""))</f>
        <v/>
      </c>
      <c r="S78" s="2">
        <v>1</v>
      </c>
      <c r="T78" s="2" t="s">
        <v>127</v>
      </c>
      <c r="U78" s="2" t="str">
        <f>IF(Table6[[#This Row],[Event]]="Hymn",LEFT(Table6[[#This Row],[Phone Number]],8)&amp;"5481","")</f>
        <v/>
      </c>
      <c r="V78" s="2" t="s">
        <v>147</v>
      </c>
      <c r="W78" s="2" t="str">
        <f>IF(Table6[[#This Row],[Switch to Virtual?]]="YES","Physical","Virtual")</f>
        <v>Physical</v>
      </c>
      <c r="X78" s="2"/>
      <c r="Y78" s="2"/>
      <c r="Z78" s="2"/>
      <c r="AA78" s="2"/>
      <c r="AB78" s="2"/>
      <c r="AC78" s="2"/>
      <c r="AD78" s="2"/>
      <c r="AE78" s="2"/>
    </row>
    <row r="79" spans="1:31" x14ac:dyDescent="0.25">
      <c r="A79" t="str">
        <f>Table6[[#This Row],[First Name]]&amp;", "&amp;S79</f>
        <v>Bryn, T</v>
      </c>
      <c r="B79" s="17" t="s">
        <v>70</v>
      </c>
      <c r="C79" s="17" t="s">
        <v>71</v>
      </c>
      <c r="D79" s="17" t="s">
        <v>10</v>
      </c>
      <c r="E79" s="17" t="s">
        <v>24</v>
      </c>
      <c r="F79" s="30">
        <v>41401</v>
      </c>
      <c r="G79" s="18">
        <f t="shared" si="6"/>
        <v>6</v>
      </c>
      <c r="H79" s="41" t="s">
        <v>86</v>
      </c>
      <c r="I79" s="10" t="str">
        <f t="shared" si="7"/>
        <v>YES</v>
      </c>
      <c r="J79" s="42" t="s">
        <v>120</v>
      </c>
      <c r="K79" s="48">
        <v>43876</v>
      </c>
      <c r="L79" s="20" t="s">
        <v>20</v>
      </c>
      <c r="M79" s="20">
        <v>0</v>
      </c>
      <c r="N79" s="20">
        <v>0</v>
      </c>
      <c r="O79" s="20">
        <v>3</v>
      </c>
      <c r="P79" s="20" t="str">
        <f>IF(O79=5,M79+1,"0")</f>
        <v>0</v>
      </c>
      <c r="Q79" s="20">
        <f t="shared" si="8"/>
        <v>3</v>
      </c>
      <c r="R79" s="6" t="str">
        <f>IF(LEFT(J79,4)="NFMC",IFERROR(IF(MOD(Table6[[#This Row],[PAP]],15)+Table6[[#This Row],[RATING]]&gt;=15,"CUP",""),""),IFERROR(IF(MOD(Table6[[#This Row],[CCS]],2),"Cert","Medal"),""))</f>
        <v/>
      </c>
      <c r="S79" s="2" t="s">
        <v>111</v>
      </c>
      <c r="T79" s="2" t="s">
        <v>127</v>
      </c>
      <c r="U79" s="2" t="str">
        <f>IF(Table6[[#This Row],[Event]]="Hymn",LEFT(Table6[[#This Row],[Phone Number]],8)&amp;"5481","")</f>
        <v/>
      </c>
      <c r="V79" s="2" t="s">
        <v>147</v>
      </c>
      <c r="W79" s="2" t="str">
        <f>IF(Table6[[#This Row],[Switch to Virtual?]]="YES","Physical","Virtual")</f>
        <v>Physical</v>
      </c>
      <c r="X79" s="2"/>
      <c r="Y79" s="2"/>
      <c r="Z79" s="2"/>
      <c r="AA79" s="2"/>
      <c r="AB79" s="2"/>
      <c r="AC79" s="2"/>
      <c r="AD79" s="2"/>
      <c r="AE79" s="2"/>
    </row>
    <row r="80" spans="1:31" x14ac:dyDescent="0.25">
      <c r="A80" t="str">
        <f>Table6[[#This Row],[First Name]]&amp;", "&amp;S80</f>
        <v>Bryn, X</v>
      </c>
      <c r="B80" s="17" t="s">
        <v>70</v>
      </c>
      <c r="C80" s="17" t="s">
        <v>71</v>
      </c>
      <c r="D80" s="17" t="s">
        <v>10</v>
      </c>
      <c r="E80" s="17" t="s">
        <v>24</v>
      </c>
      <c r="F80" s="30">
        <v>41401</v>
      </c>
      <c r="G80" s="18">
        <f t="shared" si="6"/>
        <v>6</v>
      </c>
      <c r="H80" s="18" t="s">
        <v>86</v>
      </c>
      <c r="I80" s="10" t="str">
        <f t="shared" si="7"/>
        <v>YES</v>
      </c>
      <c r="J80" s="19" t="s">
        <v>107</v>
      </c>
      <c r="K80" s="48">
        <v>43806</v>
      </c>
      <c r="L80" s="24"/>
      <c r="M80" s="20">
        <v>0</v>
      </c>
      <c r="N80" s="27"/>
      <c r="O80" s="20">
        <v>5</v>
      </c>
      <c r="P80" s="20">
        <f>IF(O80=5,M80+1,"")</f>
        <v>1</v>
      </c>
      <c r="Q80" s="20">
        <f t="shared" si="8"/>
        <v>5</v>
      </c>
      <c r="R80" s="6" t="str">
        <f>IF(LEFT(J80,4)="NFMC",IFERROR(IF(MOD(Table6[[#This Row],[PAP]],15)+Table6[[#This Row],[RATING]]&gt;=15,"CUP",""),""),IFERROR(IF(MOD(Table6[[#This Row],[CCS]],2),"Cert","Medal"),""))</f>
        <v>Cert</v>
      </c>
      <c r="S80" s="2" t="s">
        <v>98</v>
      </c>
      <c r="T80" s="2" t="s">
        <v>127</v>
      </c>
      <c r="U80" s="2" t="str">
        <f>IF(Table6[[#This Row],[Event]]="Hymn",LEFT(Table6[[#This Row],[Phone Number]],8)&amp;"5481","")</f>
        <v/>
      </c>
      <c r="V80" s="2" t="s">
        <v>147</v>
      </c>
      <c r="W80" s="2" t="str">
        <f>IF(Table6[[#This Row],[Switch to Virtual?]]="YES","Physical","Virtual")</f>
        <v>Physical</v>
      </c>
      <c r="X80" s="2"/>
      <c r="Y80" s="2"/>
      <c r="Z80" s="2"/>
      <c r="AA80" s="2"/>
      <c r="AB80" s="2"/>
      <c r="AC80" s="2"/>
      <c r="AD80" s="2"/>
      <c r="AE80" s="2"/>
    </row>
    <row r="81" spans="1:31" x14ac:dyDescent="0.25">
      <c r="A81" t="str">
        <f>Table6[[#This Row],[First Name]]&amp;", "&amp;S81</f>
        <v>Kirsten, T</v>
      </c>
      <c r="B81" s="17" t="s">
        <v>73</v>
      </c>
      <c r="C81" s="17" t="s">
        <v>74</v>
      </c>
      <c r="D81" s="17" t="s">
        <v>36</v>
      </c>
      <c r="E81" s="17" t="s">
        <v>24</v>
      </c>
      <c r="F81" s="30">
        <v>38934</v>
      </c>
      <c r="G81" s="18">
        <f t="shared" si="6"/>
        <v>13</v>
      </c>
      <c r="H81" s="18" t="s">
        <v>86</v>
      </c>
      <c r="I81" s="10" t="str">
        <f t="shared" si="7"/>
        <v/>
      </c>
      <c r="J81" s="19" t="s">
        <v>120</v>
      </c>
      <c r="K81" s="48">
        <v>43876</v>
      </c>
      <c r="L81" s="20" t="s">
        <v>62</v>
      </c>
      <c r="M81" s="20">
        <v>1</v>
      </c>
      <c r="N81" s="20">
        <v>8</v>
      </c>
      <c r="O81" s="20">
        <v>5</v>
      </c>
      <c r="P81" s="20">
        <f>IF(O81=5,M81+1,"0")</f>
        <v>2</v>
      </c>
      <c r="Q81" s="20">
        <f t="shared" si="8"/>
        <v>13</v>
      </c>
      <c r="R81" s="6" t="str">
        <f>IF(LEFT(J81,4)="NFMC",IFERROR(IF(MOD(Table6[[#This Row],[PAP]],15)+Table6[[#This Row],[RATING]]&gt;=15,"CUP",""),""),IFERROR(IF(MOD(Table6[[#This Row],[CCS]],2),"Cert","Medal"),""))</f>
        <v/>
      </c>
      <c r="S81" s="39" t="s">
        <v>111</v>
      </c>
      <c r="T81" s="2" t="s">
        <v>133</v>
      </c>
      <c r="U81" s="2" t="str">
        <f>IF(Table6[[#This Row],[Event]]="Hymn",LEFT(Table6[[#This Row],[Phone Number]],8)&amp;"5481","")</f>
        <v/>
      </c>
      <c r="V81" s="2" t="s">
        <v>147</v>
      </c>
      <c r="W81" s="2" t="str">
        <f>IF(Table6[[#This Row],[Switch to Virtual?]]="YES","Physical","Virtual")</f>
        <v>Physical</v>
      </c>
      <c r="X81" s="2"/>
      <c r="Y81" s="2"/>
      <c r="Z81" s="2"/>
      <c r="AA81" s="2"/>
      <c r="AB81" s="2"/>
      <c r="AC81" s="2"/>
      <c r="AD81" s="2"/>
      <c r="AE81" s="2"/>
    </row>
    <row r="82" spans="1:31" x14ac:dyDescent="0.25">
      <c r="A82" t="str">
        <f>Table6[[#This Row],[First Name]]&amp;", "&amp;S82</f>
        <v>Kirsten, 1</v>
      </c>
      <c r="B82" s="17" t="s">
        <v>73</v>
      </c>
      <c r="C82" s="17" t="s">
        <v>74</v>
      </c>
      <c r="D82" s="17" t="s">
        <v>36</v>
      </c>
      <c r="E82" s="17" t="s">
        <v>24</v>
      </c>
      <c r="F82" s="30">
        <v>38934</v>
      </c>
      <c r="G82" s="18">
        <f t="shared" si="6"/>
        <v>13</v>
      </c>
      <c r="H82" s="18" t="s">
        <v>86</v>
      </c>
      <c r="I82" s="19" t="str">
        <f t="shared" si="7"/>
        <v/>
      </c>
      <c r="J82" s="19" t="s">
        <v>102</v>
      </c>
      <c r="K82" s="48">
        <v>43876</v>
      </c>
      <c r="L82" s="24" t="s">
        <v>75</v>
      </c>
      <c r="M82" s="27">
        <v>2</v>
      </c>
      <c r="N82" s="27">
        <v>10</v>
      </c>
      <c r="O82" s="24">
        <v>5</v>
      </c>
      <c r="P82" s="20">
        <f>IF(O82=5,M82+1,"0")</f>
        <v>3</v>
      </c>
      <c r="Q82" s="20">
        <f t="shared" si="8"/>
        <v>15</v>
      </c>
      <c r="R82" s="20" t="str">
        <f>IF(LEFT(J82,4)="NFMC",IFERROR(IF(MOD(Table6[[#This Row],[PAP]],15)+Table6[[#This Row],[RATING]]&gt;=15,"CUP",""),""),IFERROR(IF(MOD(Table6[[#This Row],[CCS]],2),"Cert","Medal"),""))</f>
        <v>CUP</v>
      </c>
      <c r="S82" s="2">
        <v>1</v>
      </c>
      <c r="T82" s="2" t="s">
        <v>133</v>
      </c>
      <c r="U82" s="2" t="str">
        <f>IF(Table6[[#This Row],[Event]]="Hymn",LEFT(Table6[[#This Row],[Phone Number]],8)&amp;"5481","")</f>
        <v/>
      </c>
      <c r="V82" s="2" t="s">
        <v>147</v>
      </c>
      <c r="W82" s="2" t="str">
        <f>IF(Table6[[#This Row],[Switch to Virtual?]]="YES","Physical","Virtual")</f>
        <v>Physical</v>
      </c>
      <c r="X82" s="2"/>
      <c r="Y82" s="2"/>
      <c r="Z82" s="2"/>
      <c r="AA82" s="2"/>
      <c r="AB82" s="2"/>
      <c r="AC82" s="2"/>
      <c r="AD82" s="2"/>
      <c r="AE82" s="2"/>
    </row>
    <row r="83" spans="1:31" x14ac:dyDescent="0.25">
      <c r="AE83" s="49"/>
    </row>
    <row r="84" spans="1:31" x14ac:dyDescent="0.25">
      <c r="AE84" s="49"/>
    </row>
  </sheetData>
  <mergeCells count="6">
    <mergeCell ref="X5:AE5"/>
    <mergeCell ref="B6:I6"/>
    <mergeCell ref="J6:S6"/>
    <mergeCell ref="T6:W6"/>
    <mergeCell ref="X6:AA6"/>
    <mergeCell ref="AB6:AE6"/>
  </mergeCells>
  <phoneticPr fontId="8" type="noConversion"/>
  <conditionalFormatting sqref="L8:L29">
    <cfRule type="expression" dxfId="35" priority="5">
      <formula>AND(I8="",L8="PP")</formula>
    </cfRule>
  </conditionalFormatting>
  <conditionalFormatting sqref="B34:B42">
    <cfRule type="cellIs" priority="3" operator="equal">
      <formula>#REF!="X"</formula>
    </cfRule>
  </conditionalFormatting>
  <conditionalFormatting sqref="L30:L33">
    <cfRule type="expression" dxfId="34" priority="4">
      <formula>AND(J30="",L30="PP")</formula>
    </cfRule>
  </conditionalFormatting>
  <conditionalFormatting sqref="B60:B73">
    <cfRule type="cellIs" priority="2" operator="equal">
      <formula>#REF!="X"</formula>
    </cfRule>
  </conditionalFormatting>
  <conditionalFormatting sqref="I8:I82">
    <cfRule type="cellIs" dxfId="33" priority="1" operator="equal">
      <formula>"YES"</formula>
    </cfRule>
  </conditionalFormatting>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B725F-CB62-41AE-89BA-A28F8F81E0B4}">
  <dimension ref="A1:B40"/>
  <sheetViews>
    <sheetView workbookViewId="0">
      <selection activeCell="P8" sqref="P8"/>
    </sheetView>
  </sheetViews>
  <sheetFormatPr defaultRowHeight="15" x14ac:dyDescent="0.25"/>
  <cols>
    <col min="1" max="1" width="4.42578125" customWidth="1"/>
  </cols>
  <sheetData>
    <row r="1" spans="1:2" x14ac:dyDescent="0.25">
      <c r="A1" t="s">
        <v>149</v>
      </c>
    </row>
    <row r="2" spans="1:2" x14ac:dyDescent="0.25">
      <c r="A2">
        <v>1</v>
      </c>
      <c r="B2" t="s">
        <v>150</v>
      </c>
    </row>
    <row r="3" spans="1:2" x14ac:dyDescent="0.25">
      <c r="A3">
        <v>2</v>
      </c>
      <c r="B3" t="s">
        <v>151</v>
      </c>
    </row>
    <row r="4" spans="1:2" x14ac:dyDescent="0.25">
      <c r="A4">
        <v>3</v>
      </c>
      <c r="B4" t="s">
        <v>152</v>
      </c>
    </row>
    <row r="5" spans="1:2" x14ac:dyDescent="0.25">
      <c r="A5">
        <v>4</v>
      </c>
      <c r="B5" t="s">
        <v>153</v>
      </c>
    </row>
    <row r="6" spans="1:2" x14ac:dyDescent="0.25">
      <c r="A6">
        <v>5</v>
      </c>
      <c r="B6" t="s">
        <v>154</v>
      </c>
    </row>
    <row r="7" spans="1:2" x14ac:dyDescent="0.25">
      <c r="A7">
        <v>6</v>
      </c>
      <c r="B7" t="s">
        <v>158</v>
      </c>
    </row>
    <row r="8" spans="1:2" x14ac:dyDescent="0.25">
      <c r="A8">
        <v>7</v>
      </c>
      <c r="B8" t="s">
        <v>161</v>
      </c>
    </row>
    <row r="9" spans="1:2" x14ac:dyDescent="0.25">
      <c r="A9">
        <v>8</v>
      </c>
      <c r="B9" t="s">
        <v>162</v>
      </c>
    </row>
    <row r="10" spans="1:2" x14ac:dyDescent="0.25">
      <c r="A10">
        <v>9</v>
      </c>
      <c r="B10" t="s">
        <v>163</v>
      </c>
    </row>
    <row r="11" spans="1:2" x14ac:dyDescent="0.25">
      <c r="A11">
        <v>10</v>
      </c>
    </row>
    <row r="12" spans="1:2" x14ac:dyDescent="0.25">
      <c r="A12">
        <v>11</v>
      </c>
    </row>
    <row r="13" spans="1:2" x14ac:dyDescent="0.25">
      <c r="A13">
        <v>12</v>
      </c>
    </row>
    <row r="14" spans="1:2" x14ac:dyDescent="0.25">
      <c r="A14">
        <v>13</v>
      </c>
    </row>
    <row r="15" spans="1:2" x14ac:dyDescent="0.25">
      <c r="A15">
        <v>14</v>
      </c>
    </row>
    <row r="16" spans="1:2"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633C9-EFFF-4A18-BE4F-AB451A26415F}">
  <dimension ref="A1:A22"/>
  <sheetViews>
    <sheetView workbookViewId="0">
      <selection activeCell="A23" sqref="A23"/>
    </sheetView>
  </sheetViews>
  <sheetFormatPr defaultRowHeight="15" x14ac:dyDescent="0.25"/>
  <cols>
    <col min="1" max="1" width="11.140625" customWidth="1"/>
  </cols>
  <sheetData>
    <row r="1" spans="1:1" x14ac:dyDescent="0.25">
      <c r="A1" s="34" t="s">
        <v>53</v>
      </c>
    </row>
    <row r="2" spans="1:1" x14ac:dyDescent="0.25">
      <c r="A2" s="35" t="s">
        <v>67</v>
      </c>
    </row>
    <row r="3" spans="1:1" x14ac:dyDescent="0.25">
      <c r="A3" s="34" t="s">
        <v>57</v>
      </c>
    </row>
    <row r="4" spans="1:1" x14ac:dyDescent="0.25">
      <c r="A4" s="35" t="s">
        <v>70</v>
      </c>
    </row>
    <row r="5" spans="1:1" x14ac:dyDescent="0.25">
      <c r="A5" s="34" t="s">
        <v>60</v>
      </c>
    </row>
    <row r="6" spans="1:1" x14ac:dyDescent="0.25">
      <c r="A6" s="35" t="s">
        <v>40</v>
      </c>
    </row>
    <row r="7" spans="1:1" x14ac:dyDescent="0.25">
      <c r="A7" s="34" t="s">
        <v>21</v>
      </c>
    </row>
    <row r="8" spans="1:1" x14ac:dyDescent="0.25">
      <c r="A8" s="35" t="s">
        <v>27</v>
      </c>
    </row>
    <row r="9" spans="1:1" x14ac:dyDescent="0.25">
      <c r="A9" s="34" t="s">
        <v>31</v>
      </c>
    </row>
    <row r="10" spans="1:1" x14ac:dyDescent="0.25">
      <c r="A10" s="35" t="s">
        <v>13</v>
      </c>
    </row>
    <row r="11" spans="1:1" x14ac:dyDescent="0.25">
      <c r="A11" s="34" t="s">
        <v>73</v>
      </c>
    </row>
    <row r="12" spans="1:1" x14ac:dyDescent="0.25">
      <c r="A12" s="35" t="s">
        <v>34</v>
      </c>
    </row>
    <row r="13" spans="1:1" x14ac:dyDescent="0.25">
      <c r="A13" s="34" t="s">
        <v>8</v>
      </c>
    </row>
    <row r="14" spans="1:1" x14ac:dyDescent="0.25">
      <c r="A14" s="35" t="s">
        <v>49</v>
      </c>
    </row>
    <row r="15" spans="1:1" x14ac:dyDescent="0.25">
      <c r="A15" s="34" t="s">
        <v>17</v>
      </c>
    </row>
    <row r="16" spans="1:1" x14ac:dyDescent="0.25">
      <c r="A16" s="35" t="s">
        <v>51</v>
      </c>
    </row>
    <row r="17" spans="1:1" x14ac:dyDescent="0.25">
      <c r="A17" s="34" t="s">
        <v>66</v>
      </c>
    </row>
    <row r="18" spans="1:1" x14ac:dyDescent="0.25">
      <c r="A18" s="35" t="s">
        <v>47</v>
      </c>
    </row>
    <row r="19" spans="1:1" x14ac:dyDescent="0.25">
      <c r="A19" s="34" t="s">
        <v>38</v>
      </c>
    </row>
    <row r="20" spans="1:1" x14ac:dyDescent="0.25">
      <c r="A20" s="35" t="s">
        <v>68</v>
      </c>
    </row>
    <row r="21" spans="1:1" x14ac:dyDescent="0.25">
      <c r="A21" s="34" t="s">
        <v>44</v>
      </c>
    </row>
    <row r="22" spans="1:1" x14ac:dyDescent="0.25">
      <c r="A22"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2020 NFMC Solo</vt:lpstr>
      <vt:lpstr>Skills Used</vt:lpstr>
      <vt:lpstr>Students</vt:lpstr>
      <vt:lpstr>bigtable</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Wachter</dc:creator>
  <cp:lastModifiedBy>Nina Wachter</cp:lastModifiedBy>
  <dcterms:created xsi:type="dcterms:W3CDTF">2020-02-14T06:18:10Z</dcterms:created>
  <dcterms:modified xsi:type="dcterms:W3CDTF">2020-04-24T22:34:08Z</dcterms:modified>
</cp:coreProperties>
</file>