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lwaukeetool-my.sharepoint.com/personal/carl_westerby_milwaukeetool_com/Documents/Desktop/"/>
    </mc:Choice>
  </mc:AlternateContent>
  <xr:revisionPtr revIDLastSave="0" documentId="8_{9CB6190E-FA47-4D84-98C3-5184F4ED9485}" xr6:coauthVersionLast="47" xr6:coauthVersionMax="47" xr10:uidLastSave="{00000000-0000-0000-0000-000000000000}"/>
  <bookViews>
    <workbookView xWindow="-120" yWindow="-120" windowWidth="29040" windowHeight="17640" activeTab="1" xr2:uid="{91CA3D12-FC85-493A-943D-83A871ADF1E8}"/>
  </bookViews>
  <sheets>
    <sheet name="Financing" sheetId="2" r:id="rId1"/>
    <sheet name="No Financing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2" i="1"/>
  <c r="K6" i="2"/>
  <c r="E2" i="2" s="1"/>
  <c r="E3" i="2" s="1"/>
  <c r="C3" i="2"/>
  <c r="C4" i="2" s="1"/>
  <c r="C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I5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D2" i="1" l="1"/>
  <c r="G2" i="1" s="1"/>
  <c r="B3" i="1"/>
  <c r="B4" i="1" s="1"/>
  <c r="B5" i="1" s="1"/>
  <c r="B6" i="1" s="1"/>
  <c r="B7" i="1" s="1"/>
  <c r="E4" i="2"/>
  <c r="C6" i="2"/>
  <c r="C14" i="1"/>
  <c r="D4" i="1"/>
  <c r="G4" i="1" s="1"/>
  <c r="D3" i="1"/>
  <c r="G3" i="1" s="1"/>
  <c r="F2" i="1" l="1"/>
  <c r="F3" i="1" s="1"/>
  <c r="F4" i="1" s="1"/>
  <c r="D6" i="1"/>
  <c r="G6" i="1" s="1"/>
  <c r="D5" i="1"/>
  <c r="G5" i="1" s="1"/>
  <c r="E5" i="2"/>
  <c r="C7" i="2"/>
  <c r="C15" i="1"/>
  <c r="D7" i="1"/>
  <c r="G7" i="1" s="1"/>
  <c r="B8" i="1"/>
  <c r="F5" i="1" l="1"/>
  <c r="F6" i="1" s="1"/>
  <c r="F7" i="1" s="1"/>
  <c r="E6" i="2"/>
  <c r="C8" i="2"/>
  <c r="C16" i="1"/>
  <c r="B9" i="1"/>
  <c r="D8" i="1"/>
  <c r="G8" i="1" s="1"/>
  <c r="E7" i="2" l="1"/>
  <c r="C9" i="2"/>
  <c r="F8" i="1"/>
  <c r="C17" i="1"/>
  <c r="B10" i="1"/>
  <c r="D9" i="1"/>
  <c r="G9" i="1" s="1"/>
  <c r="E8" i="2" l="1"/>
  <c r="C10" i="2"/>
  <c r="F9" i="1"/>
  <c r="C18" i="1"/>
  <c r="B11" i="1"/>
  <c r="D10" i="1"/>
  <c r="G10" i="1" s="1"/>
  <c r="E9" i="2" l="1"/>
  <c r="C11" i="2"/>
  <c r="F10" i="1"/>
  <c r="C19" i="1"/>
  <c r="B12" i="1"/>
  <c r="D11" i="1"/>
  <c r="G11" i="1" s="1"/>
  <c r="E10" i="2" l="1"/>
  <c r="C12" i="2"/>
  <c r="F11" i="1"/>
  <c r="C20" i="1"/>
  <c r="B13" i="1"/>
  <c r="D12" i="1"/>
  <c r="G12" i="1" s="1"/>
  <c r="E11" i="2" l="1"/>
  <c r="C13" i="2"/>
  <c r="F12" i="1"/>
  <c r="B14" i="1"/>
  <c r="D13" i="1"/>
  <c r="G13" i="1" s="1"/>
  <c r="C21" i="1"/>
  <c r="E12" i="2" l="1"/>
  <c r="C14" i="2"/>
  <c r="F13" i="1"/>
  <c r="B15" i="1"/>
  <c r="D14" i="1"/>
  <c r="G14" i="1" s="1"/>
  <c r="C22" i="1"/>
  <c r="G22" i="1" s="1"/>
  <c r="E13" i="2" l="1"/>
  <c r="C15" i="2"/>
  <c r="F14" i="1"/>
  <c r="B16" i="1"/>
  <c r="D15" i="1"/>
  <c r="G15" i="1" s="1"/>
  <c r="C23" i="1"/>
  <c r="G23" i="1" s="1"/>
  <c r="E14" i="2" l="1"/>
  <c r="C16" i="2"/>
  <c r="F15" i="1"/>
  <c r="B17" i="1"/>
  <c r="G17" i="1" s="1"/>
  <c r="D16" i="1"/>
  <c r="G16" i="1" s="1"/>
  <c r="C24" i="1"/>
  <c r="G24" i="1" s="1"/>
  <c r="E15" i="2" l="1"/>
  <c r="C17" i="2"/>
  <c r="F16" i="1"/>
  <c r="F17" i="1" s="1"/>
  <c r="B18" i="1"/>
  <c r="G18" i="1" s="1"/>
  <c r="C25" i="1"/>
  <c r="G25" i="1" s="1"/>
  <c r="C18" i="2" l="1"/>
  <c r="E16" i="2"/>
  <c r="B19" i="1"/>
  <c r="G19" i="1" s="1"/>
  <c r="F18" i="1"/>
  <c r="C26" i="1"/>
  <c r="G26" i="1" s="1"/>
  <c r="C19" i="2" l="1"/>
  <c r="E17" i="2"/>
  <c r="B20" i="1"/>
  <c r="G20" i="1" s="1"/>
  <c r="F19" i="1"/>
  <c r="C20" i="2" l="1"/>
  <c r="E18" i="2"/>
  <c r="B21" i="1"/>
  <c r="G21" i="1" s="1"/>
  <c r="D31" i="1" s="1"/>
  <c r="C21" i="2" l="1"/>
  <c r="E19" i="2"/>
  <c r="B22" i="1"/>
  <c r="F20" i="1"/>
  <c r="F21" i="1" s="1"/>
  <c r="C22" i="2" l="1"/>
  <c r="E20" i="2"/>
  <c r="B23" i="1"/>
  <c r="C23" i="2" l="1"/>
  <c r="E21" i="2"/>
  <c r="B24" i="1"/>
  <c r="F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24" i="2" l="1"/>
  <c r="F23" i="1"/>
  <c r="B25" i="1"/>
  <c r="C25" i="2" l="1"/>
  <c r="B26" i="1"/>
  <c r="F24" i="1"/>
  <c r="F25" i="1" s="1"/>
  <c r="F26" i="1" s="1"/>
  <c r="D29" i="1" s="1"/>
  <c r="C26" i="2" l="1"/>
  <c r="E26" i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D28" i="1" s="1"/>
  <c r="D30" i="1" s="1"/>
  <c r="D27" i="1"/>
  <c r="H2" i="2" l="1"/>
  <c r="B4" i="2"/>
  <c r="D4" i="2" s="1"/>
  <c r="B3" i="2"/>
  <c r="D3" i="2" s="1"/>
  <c r="D2" i="2"/>
  <c r="F2" i="2" s="1"/>
  <c r="G2" i="2" s="1"/>
  <c r="I2" i="2"/>
  <c r="F4" i="2" l="1"/>
  <c r="I4" i="2"/>
  <c r="I3" i="2"/>
  <c r="F3" i="2"/>
  <c r="G3" i="2" s="1"/>
  <c r="H3" i="2"/>
  <c r="H4" i="2" s="1"/>
  <c r="B5" i="2"/>
  <c r="G4" i="2" l="1"/>
  <c r="B6" i="2"/>
  <c r="D5" i="2"/>
  <c r="I5" i="2" l="1"/>
  <c r="F5" i="2"/>
  <c r="G5" i="2" s="1"/>
  <c r="D6" i="2"/>
  <c r="B7" i="2"/>
  <c r="H5" i="2"/>
  <c r="H6" i="2" l="1"/>
  <c r="I6" i="2"/>
  <c r="F6" i="2"/>
  <c r="B8" i="2"/>
  <c r="D7" i="2"/>
  <c r="G6" i="2"/>
  <c r="B9" i="2" l="1"/>
  <c r="D8" i="2"/>
  <c r="F7" i="2"/>
  <c r="G7" i="2" s="1"/>
  <c r="I7" i="2"/>
  <c r="H7" i="2"/>
  <c r="H8" i="2" s="1"/>
  <c r="I8" i="2" l="1"/>
  <c r="F8" i="2"/>
  <c r="G8" i="2" s="1"/>
  <c r="B10" i="2"/>
  <c r="D9" i="2"/>
  <c r="D10" i="2" l="1"/>
  <c r="B11" i="2"/>
  <c r="I9" i="2"/>
  <c r="F9" i="2"/>
  <c r="G9" i="2" s="1"/>
  <c r="H9" i="2"/>
  <c r="H10" i="2" s="1"/>
  <c r="D11" i="2" l="1"/>
  <c r="B12" i="2"/>
  <c r="F10" i="2"/>
  <c r="G10" i="2" s="1"/>
  <c r="I10" i="2"/>
  <c r="D12" i="2" l="1"/>
  <c r="B13" i="2"/>
  <c r="F11" i="2"/>
  <c r="G11" i="2" s="1"/>
  <c r="I11" i="2"/>
  <c r="H11" i="2"/>
  <c r="H12" i="2" s="1"/>
  <c r="B14" i="2" l="1"/>
  <c r="D13" i="2"/>
  <c r="F12" i="2"/>
  <c r="G12" i="2" s="1"/>
  <c r="I12" i="2"/>
  <c r="I13" i="2" l="1"/>
  <c r="F13" i="2"/>
  <c r="G13" i="2" s="1"/>
  <c r="B15" i="2"/>
  <c r="D14" i="2"/>
  <c r="H13" i="2"/>
  <c r="H14" i="2" s="1"/>
  <c r="I14" i="2" l="1"/>
  <c r="F14" i="2"/>
  <c r="G14" i="2" s="1"/>
  <c r="D15" i="2"/>
  <c r="B16" i="2"/>
  <c r="D16" i="2" l="1"/>
  <c r="B17" i="2"/>
  <c r="I15" i="2"/>
  <c r="F15" i="2"/>
  <c r="G15" i="2" s="1"/>
  <c r="H15" i="2"/>
  <c r="H16" i="2" s="1"/>
  <c r="B18" i="2" l="1"/>
  <c r="D17" i="2"/>
  <c r="I16" i="2"/>
  <c r="F16" i="2"/>
  <c r="G16" i="2" s="1"/>
  <c r="I17" i="2" l="1"/>
  <c r="F17" i="2"/>
  <c r="G17" i="2" s="1"/>
  <c r="H17" i="2"/>
  <c r="B19" i="2"/>
  <c r="D18" i="2"/>
  <c r="F18" i="2" l="1"/>
  <c r="G18" i="2" s="1"/>
  <c r="I18" i="2"/>
  <c r="D19" i="2"/>
  <c r="B20" i="2"/>
  <c r="H18" i="2"/>
  <c r="H19" i="2" l="1"/>
  <c r="B21" i="2"/>
  <c r="D20" i="2"/>
  <c r="I19" i="2"/>
  <c r="F19" i="2"/>
  <c r="G19" i="2" s="1"/>
  <c r="I20" i="2" l="1"/>
  <c r="F20" i="2"/>
  <c r="G20" i="2" s="1"/>
  <c r="D21" i="2"/>
  <c r="B22" i="2"/>
  <c r="H20" i="2"/>
  <c r="H21" i="2" l="1"/>
  <c r="I21" i="2"/>
  <c r="F21" i="2"/>
  <c r="G21" i="2" s="1"/>
  <c r="B23" i="2"/>
  <c r="D22" i="2"/>
  <c r="I22" i="2" l="1"/>
  <c r="G22" i="2"/>
  <c r="B24" i="2"/>
  <c r="D23" i="2"/>
  <c r="H22" i="2"/>
  <c r="H23" i="2" s="1"/>
  <c r="D24" i="2" l="1"/>
  <c r="B25" i="2"/>
  <c r="H24" i="2"/>
  <c r="G23" i="2"/>
  <c r="I23" i="2"/>
  <c r="D25" i="2" l="1"/>
  <c r="B26" i="2"/>
  <c r="D26" i="2" s="1"/>
  <c r="G24" i="2"/>
  <c r="I24" i="2"/>
  <c r="I26" i="2" l="1"/>
  <c r="G25" i="2"/>
  <c r="G26" i="2" s="1"/>
  <c r="I25" i="2"/>
  <c r="H25" i="2"/>
  <c r="H26" i="2" s="1"/>
</calcChain>
</file>

<file path=xl/sharedStrings.xml><?xml version="1.0" encoding="utf-8"?>
<sst xmlns="http://schemas.openxmlformats.org/spreadsheetml/2006/main" count="36" uniqueCount="26">
  <si>
    <t>Year</t>
  </si>
  <si>
    <t>Discount Rate</t>
  </si>
  <si>
    <t>Energy Price</t>
  </si>
  <si>
    <t>Annual Energy (kWh)</t>
  </si>
  <si>
    <t>Energy Growth Rate</t>
  </si>
  <si>
    <t>Earnings</t>
  </si>
  <si>
    <t>System Size (kW)</t>
  </si>
  <si>
    <t>Cost ($/Watt)</t>
  </si>
  <si>
    <t>System Cost</t>
  </si>
  <si>
    <t>DCF Value</t>
  </si>
  <si>
    <t>DCF</t>
  </si>
  <si>
    <t>Pay Down Rate</t>
  </si>
  <si>
    <t>Federal Tax Credit</t>
  </si>
  <si>
    <t>State Tax Credit</t>
  </si>
  <si>
    <t>Total Cash</t>
  </si>
  <si>
    <t>Years to Pay back</t>
  </si>
  <si>
    <t>Return on Investment</t>
  </si>
  <si>
    <t>Margin of Safety</t>
  </si>
  <si>
    <t>Loan Interest APR</t>
  </si>
  <si>
    <t>Loan Payment</t>
  </si>
  <si>
    <t>Loan Term (years)</t>
  </si>
  <si>
    <t>Revenue</t>
  </si>
  <si>
    <t>Annual Earnings</t>
  </si>
  <si>
    <t>Retained Earnings</t>
  </si>
  <si>
    <t>Average Annual ROI</t>
  </si>
  <si>
    <t>Energy Price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</si>
</sst>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2" applyNumberFormat="1" applyFont="1" applyBorder="1"/>
    <xf numFmtId="44" fontId="0" fillId="0" borderId="1" xfId="0" applyNumberFormat="1" applyBorder="1"/>
    <xf numFmtId="44" fontId="0" fillId="0" borderId="1" xfId="2" applyFont="1" applyBorder="1"/>
    <xf numFmtId="0" fontId="0" fillId="0" borderId="2" xfId="0" applyBorder="1"/>
    <xf numFmtId="0" fontId="0" fillId="0" borderId="4" xfId="0" applyBorder="1"/>
    <xf numFmtId="9" fontId="0" fillId="0" borderId="5" xfId="1" applyFont="1" applyBorder="1"/>
    <xf numFmtId="0" fontId="0" fillId="0" borderId="5" xfId="0" applyBorder="1"/>
    <xf numFmtId="44" fontId="0" fillId="0" borderId="5" xfId="2" applyFont="1" applyBorder="1"/>
    <xf numFmtId="9" fontId="0" fillId="0" borderId="5" xfId="0" applyNumberFormat="1" applyBorder="1"/>
    <xf numFmtId="0" fontId="0" fillId="0" borderId="6" xfId="0" applyBorder="1"/>
    <xf numFmtId="44" fontId="0" fillId="0" borderId="7" xfId="2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0" xfId="2" applyNumberFormat="1" applyFont="1" applyBorder="1"/>
    <xf numFmtId="0" fontId="2" fillId="0" borderId="2" xfId="0" applyFont="1" applyBorder="1"/>
    <xf numFmtId="44" fontId="2" fillId="0" borderId="3" xfId="0" applyNumberFormat="1" applyFont="1" applyBorder="1"/>
    <xf numFmtId="0" fontId="2" fillId="0" borderId="4" xfId="0" applyFont="1" applyBorder="1"/>
    <xf numFmtId="44" fontId="2" fillId="0" borderId="5" xfId="0" applyNumberFormat="1" applyFont="1" applyBorder="1"/>
    <xf numFmtId="0" fontId="2" fillId="0" borderId="5" xfId="0" applyFont="1" applyBorder="1"/>
    <xf numFmtId="0" fontId="2" fillId="0" borderId="6" xfId="0" applyFont="1" applyBorder="1"/>
    <xf numFmtId="10" fontId="2" fillId="0" borderId="7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" xfId="0" applyFill="1" applyBorder="1"/>
    <xf numFmtId="0" fontId="2" fillId="0" borderId="13" xfId="0" applyFont="1" applyBorder="1"/>
    <xf numFmtId="44" fontId="2" fillId="0" borderId="14" xfId="0" applyNumberFormat="1" applyFont="1" applyBorder="1"/>
    <xf numFmtId="167" fontId="0" fillId="0" borderId="1" xfId="1" applyNumberFormat="1" applyFont="1" applyBorder="1"/>
    <xf numFmtId="44" fontId="2" fillId="0" borderId="0" xfId="0" applyNumberFormat="1" applyFont="1" applyBorder="1"/>
    <xf numFmtId="0" fontId="2" fillId="0" borderId="0" xfId="0" applyFont="1" applyBorder="1"/>
    <xf numFmtId="10" fontId="2" fillId="0" borderId="0" xfId="1" applyNumberFormat="1" applyFont="1" applyBorder="1"/>
    <xf numFmtId="1" fontId="0" fillId="0" borderId="5" xfId="1" applyNumberFormat="1" applyFont="1" applyBorder="1"/>
    <xf numFmtId="8" fontId="0" fillId="0" borderId="1" xfId="0" applyNumberFormat="1" applyBorder="1"/>
    <xf numFmtId="0" fontId="0" fillId="0" borderId="3" xfId="0" applyFill="1" applyBorder="1"/>
    <xf numFmtId="167" fontId="0" fillId="0" borderId="5" xfId="1" applyNumberFormat="1" applyFont="1" applyBorder="1"/>
    <xf numFmtId="44" fontId="0" fillId="0" borderId="10" xfId="2" applyFont="1" applyBorder="1"/>
    <xf numFmtId="44" fontId="0" fillId="0" borderId="10" xfId="0" applyNumberFormat="1" applyBorder="1"/>
    <xf numFmtId="167" fontId="0" fillId="0" borderId="7" xfId="1" applyNumberFormat="1" applyFont="1" applyBorder="1"/>
    <xf numFmtId="10" fontId="2" fillId="0" borderId="5" xfId="1" applyNumberFormat="1" applyFont="1" applyBorder="1"/>
    <xf numFmtId="0" fontId="2" fillId="0" borderId="6" xfId="0" applyFont="1" applyFill="1" applyBorder="1"/>
    <xf numFmtId="167" fontId="2" fillId="0" borderId="7" xfId="0" applyNumberFormat="1" applyFont="1" applyBorder="1"/>
    <xf numFmtId="167" fontId="0" fillId="0" borderId="3" xfId="1" applyNumberFormat="1" applyFont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and Retained Earnings (15 years operation, 2% Energy Cost Growth)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Financing!$F$1</c:f>
              <c:strCache>
                <c:ptCount val="1"/>
                <c:pt idx="0">
                  <c:v>Annual Earnings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Financing!$A$2:$A$30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</c:numCache>
            </c:numRef>
          </c:xVal>
          <c:yVal>
            <c:numRef>
              <c:f>Financing!$F$2:$F$30</c:f>
              <c:numCache>
                <c:formatCode>_("$"* #,##0.00_);_("$"* \(#,##0.00\);_("$"* "-"??_);_(@_)</c:formatCode>
                <c:ptCount val="29"/>
                <c:pt idx="0">
                  <c:v>6618.1727220380853</c:v>
                </c:pt>
                <c:pt idx="1">
                  <c:v>-621.82875996191387</c:v>
                </c:pt>
                <c:pt idx="2">
                  <c:v>-592.19396301191387</c:v>
                </c:pt>
                <c:pt idx="3">
                  <c:v>-562.17493559111381</c:v>
                </c:pt>
                <c:pt idx="4">
                  <c:v>-531.76816239946174</c:v>
                </c:pt>
                <c:pt idx="5">
                  <c:v>-500.97014121709208</c:v>
                </c:pt>
                <c:pt idx="6">
                  <c:v>-469.77738483365238</c:v>
                </c:pt>
                <c:pt idx="7">
                  <c:v>-438.18642304957302</c:v>
                </c:pt>
                <c:pt idx="8">
                  <c:v>-406.19380475138178</c:v>
                </c:pt>
                <c:pt idx="9">
                  <c:v>-373.79610006322764</c:v>
                </c:pt>
                <c:pt idx="10">
                  <c:v>-340.98990257683226</c:v>
                </c:pt>
                <c:pt idx="11">
                  <c:v>-307.7718316621399</c:v>
                </c:pt>
                <c:pt idx="12">
                  <c:v>-274.1385348610138</c:v>
                </c:pt>
                <c:pt idx="13">
                  <c:v>-240.08669036636275</c:v>
                </c:pt>
                <c:pt idx="14">
                  <c:v>-205.61300958916627</c:v>
                </c:pt>
                <c:pt idx="15">
                  <c:v>-170.71423981592034</c:v>
                </c:pt>
                <c:pt idx="16">
                  <c:v>-135.38716695909307</c:v>
                </c:pt>
                <c:pt idx="17">
                  <c:v>-99.628618403251494</c:v>
                </c:pt>
                <c:pt idx="18">
                  <c:v>-63.435465949577519</c:v>
                </c:pt>
                <c:pt idx="19">
                  <c:v>-26.804628861579658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E-4D29-8B44-6A58E710D296}"/>
            </c:ext>
          </c:extLst>
        </c:ser>
        <c:ser>
          <c:idx val="1"/>
          <c:order val="1"/>
          <c:tx>
            <c:strRef>
              <c:f>Financing!$G$1</c:f>
              <c:strCache>
                <c:ptCount val="1"/>
                <c:pt idx="0">
                  <c:v>Retained Earnings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4"/>
              <c:layout>
                <c:manualLayout>
                  <c:x val="-8.2524271844660074E-2"/>
                  <c:y val="-2.06918827943328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E-4D29-8B44-6A58E710D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Financing!$A$2:$A$30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</c:numCache>
            </c:numRef>
          </c:xVal>
          <c:yVal>
            <c:numRef>
              <c:f>Financing!$G$2:$G$30</c:f>
              <c:numCache>
                <c:formatCode>_("$"* #,##0.00_);_("$"* \(#,##0.00\);_("$"* "-"??_);_(@_)</c:formatCode>
                <c:ptCount val="29"/>
                <c:pt idx="0">
                  <c:v>6618.1727220380853</c:v>
                </c:pt>
                <c:pt idx="1">
                  <c:v>5996.343962076171</c:v>
                </c:pt>
                <c:pt idx="2">
                  <c:v>5404.1499990642569</c:v>
                </c:pt>
                <c:pt idx="3">
                  <c:v>4841.9750634731427</c:v>
                </c:pt>
                <c:pt idx="4">
                  <c:v>4310.2069010736814</c:v>
                </c:pt>
                <c:pt idx="5">
                  <c:v>3809.2367598565893</c:v>
                </c:pt>
                <c:pt idx="6">
                  <c:v>3339.4593750229369</c:v>
                </c:pt>
                <c:pt idx="7">
                  <c:v>2901.2729519733639</c:v>
                </c:pt>
                <c:pt idx="8">
                  <c:v>2495.0791472219821</c:v>
                </c:pt>
                <c:pt idx="9">
                  <c:v>2121.2830471587545</c:v>
                </c:pt>
                <c:pt idx="10">
                  <c:v>1780.2931445819222</c:v>
                </c:pt>
                <c:pt idx="11">
                  <c:v>1472.5213129197823</c:v>
                </c:pt>
                <c:pt idx="12">
                  <c:v>1198.3827780587685</c:v>
                </c:pt>
                <c:pt idx="13">
                  <c:v>958.29608769240576</c:v>
                </c:pt>
                <c:pt idx="14">
                  <c:v>752.6830781032395</c:v>
                </c:pt>
                <c:pt idx="15">
                  <c:v>581.96883828731916</c:v>
                </c:pt>
                <c:pt idx="16">
                  <c:v>446.58167132822609</c:v>
                </c:pt>
                <c:pt idx="17">
                  <c:v>346.9530529249746</c:v>
                </c:pt>
                <c:pt idx="18">
                  <c:v>283.51758697539708</c:v>
                </c:pt>
                <c:pt idx="19">
                  <c:v>256.71295811381742</c:v>
                </c:pt>
                <c:pt idx="20">
                  <c:v>256.71295811381742</c:v>
                </c:pt>
                <c:pt idx="21">
                  <c:v>256.71295811381742</c:v>
                </c:pt>
                <c:pt idx="22">
                  <c:v>256.71295811381742</c:v>
                </c:pt>
                <c:pt idx="23">
                  <c:v>256.71295811381742</c:v>
                </c:pt>
                <c:pt idx="24">
                  <c:v>256.71295811381742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9E-4D29-8B44-6A58E710D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11344"/>
        <c:axId val="227010928"/>
      </c:scatterChart>
      <c:valAx>
        <c:axId val="227011344"/>
        <c:scaling>
          <c:orientation val="minMax"/>
          <c:max val="2046"/>
          <c:min val="20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10928"/>
        <c:crosses val="autoZero"/>
        <c:crossBetween val="midCat"/>
      </c:valAx>
      <c:valAx>
        <c:axId val="2270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13</xdr:row>
      <xdr:rowOff>71437</xdr:rowOff>
    </xdr:from>
    <xdr:to>
      <xdr:col>16</xdr:col>
      <xdr:colOff>276225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A499B-12ED-4821-B352-CBE020816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BFED-664E-41BF-83A7-CC1DA6F47648}">
  <dimension ref="A1:K30"/>
  <sheetViews>
    <sheetView workbookViewId="0">
      <selection activeCell="K2" sqref="K2"/>
    </sheetView>
  </sheetViews>
  <sheetFormatPr defaultRowHeight="15" x14ac:dyDescent="0.25"/>
  <cols>
    <col min="2" max="2" width="19.85546875" bestFit="1" customWidth="1"/>
    <col min="3" max="3" width="16.28515625" bestFit="1" customWidth="1"/>
    <col min="4" max="4" width="11.5703125" bestFit="1" customWidth="1"/>
    <col min="5" max="5" width="13.5703125" bestFit="1" customWidth="1"/>
    <col min="6" max="6" width="15.28515625" bestFit="1" customWidth="1"/>
    <col min="7" max="7" width="17" bestFit="1" customWidth="1"/>
    <col min="8" max="8" width="14.28515625" customWidth="1"/>
    <col min="9" max="9" width="20.5703125" bestFit="1" customWidth="1"/>
    <col min="10" max="10" width="18.7109375" bestFit="1" customWidth="1"/>
    <col min="11" max="11" width="11.5703125" bestFit="1" customWidth="1"/>
  </cols>
  <sheetData>
    <row r="1" spans="1:11" x14ac:dyDescent="0.25">
      <c r="A1" s="1" t="s">
        <v>0</v>
      </c>
      <c r="B1" s="1" t="s">
        <v>3</v>
      </c>
      <c r="C1" s="1" t="s">
        <v>2</v>
      </c>
      <c r="D1" s="1" t="s">
        <v>21</v>
      </c>
      <c r="E1" s="1" t="s">
        <v>19</v>
      </c>
      <c r="F1" s="1" t="s">
        <v>22</v>
      </c>
      <c r="G1" s="1" t="s">
        <v>23</v>
      </c>
      <c r="H1" s="1" t="s">
        <v>11</v>
      </c>
      <c r="I1" s="27" t="s">
        <v>16</v>
      </c>
      <c r="J1" s="25" t="s">
        <v>4</v>
      </c>
      <c r="K1" s="44">
        <v>0.02</v>
      </c>
    </row>
    <row r="2" spans="1:11" x14ac:dyDescent="0.25">
      <c r="A2" s="1">
        <v>2022</v>
      </c>
      <c r="B2" s="2">
        <f>K4*1240.16203703703</f>
        <v>10714.99999999994</v>
      </c>
      <c r="C2" s="3">
        <v>0.187</v>
      </c>
      <c r="D2" s="4">
        <f>C2*B2+K8+K6*K7</f>
        <v>9242.9049999999879</v>
      </c>
      <c r="E2" s="35">
        <f>-PMT(K2/12,K3*12,K6)*12</f>
        <v>2624.7322779619026</v>
      </c>
      <c r="F2" s="4">
        <f>D2-E2</f>
        <v>6618.1727220380853</v>
      </c>
      <c r="G2" s="4">
        <f>F2</f>
        <v>6618.1727220380853</v>
      </c>
      <c r="H2" s="4">
        <f>K6-D2</f>
        <v>16677.095000000012</v>
      </c>
      <c r="I2" s="30">
        <f>D2/$K$6</f>
        <v>0.35659355709876495</v>
      </c>
      <c r="J2" s="14" t="s">
        <v>18</v>
      </c>
      <c r="K2" s="37">
        <v>0.06</v>
      </c>
    </row>
    <row r="3" spans="1:11" x14ac:dyDescent="0.25">
      <c r="A3" s="1">
        <f>A2+1</f>
        <v>2023</v>
      </c>
      <c r="B3" s="1">
        <f>B2*0.98</f>
        <v>10500.699999999941</v>
      </c>
      <c r="C3" s="3">
        <f>C2*(1+$K$1)</f>
        <v>0.19073999999999999</v>
      </c>
      <c r="D3" s="4">
        <f t="shared" ref="D3:D26" si="0">C3*B3</f>
        <v>2002.9035179999887</v>
      </c>
      <c r="E3" s="35">
        <f>E2</f>
        <v>2624.7322779619026</v>
      </c>
      <c r="F3" s="4">
        <f t="shared" ref="F3:F26" si="1">D3-E3</f>
        <v>-621.82875996191387</v>
      </c>
      <c r="G3" s="4">
        <f>G2+F3</f>
        <v>5996.343962076171</v>
      </c>
      <c r="H3" s="4">
        <f>H2-D3</f>
        <v>14674.191482000024</v>
      </c>
      <c r="I3" s="30">
        <f>D3/$K$6</f>
        <v>7.7272512268518084E-2</v>
      </c>
      <c r="J3" s="14" t="s">
        <v>20</v>
      </c>
      <c r="K3" s="34">
        <v>15</v>
      </c>
    </row>
    <row r="4" spans="1:11" x14ac:dyDescent="0.25">
      <c r="A4" s="1">
        <f t="shared" ref="A4:A26" si="2">A3+1</f>
        <v>2024</v>
      </c>
      <c r="B4" s="1">
        <f>B3-$B$2*0.005</f>
        <v>10447.124999999942</v>
      </c>
      <c r="C4" s="3">
        <f>C3*(1+$K$1)</f>
        <v>0.1945548</v>
      </c>
      <c r="D4" s="4">
        <f t="shared" si="0"/>
        <v>2032.5383149499887</v>
      </c>
      <c r="E4" s="35">
        <f t="shared" ref="E4:E26" si="3">E3</f>
        <v>2624.7322779619026</v>
      </c>
      <c r="F4" s="4">
        <f t="shared" si="1"/>
        <v>-592.19396301191387</v>
      </c>
      <c r="G4" s="4">
        <f t="shared" ref="G4:G26" si="4">G3+F4</f>
        <v>5404.1499990642569</v>
      </c>
      <c r="H4" s="4">
        <f>H3-D4</f>
        <v>12641.653167050035</v>
      </c>
      <c r="I4" s="30">
        <f>D4/$K$6</f>
        <v>7.8415830052082899E-2</v>
      </c>
      <c r="J4" s="14" t="s">
        <v>6</v>
      </c>
      <c r="K4" s="9">
        <v>8.64</v>
      </c>
    </row>
    <row r="5" spans="1:11" x14ac:dyDescent="0.25">
      <c r="A5" s="1">
        <f t="shared" si="2"/>
        <v>2025</v>
      </c>
      <c r="B5" s="1">
        <f t="shared" ref="B5:B26" si="5">B4-$B$2*0.005</f>
        <v>10393.549999999943</v>
      </c>
      <c r="C5" s="3">
        <f>C4*(1+$K$1)</f>
        <v>0.19844589600000001</v>
      </c>
      <c r="D5" s="4">
        <f t="shared" si="0"/>
        <v>2062.5573423707888</v>
      </c>
      <c r="E5" s="35">
        <f t="shared" si="3"/>
        <v>2624.7322779619026</v>
      </c>
      <c r="F5" s="4">
        <f t="shared" si="1"/>
        <v>-562.17493559111381</v>
      </c>
      <c r="G5" s="4">
        <f t="shared" si="4"/>
        <v>4841.9750634731427</v>
      </c>
      <c r="H5" s="4">
        <f>H4-D5</f>
        <v>10579.095824679247</v>
      </c>
      <c r="I5" s="30">
        <f>D5/$K$6</f>
        <v>7.95739715420829E-2</v>
      </c>
      <c r="J5" s="14" t="s">
        <v>7</v>
      </c>
      <c r="K5" s="9">
        <v>3</v>
      </c>
    </row>
    <row r="6" spans="1:11" x14ac:dyDescent="0.25">
      <c r="A6" s="1">
        <f t="shared" si="2"/>
        <v>2026</v>
      </c>
      <c r="B6" s="1">
        <f t="shared" si="5"/>
        <v>10339.974999999944</v>
      </c>
      <c r="C6" s="3">
        <f>C5*(1+$K$1)</f>
        <v>0.20241481392000002</v>
      </c>
      <c r="D6" s="4">
        <f t="shared" si="0"/>
        <v>2092.9641155624408</v>
      </c>
      <c r="E6" s="35">
        <f t="shared" si="3"/>
        <v>2624.7322779619026</v>
      </c>
      <c r="F6" s="4">
        <f t="shared" si="1"/>
        <v>-531.76816239946174</v>
      </c>
      <c r="G6" s="4">
        <f t="shared" si="4"/>
        <v>4310.2069010736814</v>
      </c>
      <c r="H6" s="4">
        <f>H5-D6</f>
        <v>8486.1317091168057</v>
      </c>
      <c r="I6" s="30">
        <f>D6/$K$6</f>
        <v>8.0747072359662067E-2</v>
      </c>
      <c r="J6" s="14" t="s">
        <v>8</v>
      </c>
      <c r="K6" s="10">
        <f>K5*K4*1000</f>
        <v>25920</v>
      </c>
    </row>
    <row r="7" spans="1:11" x14ac:dyDescent="0.25">
      <c r="A7" s="1">
        <f t="shared" si="2"/>
        <v>2027</v>
      </c>
      <c r="B7" s="1">
        <f t="shared" si="5"/>
        <v>10286.399999999945</v>
      </c>
      <c r="C7" s="3">
        <f>C6*(1+$K$1)</f>
        <v>0.20646311019840002</v>
      </c>
      <c r="D7" s="4">
        <f t="shared" si="0"/>
        <v>2123.7621367448105</v>
      </c>
      <c r="E7" s="35">
        <f t="shared" si="3"/>
        <v>2624.7322779619026</v>
      </c>
      <c r="F7" s="4">
        <f t="shared" si="1"/>
        <v>-500.97014121709208</v>
      </c>
      <c r="G7" s="4">
        <f t="shared" si="4"/>
        <v>3809.2367598565893</v>
      </c>
      <c r="H7" s="4">
        <f>H6-D7</f>
        <v>6362.3695723719957</v>
      </c>
      <c r="I7" s="30">
        <f>D7/$K$6</f>
        <v>8.1935267621327565E-2</v>
      </c>
      <c r="J7" s="14" t="s">
        <v>12</v>
      </c>
      <c r="K7" s="11">
        <v>0.26</v>
      </c>
    </row>
    <row r="8" spans="1:11" ht="15.75" thickBot="1" x14ac:dyDescent="0.3">
      <c r="A8" s="1">
        <f t="shared" si="2"/>
        <v>2028</v>
      </c>
      <c r="B8" s="1">
        <f t="shared" si="5"/>
        <v>10232.824999999946</v>
      </c>
      <c r="C8" s="3">
        <f>C7*(1+$K$1)</f>
        <v>0.21059237240236803</v>
      </c>
      <c r="D8" s="4">
        <f t="shared" si="0"/>
        <v>2154.9548931282502</v>
      </c>
      <c r="E8" s="35">
        <f t="shared" si="3"/>
        <v>2624.7322779619026</v>
      </c>
      <c r="F8" s="4">
        <f t="shared" si="1"/>
        <v>-469.77738483365238</v>
      </c>
      <c r="G8" s="4">
        <f t="shared" si="4"/>
        <v>3339.4593750229369</v>
      </c>
      <c r="H8" s="4">
        <f>H7-D8</f>
        <v>4207.4146792437459</v>
      </c>
      <c r="I8" s="30">
        <f>D8/$K$6</f>
        <v>8.3138691864515821E-2</v>
      </c>
      <c r="J8" s="26" t="s">
        <v>13</v>
      </c>
      <c r="K8" s="13">
        <v>500</v>
      </c>
    </row>
    <row r="9" spans="1:11" x14ac:dyDescent="0.25">
      <c r="A9" s="1">
        <f t="shared" si="2"/>
        <v>2029</v>
      </c>
      <c r="B9" s="1">
        <f t="shared" si="5"/>
        <v>10179.249999999947</v>
      </c>
      <c r="C9" s="3">
        <f>C8*(1+$K$1)</f>
        <v>0.2148042198504154</v>
      </c>
      <c r="D9" s="4">
        <f t="shared" si="0"/>
        <v>2186.5458549123296</v>
      </c>
      <c r="E9" s="35">
        <f t="shared" si="3"/>
        <v>2624.7322779619026</v>
      </c>
      <c r="F9" s="4">
        <f t="shared" si="1"/>
        <v>-438.18642304957302</v>
      </c>
      <c r="G9" s="4">
        <f t="shared" si="4"/>
        <v>2901.2729519733639</v>
      </c>
      <c r="H9" s="4">
        <f>H8-D9</f>
        <v>2020.8688243314164</v>
      </c>
      <c r="I9" s="30">
        <f>D9/$K$6</f>
        <v>8.4357478970383079E-2</v>
      </c>
    </row>
    <row r="10" spans="1:11" x14ac:dyDescent="0.25">
      <c r="A10" s="1">
        <f t="shared" si="2"/>
        <v>2030</v>
      </c>
      <c r="B10" s="1">
        <f t="shared" si="5"/>
        <v>10125.674999999948</v>
      </c>
      <c r="C10" s="3">
        <f>C9*(1+$K$1)</f>
        <v>0.21910030424742372</v>
      </c>
      <c r="D10" s="4">
        <f t="shared" si="0"/>
        <v>2218.5384732105208</v>
      </c>
      <c r="E10" s="35">
        <f t="shared" si="3"/>
        <v>2624.7322779619026</v>
      </c>
      <c r="F10" s="4">
        <f t="shared" si="1"/>
        <v>-406.19380475138178</v>
      </c>
      <c r="G10" s="4">
        <f t="shared" si="4"/>
        <v>2495.0791472219821</v>
      </c>
      <c r="H10" s="4">
        <f>H9-D10</f>
        <v>-197.66964887910444</v>
      </c>
      <c r="I10" s="30">
        <f>D10/$K$6</f>
        <v>8.5591762083739226E-2</v>
      </c>
    </row>
    <row r="11" spans="1:11" x14ac:dyDescent="0.25">
      <c r="A11" s="1">
        <f t="shared" si="2"/>
        <v>2031</v>
      </c>
      <c r="B11" s="1">
        <f t="shared" si="5"/>
        <v>10072.099999999949</v>
      </c>
      <c r="C11" s="3">
        <f>C10*(1+$K$1)</f>
        <v>0.2234823103323722</v>
      </c>
      <c r="D11" s="4">
        <f t="shared" si="0"/>
        <v>2250.9361778986749</v>
      </c>
      <c r="E11" s="35">
        <f t="shared" si="3"/>
        <v>2624.7322779619026</v>
      </c>
      <c r="F11" s="4">
        <f t="shared" si="1"/>
        <v>-373.79610006322764</v>
      </c>
      <c r="G11" s="4">
        <f t="shared" si="4"/>
        <v>2121.2830471587545</v>
      </c>
      <c r="H11" s="4">
        <f>H10-D11</f>
        <v>-2448.6058267777794</v>
      </c>
      <c r="I11" s="30">
        <f>D11/$K$6</f>
        <v>8.6841673530041477E-2</v>
      </c>
    </row>
    <row r="12" spans="1:11" x14ac:dyDescent="0.25">
      <c r="A12" s="1">
        <f t="shared" si="2"/>
        <v>2032</v>
      </c>
      <c r="B12" s="1">
        <f t="shared" si="5"/>
        <v>10018.524999999951</v>
      </c>
      <c r="C12" s="3">
        <f>C11*(1+$K$1)</f>
        <v>0.22795195653901965</v>
      </c>
      <c r="D12" s="4">
        <f t="shared" si="0"/>
        <v>2283.7423753850703</v>
      </c>
      <c r="E12" s="35">
        <f t="shared" si="3"/>
        <v>2624.7322779619026</v>
      </c>
      <c r="F12" s="4">
        <f t="shared" si="1"/>
        <v>-340.98990257683226</v>
      </c>
      <c r="G12" s="4">
        <f t="shared" si="4"/>
        <v>1780.2931445819222</v>
      </c>
      <c r="H12" s="4">
        <f>H11-D12</f>
        <v>-4732.3482021628497</v>
      </c>
      <c r="I12" s="30">
        <f>D12/$K$6</f>
        <v>8.8107344729362283E-2</v>
      </c>
    </row>
    <row r="13" spans="1:11" x14ac:dyDescent="0.25">
      <c r="A13" s="1">
        <f t="shared" si="2"/>
        <v>2033</v>
      </c>
      <c r="B13" s="1">
        <f t="shared" si="5"/>
        <v>9964.9499999999516</v>
      </c>
      <c r="C13" s="3">
        <f>C12*(1+$K$1)</f>
        <v>0.23251099566980005</v>
      </c>
      <c r="D13" s="4">
        <f t="shared" si="0"/>
        <v>2316.9604462997627</v>
      </c>
      <c r="E13" s="35">
        <f t="shared" si="3"/>
        <v>2624.7322779619026</v>
      </c>
      <c r="F13" s="4">
        <f t="shared" si="1"/>
        <v>-307.7718316621399</v>
      </c>
      <c r="G13" s="4">
        <f t="shared" si="4"/>
        <v>1472.5213129197823</v>
      </c>
      <c r="H13" s="4">
        <f>H12-D13</f>
        <v>-7049.3086484626128</v>
      </c>
      <c r="I13" s="30">
        <f>D13/$K$6</f>
        <v>8.9388906107243926E-2</v>
      </c>
    </row>
    <row r="14" spans="1:11" x14ac:dyDescent="0.25">
      <c r="A14" s="1">
        <f t="shared" si="2"/>
        <v>2034</v>
      </c>
      <c r="B14" s="1">
        <f t="shared" si="5"/>
        <v>9911.3749999999527</v>
      </c>
      <c r="C14" s="3">
        <f>C13*(1+$K$1)</f>
        <v>0.23716121558319606</v>
      </c>
      <c r="D14" s="4">
        <f t="shared" si="0"/>
        <v>2350.5937431008888</v>
      </c>
      <c r="E14" s="35">
        <f t="shared" si="3"/>
        <v>2624.7322779619026</v>
      </c>
      <c r="F14" s="4">
        <f t="shared" si="1"/>
        <v>-274.1385348610138</v>
      </c>
      <c r="G14" s="4">
        <f t="shared" si="4"/>
        <v>1198.3827780587685</v>
      </c>
      <c r="H14" s="4">
        <f>H13-D14</f>
        <v>-9399.9023915635007</v>
      </c>
      <c r="I14" s="30">
        <f>D14/$K$6</f>
        <v>9.0686487002349103E-2</v>
      </c>
    </row>
    <row r="15" spans="1:11" x14ac:dyDescent="0.25">
      <c r="A15" s="1">
        <f t="shared" si="2"/>
        <v>2035</v>
      </c>
      <c r="B15" s="1">
        <f t="shared" si="5"/>
        <v>9857.7999999999538</v>
      </c>
      <c r="C15" s="3">
        <f>C14*(1+$K$1)</f>
        <v>0.24190443989485999</v>
      </c>
      <c r="D15" s="4">
        <f t="shared" si="0"/>
        <v>2384.6455875955398</v>
      </c>
      <c r="E15" s="35">
        <f t="shared" si="3"/>
        <v>2624.7322779619026</v>
      </c>
      <c r="F15" s="4">
        <f t="shared" si="1"/>
        <v>-240.08669036636275</v>
      </c>
      <c r="G15" s="4">
        <f t="shared" si="4"/>
        <v>958.29608769240576</v>
      </c>
      <c r="H15" s="4">
        <f>H14-D15</f>
        <v>-11784.547979159041</v>
      </c>
      <c r="I15" s="30">
        <f>D15/$K$6</f>
        <v>9.2000215570815586E-2</v>
      </c>
    </row>
    <row r="16" spans="1:11" x14ac:dyDescent="0.25">
      <c r="A16" s="1">
        <f t="shared" si="2"/>
        <v>2036</v>
      </c>
      <c r="B16" s="1">
        <f t="shared" si="5"/>
        <v>9804.2249999999549</v>
      </c>
      <c r="C16" s="3">
        <f>C15*(1+$K$1)</f>
        <v>0.2467425286927572</v>
      </c>
      <c r="D16" s="4">
        <f t="shared" si="0"/>
        <v>2419.1192683727363</v>
      </c>
      <c r="E16" s="35">
        <f t="shared" si="3"/>
        <v>2624.7322779619026</v>
      </c>
      <c r="F16" s="4">
        <f t="shared" si="1"/>
        <v>-205.61300958916627</v>
      </c>
      <c r="G16" s="4">
        <f t="shared" si="4"/>
        <v>752.6830781032395</v>
      </c>
      <c r="H16" s="4">
        <f>H15-D16</f>
        <v>-14203.667247531777</v>
      </c>
      <c r="I16" s="30">
        <f>D16/$K$6</f>
        <v>9.333021868721976E-2</v>
      </c>
    </row>
    <row r="17" spans="1:9" x14ac:dyDescent="0.25">
      <c r="A17" s="1">
        <f t="shared" si="2"/>
        <v>2037</v>
      </c>
      <c r="B17" s="1">
        <f t="shared" si="5"/>
        <v>9750.649999999956</v>
      </c>
      <c r="C17" s="3">
        <f>C16*(1+$K$1)</f>
        <v>0.25167737926661232</v>
      </c>
      <c r="D17" s="4">
        <f t="shared" si="0"/>
        <v>2454.0180381459822</v>
      </c>
      <c r="E17" s="35">
        <f t="shared" si="3"/>
        <v>2624.7322779619026</v>
      </c>
      <c r="F17" s="4">
        <f t="shared" si="1"/>
        <v>-170.71423981592034</v>
      </c>
      <c r="G17" s="4">
        <f t="shared" si="4"/>
        <v>581.96883828731916</v>
      </c>
      <c r="H17" s="4">
        <f>H16-D17</f>
        <v>-16657.685285677759</v>
      </c>
      <c r="I17" s="30">
        <f>D17/$K$6</f>
        <v>9.4676621842051778E-2</v>
      </c>
    </row>
    <row r="18" spans="1:9" x14ac:dyDescent="0.25">
      <c r="A18" s="1">
        <f t="shared" si="2"/>
        <v>2038</v>
      </c>
      <c r="B18" s="1">
        <f t="shared" si="5"/>
        <v>9697.0749999999571</v>
      </c>
      <c r="C18" s="3">
        <f>C17*(1+$K$1)</f>
        <v>0.25671092685194458</v>
      </c>
      <c r="D18" s="4">
        <f t="shared" si="0"/>
        <v>2489.3451110028095</v>
      </c>
      <c r="E18" s="35">
        <f t="shared" si="3"/>
        <v>2624.7322779619026</v>
      </c>
      <c r="F18" s="4">
        <f t="shared" si="1"/>
        <v>-135.38716695909307</v>
      </c>
      <c r="G18" s="4">
        <f t="shared" si="4"/>
        <v>446.58167132822609</v>
      </c>
      <c r="H18" s="4">
        <f>H17-D18</f>
        <v>-19147.03039668057</v>
      </c>
      <c r="I18" s="30">
        <f>D18/$K$6</f>
        <v>9.6039549035602217E-2</v>
      </c>
    </row>
    <row r="19" spans="1:9" x14ac:dyDescent="0.25">
      <c r="A19" s="1">
        <f t="shared" si="2"/>
        <v>2039</v>
      </c>
      <c r="B19" s="1">
        <f t="shared" si="5"/>
        <v>9643.4999999999582</v>
      </c>
      <c r="C19" s="3">
        <f>C18*(1+$K$1)</f>
        <v>0.26184514538898346</v>
      </c>
      <c r="D19" s="4">
        <f t="shared" si="0"/>
        <v>2525.1036595586511</v>
      </c>
      <c r="E19" s="35">
        <f t="shared" si="3"/>
        <v>2624.7322779619026</v>
      </c>
      <c r="F19" s="4">
        <f t="shared" si="1"/>
        <v>-99.628618403251494</v>
      </c>
      <c r="G19" s="4">
        <f t="shared" si="4"/>
        <v>346.9530529249746</v>
      </c>
      <c r="H19" s="4">
        <f>H18-D19</f>
        <v>-21672.134056239222</v>
      </c>
      <c r="I19" s="30">
        <f>D19/$K$6</f>
        <v>9.7419122668157832E-2</v>
      </c>
    </row>
    <row r="20" spans="1:9" x14ac:dyDescent="0.25">
      <c r="A20" s="1">
        <f t="shared" si="2"/>
        <v>2040</v>
      </c>
      <c r="B20" s="1">
        <f t="shared" si="5"/>
        <v>9589.9249999999593</v>
      </c>
      <c r="C20" s="3">
        <f>C19*(1+$K$1)</f>
        <v>0.26708204829676313</v>
      </c>
      <c r="D20" s="4">
        <f t="shared" si="0"/>
        <v>2561.2968120123251</v>
      </c>
      <c r="E20" s="35">
        <f t="shared" si="3"/>
        <v>2624.7322779619026</v>
      </c>
      <c r="F20" s="4">
        <f t="shared" si="1"/>
        <v>-63.435465949577519</v>
      </c>
      <c r="G20" s="4">
        <f t="shared" si="4"/>
        <v>283.51758697539708</v>
      </c>
      <c r="H20" s="4">
        <f>H19-D20</f>
        <v>-24233.430868251548</v>
      </c>
      <c r="I20" s="30">
        <f>D20/$K$6</f>
        <v>9.8815463426401434E-2</v>
      </c>
    </row>
    <row r="21" spans="1:9" x14ac:dyDescent="0.25">
      <c r="A21" s="1">
        <f t="shared" si="2"/>
        <v>2041</v>
      </c>
      <c r="B21" s="1">
        <f t="shared" si="5"/>
        <v>9536.3499999999603</v>
      </c>
      <c r="C21" s="3">
        <f>C20*(1+$K$1)</f>
        <v>0.27242368926269839</v>
      </c>
      <c r="D21" s="4">
        <f t="shared" si="0"/>
        <v>2597.9276491003229</v>
      </c>
      <c r="E21" s="35">
        <f t="shared" si="3"/>
        <v>2624.7322779619026</v>
      </c>
      <c r="F21" s="4">
        <f t="shared" si="1"/>
        <v>-26.804628861579658</v>
      </c>
      <c r="G21" s="4">
        <f t="shared" si="4"/>
        <v>256.71295811381742</v>
      </c>
      <c r="H21" s="4">
        <f>H20-D21</f>
        <v>-26831.35851735187</v>
      </c>
      <c r="I21" s="30">
        <f>D21/$K$6</f>
        <v>0.10022869016590752</v>
      </c>
    </row>
    <row r="22" spans="1:9" x14ac:dyDescent="0.25">
      <c r="A22" s="1">
        <f t="shared" si="2"/>
        <v>2042</v>
      </c>
      <c r="B22" s="1">
        <f t="shared" si="5"/>
        <v>9482.7749999999614</v>
      </c>
      <c r="C22" s="3">
        <f>C21*(1+$K$1)</f>
        <v>0.27787216304795237</v>
      </c>
      <c r="D22" s="4">
        <f t="shared" si="0"/>
        <v>2634.9992009470357</v>
      </c>
      <c r="E22" s="35"/>
      <c r="F22" s="4">
        <v>0</v>
      </c>
      <c r="G22" s="4">
        <f t="shared" si="4"/>
        <v>256.71295811381742</v>
      </c>
      <c r="H22" s="4">
        <f>H21-D22</f>
        <v>-29466.357718298907</v>
      </c>
      <c r="I22" s="30">
        <f>D22/$K$6</f>
        <v>0.10165891978962328</v>
      </c>
    </row>
    <row r="23" spans="1:9" x14ac:dyDescent="0.25">
      <c r="A23" s="1">
        <f t="shared" si="2"/>
        <v>2043</v>
      </c>
      <c r="B23" s="1">
        <f t="shared" si="5"/>
        <v>9429.1999999999625</v>
      </c>
      <c r="C23" s="3">
        <f>C22*(1+$K$1)</f>
        <v>0.2834296063089114</v>
      </c>
      <c r="D23" s="4">
        <f t="shared" si="0"/>
        <v>2672.5144438079769</v>
      </c>
      <c r="E23" s="35"/>
      <c r="F23" s="4">
        <v>0</v>
      </c>
      <c r="G23" s="4">
        <f t="shared" si="4"/>
        <v>256.71295811381742</v>
      </c>
      <c r="H23" s="4">
        <f>H22-D23</f>
        <v>-32138.872162106883</v>
      </c>
      <c r="I23" s="30">
        <f>D23/$K$6</f>
        <v>0.10310626712222133</v>
      </c>
    </row>
    <row r="24" spans="1:9" x14ac:dyDescent="0.25">
      <c r="A24" s="1">
        <f t="shared" si="2"/>
        <v>2044</v>
      </c>
      <c r="B24" s="1">
        <f t="shared" si="5"/>
        <v>9375.6249999999636</v>
      </c>
      <c r="C24" s="3">
        <f>C23*(1+$K$1)</f>
        <v>0.2890981984350896</v>
      </c>
      <c r="D24" s="4">
        <f t="shared" si="0"/>
        <v>2710.4762967029765</v>
      </c>
      <c r="E24" s="35"/>
      <c r="F24" s="4">
        <v>0</v>
      </c>
      <c r="G24" s="4">
        <f t="shared" si="4"/>
        <v>256.71295811381742</v>
      </c>
      <c r="H24" s="4">
        <f>H23-D24</f>
        <v>-34849.348458809858</v>
      </c>
      <c r="I24" s="30">
        <f>D24/$K$6</f>
        <v>0.10457084478020742</v>
      </c>
    </row>
    <row r="25" spans="1:9" x14ac:dyDescent="0.25">
      <c r="A25" s="1">
        <f t="shared" si="2"/>
        <v>2045</v>
      </c>
      <c r="B25" s="1">
        <f t="shared" si="5"/>
        <v>9322.0499999999647</v>
      </c>
      <c r="C25" s="3">
        <f>C24*(1+$K$1)</f>
        <v>0.29488016240379139</v>
      </c>
      <c r="D25" s="4">
        <f t="shared" si="0"/>
        <v>2748.8876179362533</v>
      </c>
      <c r="E25" s="35"/>
      <c r="F25" s="4">
        <v>0</v>
      </c>
      <c r="G25" s="4">
        <f t="shared" si="4"/>
        <v>256.71295811381742</v>
      </c>
      <c r="H25" s="4">
        <f>H24-D25</f>
        <v>-37598.236076746114</v>
      </c>
      <c r="I25" s="30">
        <f>D25/$K$6</f>
        <v>0.10605276303766409</v>
      </c>
    </row>
    <row r="26" spans="1:9" x14ac:dyDescent="0.25">
      <c r="A26" s="1">
        <f t="shared" si="2"/>
        <v>2046</v>
      </c>
      <c r="B26" s="1">
        <f t="shared" si="5"/>
        <v>9268.4749999999658</v>
      </c>
      <c r="C26" s="3">
        <f>C25*(1+$K$1)</f>
        <v>0.3007777656518672</v>
      </c>
      <c r="D26" s="4">
        <f t="shared" si="0"/>
        <v>2787.7512015001794</v>
      </c>
      <c r="E26" s="35"/>
      <c r="F26" s="4">
        <v>0</v>
      </c>
      <c r="G26" s="4">
        <f t="shared" si="4"/>
        <v>256.71295811381742</v>
      </c>
      <c r="H26" s="4">
        <f>H25-D26</f>
        <v>-40385.987278246292</v>
      </c>
      <c r="I26" s="30">
        <f>D26/$K$6</f>
        <v>0.10755212968750692</v>
      </c>
    </row>
    <row r="27" spans="1:9" x14ac:dyDescent="0.25">
      <c r="C27" s="28"/>
      <c r="D27" s="29"/>
      <c r="E27" s="31"/>
      <c r="F27" s="31"/>
      <c r="G27" s="31"/>
    </row>
    <row r="28" spans="1:9" x14ac:dyDescent="0.25">
      <c r="C28" s="20"/>
      <c r="D28" s="21"/>
      <c r="E28" s="31"/>
      <c r="F28" s="31"/>
      <c r="G28" s="31"/>
    </row>
    <row r="29" spans="1:9" x14ac:dyDescent="0.25">
      <c r="C29" s="20"/>
      <c r="D29" s="22"/>
      <c r="E29" s="32"/>
      <c r="F29" s="32"/>
      <c r="G29" s="32"/>
    </row>
    <row r="30" spans="1:9" ht="15.75" thickBot="1" x14ac:dyDescent="0.3">
      <c r="C30" s="23"/>
      <c r="D30" s="24"/>
      <c r="E30" s="33"/>
      <c r="F30" s="33"/>
      <c r="G30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AF8F-074E-4824-BFBA-8793B83157F7}">
  <dimension ref="A1:I31"/>
  <sheetViews>
    <sheetView tabSelected="1" workbookViewId="0">
      <selection activeCell="J17" sqref="J17"/>
    </sheetView>
  </sheetViews>
  <sheetFormatPr defaultRowHeight="15" x14ac:dyDescent="0.25"/>
  <cols>
    <col min="2" max="2" width="19.85546875" bestFit="1" customWidth="1"/>
    <col min="3" max="3" width="18.85546875" bestFit="1" customWidth="1"/>
    <col min="4" max="4" width="11.5703125" bestFit="1" customWidth="1"/>
    <col min="5" max="5" width="11.5703125" hidden="1" customWidth="1"/>
    <col min="6" max="6" width="14.28515625" hidden="1" customWidth="1"/>
    <col min="7" max="7" width="20.5703125" bestFit="1" customWidth="1"/>
    <col min="8" max="8" width="18.7109375" bestFit="1" customWidth="1"/>
    <col min="9" max="9" width="11.5703125" bestFit="1" customWidth="1"/>
  </cols>
  <sheetData>
    <row r="1" spans="1:9" x14ac:dyDescent="0.25">
      <c r="A1" s="6" t="s">
        <v>0</v>
      </c>
      <c r="B1" s="15" t="s">
        <v>3</v>
      </c>
      <c r="C1" s="15" t="s">
        <v>25</v>
      </c>
      <c r="D1" s="15" t="s">
        <v>5</v>
      </c>
      <c r="E1" s="15" t="s">
        <v>10</v>
      </c>
      <c r="F1" s="15" t="s">
        <v>11</v>
      </c>
      <c r="G1" s="36" t="s">
        <v>16</v>
      </c>
      <c r="H1" s="25" t="s">
        <v>4</v>
      </c>
      <c r="I1" s="44">
        <v>0</v>
      </c>
    </row>
    <row r="2" spans="1:9" x14ac:dyDescent="0.25">
      <c r="A2" s="7">
        <v>2022</v>
      </c>
      <c r="B2" s="2">
        <f>I3*1240.16203703703</f>
        <v>10714.99999999994</v>
      </c>
      <c r="C2" s="3">
        <v>0.187</v>
      </c>
      <c r="D2" s="4">
        <f>C2*B2+I7+I5*I6</f>
        <v>2003.7049999999888</v>
      </c>
      <c r="E2" s="5">
        <f>E3/(1+$I$2)+D2</f>
        <v>18701.980521148722</v>
      </c>
      <c r="F2" s="4">
        <f>I5-D2</f>
        <v>23916.295000000013</v>
      </c>
      <c r="G2" s="37">
        <f>D2/$I$5</f>
        <v>7.7303433641974881E-2</v>
      </c>
      <c r="H2" s="14" t="s">
        <v>1</v>
      </c>
      <c r="I2" s="8">
        <v>7.0000000000000007E-2</v>
      </c>
    </row>
    <row r="3" spans="1:9" x14ac:dyDescent="0.25">
      <c r="A3" s="7">
        <f>A2+1</f>
        <v>2023</v>
      </c>
      <c r="B3" s="1">
        <f>B2*0.98</f>
        <v>10500.699999999941</v>
      </c>
      <c r="C3" s="3">
        <f>C2*(1+$I$1)</f>
        <v>0.187</v>
      </c>
      <c r="D3" s="4">
        <f t="shared" ref="D3:D26" si="0">C3*B3</f>
        <v>1963.630899999989</v>
      </c>
      <c r="E3" s="5">
        <f>E4/(1+$I$2)+D3</f>
        <v>17867.154807629147</v>
      </c>
      <c r="F3" s="4">
        <f>F2-D3</f>
        <v>21952.664100000024</v>
      </c>
      <c r="G3" s="37">
        <f t="shared" ref="G3:G26" si="1">D3/$I$5</f>
        <v>7.5757364969135377E-2</v>
      </c>
      <c r="H3" s="14" t="s">
        <v>6</v>
      </c>
      <c r="I3" s="9">
        <v>8.64</v>
      </c>
    </row>
    <row r="4" spans="1:9" x14ac:dyDescent="0.25">
      <c r="A4" s="7">
        <f t="shared" ref="A4:A26" si="2">A3+1</f>
        <v>2024</v>
      </c>
      <c r="B4" s="1">
        <f>B3-$B$2*0.005</f>
        <v>10447.124999999942</v>
      </c>
      <c r="C4" s="3">
        <f t="shared" ref="C4:C26" si="3">C3*(1+$I$1)</f>
        <v>0.187</v>
      </c>
      <c r="D4" s="4">
        <f t="shared" si="0"/>
        <v>1953.612374999989</v>
      </c>
      <c r="E4" s="5">
        <f>E5/(1+$I$2)+D4</f>
        <v>17016.7705811632</v>
      </c>
      <c r="F4" s="4">
        <f t="shared" ref="F4:F26" si="4">F3-D4</f>
        <v>19999.051725000034</v>
      </c>
      <c r="G4" s="37">
        <f t="shared" si="1"/>
        <v>7.5370847800925497E-2</v>
      </c>
      <c r="H4" s="14" t="s">
        <v>7</v>
      </c>
      <c r="I4" s="9">
        <v>3</v>
      </c>
    </row>
    <row r="5" spans="1:9" x14ac:dyDescent="0.25">
      <c r="A5" s="7">
        <f t="shared" si="2"/>
        <v>2025</v>
      </c>
      <c r="B5" s="1">
        <f t="shared" ref="B5:B26" si="5">B4-$B$2*0.005</f>
        <v>10393.549999999943</v>
      </c>
      <c r="C5" s="3">
        <f t="shared" si="3"/>
        <v>0.187</v>
      </c>
      <c r="D5" s="4">
        <f t="shared" si="0"/>
        <v>1943.5938499999893</v>
      </c>
      <c r="E5" s="5">
        <f>E6/(1+$I$2)+D5</f>
        <v>16117.579280594637</v>
      </c>
      <c r="F5" s="4">
        <f t="shared" si="4"/>
        <v>18055.457875000044</v>
      </c>
      <c r="G5" s="37">
        <f t="shared" si="1"/>
        <v>7.4984330632715632E-2</v>
      </c>
      <c r="H5" s="14" t="s">
        <v>8</v>
      </c>
      <c r="I5" s="10">
        <f>I4*I3*1000</f>
        <v>25920</v>
      </c>
    </row>
    <row r="6" spans="1:9" x14ac:dyDescent="0.25">
      <c r="A6" s="7">
        <f t="shared" si="2"/>
        <v>2026</v>
      </c>
      <c r="B6" s="1">
        <f t="shared" si="5"/>
        <v>10339.974999999944</v>
      </c>
      <c r="C6" s="3">
        <f t="shared" si="3"/>
        <v>0.187</v>
      </c>
      <c r="D6" s="4">
        <f t="shared" si="0"/>
        <v>1933.5753249999896</v>
      </c>
      <c r="E6" s="5">
        <f>E7/(1+$I$2)+D6</f>
        <v>15166.164410736274</v>
      </c>
      <c r="F6" s="4">
        <f t="shared" si="4"/>
        <v>16121.882550000055</v>
      </c>
      <c r="G6" s="37">
        <f t="shared" si="1"/>
        <v>7.4597813464505766E-2</v>
      </c>
      <c r="H6" s="14" t="s">
        <v>12</v>
      </c>
      <c r="I6" s="11">
        <v>0</v>
      </c>
    </row>
    <row r="7" spans="1:9" ht="15.75" thickBot="1" x14ac:dyDescent="0.3">
      <c r="A7" s="7">
        <f t="shared" si="2"/>
        <v>2027</v>
      </c>
      <c r="B7" s="1">
        <f t="shared" si="5"/>
        <v>10286.399999999945</v>
      </c>
      <c r="C7" s="3">
        <f t="shared" si="3"/>
        <v>0.187</v>
      </c>
      <c r="D7" s="4">
        <f t="shared" si="0"/>
        <v>1923.5567999999898</v>
      </c>
      <c r="E7" s="5">
        <f>E8/(1+$I$2)+D7</f>
        <v>14158.870321737826</v>
      </c>
      <c r="F7" s="4">
        <f t="shared" si="4"/>
        <v>14198.325750000065</v>
      </c>
      <c r="G7" s="37">
        <f t="shared" si="1"/>
        <v>7.4211296296295901E-2</v>
      </c>
      <c r="H7" s="26" t="s">
        <v>13</v>
      </c>
      <c r="I7" s="13">
        <v>0</v>
      </c>
    </row>
    <row r="8" spans="1:9" x14ac:dyDescent="0.25">
      <c r="A8" s="7">
        <f t="shared" si="2"/>
        <v>2028</v>
      </c>
      <c r="B8" s="1">
        <f t="shared" si="5"/>
        <v>10232.824999999946</v>
      </c>
      <c r="C8" s="3">
        <f t="shared" si="3"/>
        <v>0.187</v>
      </c>
      <c r="D8" s="4">
        <f t="shared" si="0"/>
        <v>1913.5382749999899</v>
      </c>
      <c r="E8" s="5">
        <f>E9/(1+$I$2)+D8</f>
        <v>13091.785468259486</v>
      </c>
      <c r="F8" s="4">
        <f t="shared" si="4"/>
        <v>12284.787475000076</v>
      </c>
      <c r="G8" s="37">
        <f t="shared" si="1"/>
        <v>7.3824779128086035E-2</v>
      </c>
    </row>
    <row r="9" spans="1:9" x14ac:dyDescent="0.25">
      <c r="A9" s="7">
        <f t="shared" si="2"/>
        <v>2029</v>
      </c>
      <c r="B9" s="1">
        <f t="shared" si="5"/>
        <v>10179.249999999947</v>
      </c>
      <c r="C9" s="3">
        <f t="shared" si="3"/>
        <v>0.187</v>
      </c>
      <c r="D9" s="4">
        <f t="shared" si="0"/>
        <v>1903.5197499999902</v>
      </c>
      <c r="E9" s="5">
        <f>E10/(1+$I$2)+D9</f>
        <v>11960.724496787661</v>
      </c>
      <c r="F9" s="4">
        <f t="shared" si="4"/>
        <v>10381.267725000085</v>
      </c>
      <c r="G9" s="37">
        <f t="shared" si="1"/>
        <v>7.3438261959876169E-2</v>
      </c>
    </row>
    <row r="10" spans="1:9" x14ac:dyDescent="0.25">
      <c r="A10" s="7">
        <f t="shared" si="2"/>
        <v>2030</v>
      </c>
      <c r="B10" s="1">
        <f t="shared" si="5"/>
        <v>10125.674999999948</v>
      </c>
      <c r="C10" s="3">
        <f t="shared" si="3"/>
        <v>0.187</v>
      </c>
      <c r="D10" s="4">
        <f t="shared" si="0"/>
        <v>1893.5012249999904</v>
      </c>
      <c r="E10" s="5">
        <f>E11/(1+$I$2)+D10</f>
        <v>10761.209079062808</v>
      </c>
      <c r="F10" s="4">
        <f t="shared" si="4"/>
        <v>8487.7665000000943</v>
      </c>
      <c r="G10" s="37">
        <f t="shared" si="1"/>
        <v>7.3051744791666304E-2</v>
      </c>
    </row>
    <row r="11" spans="1:9" x14ac:dyDescent="0.25">
      <c r="A11" s="7">
        <f t="shared" si="2"/>
        <v>2031</v>
      </c>
      <c r="B11" s="1">
        <f t="shared" si="5"/>
        <v>10072.099999999949</v>
      </c>
      <c r="C11" s="3">
        <f t="shared" si="3"/>
        <v>0.187</v>
      </c>
      <c r="D11" s="4">
        <f t="shared" si="0"/>
        <v>1883.4826999999905</v>
      </c>
      <c r="E11" s="5">
        <f>E12/(1+$I$2)+D11</f>
        <v>9488.4474038472144</v>
      </c>
      <c r="F11" s="4">
        <f t="shared" si="4"/>
        <v>6604.2838000001038</v>
      </c>
      <c r="G11" s="37">
        <f t="shared" si="1"/>
        <v>7.2665227623456424E-2</v>
      </c>
    </row>
    <row r="12" spans="1:9" x14ac:dyDescent="0.25">
      <c r="A12" s="7">
        <f t="shared" si="2"/>
        <v>2032</v>
      </c>
      <c r="B12" s="1">
        <f t="shared" si="5"/>
        <v>10018.524999999951</v>
      </c>
      <c r="C12" s="3">
        <f t="shared" si="3"/>
        <v>0.187</v>
      </c>
      <c r="D12" s="4">
        <f t="shared" si="0"/>
        <v>1873.4641749999907</v>
      </c>
      <c r="E12" s="5">
        <f>E13/(1+$I$2)+D12</f>
        <v>8137.3122331165314</v>
      </c>
      <c r="F12" s="4">
        <f t="shared" si="4"/>
        <v>4730.8196250001129</v>
      </c>
      <c r="G12" s="37">
        <f t="shared" si="1"/>
        <v>7.2278710455246559E-2</v>
      </c>
    </row>
    <row r="13" spans="1:9" x14ac:dyDescent="0.25">
      <c r="A13" s="7">
        <f t="shared" si="2"/>
        <v>2033</v>
      </c>
      <c r="B13" s="1">
        <f t="shared" si="5"/>
        <v>9964.9499999999516</v>
      </c>
      <c r="C13" s="3">
        <f t="shared" si="3"/>
        <v>0.187</v>
      </c>
      <c r="D13" s="4">
        <f t="shared" si="0"/>
        <v>1863.445649999991</v>
      </c>
      <c r="E13" s="5">
        <f>E14/(1+$I$2)+D13</f>
        <v>6702.3174221846984</v>
      </c>
      <c r="F13" s="4">
        <f t="shared" si="4"/>
        <v>2867.3739750001218</v>
      </c>
      <c r="G13" s="37">
        <f t="shared" si="1"/>
        <v>7.1892193287036693E-2</v>
      </c>
    </row>
    <row r="14" spans="1:9" x14ac:dyDescent="0.25">
      <c r="A14" s="7">
        <f t="shared" si="2"/>
        <v>2034</v>
      </c>
      <c r="B14" s="1">
        <f t="shared" si="5"/>
        <v>9911.3749999999527</v>
      </c>
      <c r="C14" s="3">
        <f t="shared" si="3"/>
        <v>0.187</v>
      </c>
      <c r="D14" s="4">
        <f t="shared" si="0"/>
        <v>1853.4271249999911</v>
      </c>
      <c r="E14" s="5">
        <f>E15/(1+$I$2)+D14</f>
        <v>5177.5927962376381</v>
      </c>
      <c r="F14" s="4">
        <f t="shared" si="4"/>
        <v>1013.9468500001308</v>
      </c>
      <c r="G14" s="37">
        <f t="shared" si="1"/>
        <v>7.1505676118826814E-2</v>
      </c>
    </row>
    <row r="15" spans="1:9" x14ac:dyDescent="0.25">
      <c r="A15" s="7">
        <f t="shared" si="2"/>
        <v>2035</v>
      </c>
      <c r="B15" s="1">
        <f t="shared" si="5"/>
        <v>9857.7999999999538</v>
      </c>
      <c r="C15" s="3">
        <f t="shared" si="3"/>
        <v>0.187</v>
      </c>
      <c r="D15" s="4">
        <f t="shared" si="0"/>
        <v>1843.4085999999913</v>
      </c>
      <c r="E15" s="5">
        <f>E16/(1+$I$2)+D15</f>
        <v>3556.8572682242825</v>
      </c>
      <c r="F15" s="4">
        <f t="shared" si="4"/>
        <v>-829.46174999986056</v>
      </c>
      <c r="G15" s="37">
        <f t="shared" si="1"/>
        <v>7.1119158950616948E-2</v>
      </c>
    </row>
    <row r="16" spans="1:9" x14ac:dyDescent="0.25">
      <c r="A16" s="7">
        <f t="shared" si="2"/>
        <v>2036</v>
      </c>
      <c r="B16" s="1">
        <f t="shared" si="5"/>
        <v>9804.2249999999549</v>
      </c>
      <c r="C16" s="3">
        <f t="shared" si="3"/>
        <v>0.187</v>
      </c>
      <c r="D16" s="4">
        <f t="shared" si="0"/>
        <v>1833.3900749999916</v>
      </c>
      <c r="E16" s="5">
        <f>E17/(1+$I$2)+D16</f>
        <v>1833.3900749999916</v>
      </c>
      <c r="F16" s="4">
        <f t="shared" si="4"/>
        <v>-2662.8518249998524</v>
      </c>
      <c r="G16" s="37">
        <f t="shared" si="1"/>
        <v>7.0732641782407082E-2</v>
      </c>
    </row>
    <row r="17" spans="1:7" x14ac:dyDescent="0.25">
      <c r="A17" s="7">
        <f t="shared" si="2"/>
        <v>2037</v>
      </c>
      <c r="B17" s="1">
        <f t="shared" si="5"/>
        <v>9750.649999999956</v>
      </c>
      <c r="C17" s="3">
        <f t="shared" si="3"/>
        <v>0.187</v>
      </c>
      <c r="D17" s="4"/>
      <c r="E17" s="5">
        <f>E18/(1+$I$2)+D17</f>
        <v>0</v>
      </c>
      <c r="F17" s="4">
        <f t="shared" si="4"/>
        <v>-2662.8518249998524</v>
      </c>
      <c r="G17" s="37">
        <f t="shared" si="1"/>
        <v>0</v>
      </c>
    </row>
    <row r="18" spans="1:7" x14ac:dyDescent="0.25">
      <c r="A18" s="7">
        <f t="shared" si="2"/>
        <v>2038</v>
      </c>
      <c r="B18" s="1">
        <f t="shared" si="5"/>
        <v>9697.0749999999571</v>
      </c>
      <c r="C18" s="3">
        <f t="shared" si="3"/>
        <v>0.187</v>
      </c>
      <c r="D18" s="4"/>
      <c r="E18" s="5">
        <f>E19/(1+$I$2)+D18</f>
        <v>0</v>
      </c>
      <c r="F18" s="4">
        <f t="shared" si="4"/>
        <v>-2662.8518249998524</v>
      </c>
      <c r="G18" s="37">
        <f t="shared" si="1"/>
        <v>0</v>
      </c>
    </row>
    <row r="19" spans="1:7" x14ac:dyDescent="0.25">
      <c r="A19" s="7">
        <f t="shared" si="2"/>
        <v>2039</v>
      </c>
      <c r="B19" s="1">
        <f t="shared" si="5"/>
        <v>9643.4999999999582</v>
      </c>
      <c r="C19" s="3">
        <f t="shared" si="3"/>
        <v>0.187</v>
      </c>
      <c r="D19" s="4"/>
      <c r="E19" s="5">
        <f>E20/(1+$I$2)+D19</f>
        <v>0</v>
      </c>
      <c r="F19" s="4">
        <f t="shared" si="4"/>
        <v>-2662.8518249998524</v>
      </c>
      <c r="G19" s="37">
        <f t="shared" si="1"/>
        <v>0</v>
      </c>
    </row>
    <row r="20" spans="1:7" x14ac:dyDescent="0.25">
      <c r="A20" s="7">
        <f t="shared" si="2"/>
        <v>2040</v>
      </c>
      <c r="B20" s="1">
        <f t="shared" si="5"/>
        <v>9589.9249999999593</v>
      </c>
      <c r="C20" s="3">
        <f t="shared" si="3"/>
        <v>0.187</v>
      </c>
      <c r="D20" s="4"/>
      <c r="E20" s="5">
        <f>E21/(1+$I$2)+D20</f>
        <v>0</v>
      </c>
      <c r="F20" s="4">
        <f t="shared" si="4"/>
        <v>-2662.8518249998524</v>
      </c>
      <c r="G20" s="37">
        <f t="shared" si="1"/>
        <v>0</v>
      </c>
    </row>
    <row r="21" spans="1:7" x14ac:dyDescent="0.25">
      <c r="A21" s="7">
        <f t="shared" si="2"/>
        <v>2041</v>
      </c>
      <c r="B21" s="1">
        <f t="shared" si="5"/>
        <v>9536.3499999999603</v>
      </c>
      <c r="C21" s="3">
        <f t="shared" si="3"/>
        <v>0.187</v>
      </c>
      <c r="D21" s="4"/>
      <c r="E21" s="5">
        <f>E22/(1+$I$2)+D21</f>
        <v>0</v>
      </c>
      <c r="F21" s="4">
        <f t="shared" si="4"/>
        <v>-2662.8518249998524</v>
      </c>
      <c r="G21" s="37">
        <f t="shared" si="1"/>
        <v>0</v>
      </c>
    </row>
    <row r="22" spans="1:7" x14ac:dyDescent="0.25">
      <c r="A22" s="7">
        <f t="shared" si="2"/>
        <v>2042</v>
      </c>
      <c r="B22" s="1">
        <f t="shared" si="5"/>
        <v>9482.7749999999614</v>
      </c>
      <c r="C22" s="3">
        <f t="shared" si="3"/>
        <v>0.187</v>
      </c>
      <c r="D22" s="4"/>
      <c r="E22" s="5">
        <f>E23/(1+$I$2)+D22</f>
        <v>0</v>
      </c>
      <c r="F22" s="4">
        <f t="shared" si="4"/>
        <v>-2662.8518249998524</v>
      </c>
      <c r="G22" s="37">
        <f t="shared" si="1"/>
        <v>0</v>
      </c>
    </row>
    <row r="23" spans="1:7" x14ac:dyDescent="0.25">
      <c r="A23" s="7">
        <f t="shared" si="2"/>
        <v>2043</v>
      </c>
      <c r="B23" s="1">
        <f t="shared" si="5"/>
        <v>9429.1999999999625</v>
      </c>
      <c r="C23" s="3">
        <f t="shared" si="3"/>
        <v>0.187</v>
      </c>
      <c r="D23" s="4"/>
      <c r="E23" s="5">
        <f>E24/(1+$I$2)+D23</f>
        <v>0</v>
      </c>
      <c r="F23" s="4">
        <f t="shared" si="4"/>
        <v>-2662.8518249998524</v>
      </c>
      <c r="G23" s="37">
        <f t="shared" si="1"/>
        <v>0</v>
      </c>
    </row>
    <row r="24" spans="1:7" x14ac:dyDescent="0.25">
      <c r="A24" s="7">
        <f t="shared" si="2"/>
        <v>2044</v>
      </c>
      <c r="B24" s="1">
        <f t="shared" si="5"/>
        <v>9375.6249999999636</v>
      </c>
      <c r="C24" s="3">
        <f t="shared" si="3"/>
        <v>0.187</v>
      </c>
      <c r="D24" s="4"/>
      <c r="E24" s="5">
        <f>E25/(1+$I$2)+D24</f>
        <v>0</v>
      </c>
      <c r="F24" s="4">
        <f t="shared" si="4"/>
        <v>-2662.8518249998524</v>
      </c>
      <c r="G24" s="37">
        <f t="shared" si="1"/>
        <v>0</v>
      </c>
    </row>
    <row r="25" spans="1:7" x14ac:dyDescent="0.25">
      <c r="A25" s="7">
        <f t="shared" si="2"/>
        <v>2045</v>
      </c>
      <c r="B25" s="1">
        <f t="shared" si="5"/>
        <v>9322.0499999999647</v>
      </c>
      <c r="C25" s="3">
        <f t="shared" si="3"/>
        <v>0.187</v>
      </c>
      <c r="D25" s="4"/>
      <c r="E25" s="5">
        <f>E26/(1+$I$2)+D25</f>
        <v>0</v>
      </c>
      <c r="F25" s="4">
        <f t="shared" si="4"/>
        <v>-2662.8518249998524</v>
      </c>
      <c r="G25" s="37">
        <f t="shared" si="1"/>
        <v>0</v>
      </c>
    </row>
    <row r="26" spans="1:7" ht="15.75" thickBot="1" x14ac:dyDescent="0.3">
      <c r="A26" s="12">
        <f t="shared" si="2"/>
        <v>2046</v>
      </c>
      <c r="B26" s="16">
        <f t="shared" si="5"/>
        <v>9268.4749999999658</v>
      </c>
      <c r="C26" s="17">
        <f t="shared" si="3"/>
        <v>0.187</v>
      </c>
      <c r="D26" s="4"/>
      <c r="E26" s="38">
        <f>E27/(1+$I$2)+D26</f>
        <v>0</v>
      </c>
      <c r="F26" s="39">
        <f t="shared" si="4"/>
        <v>-2662.8518249998524</v>
      </c>
      <c r="G26" s="40">
        <f t="shared" si="1"/>
        <v>0</v>
      </c>
    </row>
    <row r="27" spans="1:7" x14ac:dyDescent="0.25">
      <c r="C27" s="18" t="s">
        <v>14</v>
      </c>
      <c r="D27" s="19">
        <f>SUM(D2:D26)</f>
        <v>28582.851824999849</v>
      </c>
    </row>
    <row r="28" spans="1:7" x14ac:dyDescent="0.25">
      <c r="C28" s="20" t="s">
        <v>9</v>
      </c>
      <c r="D28" s="21">
        <f>E2</f>
        <v>18701.980521148722</v>
      </c>
    </row>
    <row r="29" spans="1:7" x14ac:dyDescent="0.25">
      <c r="C29" s="20" t="s">
        <v>15</v>
      </c>
      <c r="D29" s="22">
        <f>COUNTIF(F2:F26,"&gt;0")</f>
        <v>13</v>
      </c>
    </row>
    <row r="30" spans="1:7" x14ac:dyDescent="0.25">
      <c r="C30" s="20" t="s">
        <v>17</v>
      </c>
      <c r="D30" s="41">
        <f>(D28-I5)/I5</f>
        <v>-0.27847297372111413</v>
      </c>
    </row>
    <row r="31" spans="1:7" ht="15.75" thickBot="1" x14ac:dyDescent="0.3">
      <c r="C31" s="42" t="s">
        <v>24</v>
      </c>
      <c r="D31" s="43">
        <f>AVERAGE(G2:G26)</f>
        <v>4.4109339236110878E-2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Financing</vt:lpstr>
      <vt:lpstr>No Financing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Westerby, Carl</dc:creator>
  <cp:lastModifiedBy>Westerby, Carl</cp:lastModifiedBy>
  <dcterms:created xsi:type="dcterms:W3CDTF">2022-05-25T16:30:57Z</dcterms:created>
  <dcterms:modified xsi:type="dcterms:W3CDTF">2022-06-08T21:14:32Z</dcterms:modified>
</cp:coreProperties>
</file>