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ca.peixoto\Desktop\"/>
    </mc:Choice>
  </mc:AlternateContent>
  <xr:revisionPtr revIDLastSave="0" documentId="13_ncr:1_{BAA9D0FE-9593-4CC1-9865-20784253C228}" xr6:coauthVersionLast="47" xr6:coauthVersionMax="47" xr10:uidLastSave="{00000000-0000-0000-0000-000000000000}"/>
  <bookViews>
    <workbookView xWindow="28680" yWindow="-120" windowWidth="29040" windowHeight="15840" xr2:uid="{E49487A5-60F5-451E-8CC0-EC090C6FFE99}"/>
  </bookViews>
  <sheets>
    <sheet name="Teste" sheetId="1" r:id="rId1"/>
    <sheet name="Planilha3" sheetId="4" r:id="rId2"/>
    <sheet name="Planilha1" sheetId="2" r:id="rId3"/>
    <sheet name="Planilha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4" l="1"/>
  <c r="G8" i="4"/>
  <c r="D3" i="4"/>
  <c r="G3" i="4" s="1"/>
  <c r="D4" i="4"/>
  <c r="G4" i="4" s="1"/>
  <c r="D5" i="4"/>
  <c r="G5" i="4" s="1"/>
  <c r="D6" i="4"/>
  <c r="G6" i="4" s="1"/>
  <c r="D7" i="4"/>
  <c r="G7" i="4" s="1"/>
  <c r="D8" i="4"/>
  <c r="D9" i="4"/>
  <c r="G9" i="4" s="1"/>
  <c r="D10" i="4"/>
  <c r="G10" i="4" s="1"/>
  <c r="D11" i="4"/>
  <c r="G11" i="4" s="1"/>
  <c r="D12" i="4"/>
  <c r="G12" i="4" s="1"/>
  <c r="D13" i="4"/>
  <c r="G13" i="4" s="1"/>
  <c r="D14" i="4"/>
  <c r="G14" i="4" s="1"/>
  <c r="D15" i="4"/>
  <c r="G15" i="4" s="1"/>
  <c r="D16" i="4"/>
  <c r="D17" i="4"/>
  <c r="G17" i="4" s="1"/>
  <c r="D18" i="4"/>
  <c r="G18" i="4" s="1"/>
  <c r="D19" i="4"/>
  <c r="G19" i="4" s="1"/>
  <c r="D20" i="4"/>
  <c r="G20" i="4" s="1"/>
  <c r="D21" i="4"/>
  <c r="G21" i="4" s="1"/>
  <c r="D22" i="4"/>
  <c r="G22" i="4" s="1"/>
  <c r="D23" i="4"/>
  <c r="G23" i="4" s="1"/>
  <c r="D24" i="4"/>
  <c r="G24" i="4" s="1"/>
  <c r="D25" i="4"/>
  <c r="G25" i="4" s="1"/>
  <c r="D26" i="4"/>
  <c r="G26" i="4" s="1"/>
  <c r="D27" i="4"/>
  <c r="G27" i="4" s="1"/>
  <c r="D2" i="4"/>
  <c r="G2" i="4" s="1"/>
  <c r="J5" i="1"/>
  <c r="K2" i="1"/>
  <c r="K3" i="1"/>
  <c r="K5" i="1"/>
  <c r="K4" i="1"/>
  <c r="J2" i="1"/>
  <c r="J4" i="1"/>
  <c r="J3" i="1"/>
  <c r="D29" i="2"/>
  <c r="E25" i="2" s="1"/>
  <c r="H25" i="2" s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12" i="2"/>
  <c r="E10" i="2" l="1"/>
  <c r="H10" i="2" s="1"/>
  <c r="E18" i="2"/>
  <c r="H18" i="2" s="1"/>
  <c r="E4" i="2"/>
  <c r="H4" i="2" s="1"/>
  <c r="E12" i="2"/>
  <c r="H12" i="2" s="1"/>
  <c r="E20" i="2"/>
  <c r="H20" i="2" s="1"/>
  <c r="E28" i="2"/>
  <c r="H28" i="2" s="1"/>
  <c r="E5" i="2"/>
  <c r="H5" i="2" s="1"/>
  <c r="E13" i="2"/>
  <c r="H13" i="2" s="1"/>
  <c r="E21" i="2"/>
  <c r="H21" i="2" s="1"/>
  <c r="E2" i="2"/>
  <c r="H2" i="2" s="1"/>
  <c r="E11" i="2"/>
  <c r="H11" i="2" s="1"/>
  <c r="E6" i="2"/>
  <c r="H6" i="2" s="1"/>
  <c r="E22" i="2"/>
  <c r="H22" i="2" s="1"/>
  <c r="E7" i="2"/>
  <c r="H7" i="2" s="1"/>
  <c r="E23" i="2"/>
  <c r="H23" i="2" s="1"/>
  <c r="E8" i="2"/>
  <c r="H8" i="2" s="1"/>
  <c r="E16" i="2"/>
  <c r="H16" i="2" s="1"/>
  <c r="E24" i="2"/>
  <c r="H24" i="2" s="1"/>
  <c r="E26" i="2"/>
  <c r="H26" i="2" s="1"/>
  <c r="E3" i="2"/>
  <c r="H3" i="2" s="1"/>
  <c r="E19" i="2"/>
  <c r="H19" i="2" s="1"/>
  <c r="E27" i="2"/>
  <c r="H27" i="2" s="1"/>
  <c r="E14" i="2"/>
  <c r="H14" i="2" s="1"/>
  <c r="E15" i="2"/>
  <c r="H15" i="2" s="1"/>
  <c r="E9" i="2"/>
  <c r="H9" i="2" s="1"/>
  <c r="E17" i="2"/>
  <c r="H17" i="2" s="1"/>
  <c r="I28" i="2" l="1"/>
  <c r="E29" i="2"/>
  <c r="H29" i="2" s="1"/>
  <c r="K6" i="1"/>
  <c r="J6" i="1"/>
  <c r="T18" i="1"/>
  <c r="U18" i="1" s="1"/>
  <c r="T17" i="1" l="1"/>
  <c r="U17" i="1" s="1"/>
  <c r="L4" i="1" l="1"/>
  <c r="M4" i="1" s="1"/>
  <c r="L5" i="1"/>
  <c r="M5" i="1" s="1"/>
  <c r="AB10" i="1"/>
  <c r="AC10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AB9" i="1"/>
  <c r="AC9" i="1" s="1"/>
  <c r="T9" i="1"/>
  <c r="U9" i="1" s="1"/>
  <c r="AB8" i="1"/>
  <c r="AC8" i="1" s="1"/>
  <c r="T8" i="1"/>
  <c r="U8" i="1" s="1"/>
  <c r="AB7" i="1"/>
  <c r="AC7" i="1" s="1"/>
  <c r="T7" i="1"/>
  <c r="U7" i="1" s="1"/>
  <c r="AB6" i="1"/>
  <c r="AC6" i="1" s="1"/>
  <c r="T6" i="1"/>
  <c r="U6" i="1" s="1"/>
  <c r="L6" i="1"/>
  <c r="M6" i="1" s="1"/>
  <c r="AB5" i="1"/>
  <c r="AC5" i="1" s="1"/>
  <c r="T5" i="1"/>
  <c r="U5" i="1" s="1"/>
  <c r="AB4" i="1"/>
  <c r="AC4" i="1" s="1"/>
  <c r="T4" i="1"/>
  <c r="U4" i="1" s="1"/>
  <c r="AB3" i="1"/>
  <c r="AC3" i="1" s="1"/>
  <c r="T3" i="1"/>
  <c r="U3" i="1" s="1"/>
  <c r="L3" i="1"/>
  <c r="M3" i="1" s="1"/>
  <c r="AB2" i="1"/>
  <c r="AC2" i="1" s="1"/>
  <c r="T2" i="1"/>
  <c r="U2" i="1" s="1"/>
  <c r="L2" i="1"/>
  <c r="M2" i="1" s="1"/>
  <c r="C2" i="1" l="1"/>
  <c r="D2" i="1" l="1"/>
  <c r="E2" i="1" s="1"/>
</calcChain>
</file>

<file path=xl/sharedStrings.xml><?xml version="1.0" encoding="utf-8"?>
<sst xmlns="http://schemas.openxmlformats.org/spreadsheetml/2006/main" count="260" uniqueCount="73">
  <si>
    <t>Gerente</t>
  </si>
  <si>
    <t>Meta_Gerente</t>
  </si>
  <si>
    <t>Dias úteis</t>
  </si>
  <si>
    <t>Dias Acumulados</t>
  </si>
  <si>
    <t>Marcos Eugênio</t>
  </si>
  <si>
    <t>Localidade</t>
  </si>
  <si>
    <t>Supervisor</t>
  </si>
  <si>
    <t>Meta_Supervisor</t>
  </si>
  <si>
    <t>Real_Supervisor</t>
  </si>
  <si>
    <t>Alagoas</t>
  </si>
  <si>
    <t>Sandro</t>
  </si>
  <si>
    <t>Marcos</t>
  </si>
  <si>
    <t>Márcio</t>
  </si>
  <si>
    <t>Sergipe</t>
  </si>
  <si>
    <t>Luciana</t>
  </si>
  <si>
    <t>Sandro - Promotoras</t>
  </si>
  <si>
    <t>Supervisor_Vend</t>
  </si>
  <si>
    <t>Vendedores</t>
  </si>
  <si>
    <t>Meta_Vend</t>
  </si>
  <si>
    <t>Real_Vend</t>
  </si>
  <si>
    <t>Devolução (Vendedores)</t>
  </si>
  <si>
    <t>Pernambuco</t>
  </si>
  <si>
    <t>Localidade_prom</t>
  </si>
  <si>
    <t>Supervisor_Prom</t>
  </si>
  <si>
    <t>Meta_Prom</t>
  </si>
  <si>
    <t>Real_Prom</t>
  </si>
  <si>
    <t>Devolução (Promotores)</t>
  </si>
  <si>
    <t>Tendência (%)</t>
  </si>
  <si>
    <t xml:space="preserve">Tendência </t>
  </si>
  <si>
    <t>Localidade_Vendodor</t>
  </si>
  <si>
    <t>Promotoras</t>
  </si>
  <si>
    <t xml:space="preserve">Alagoas </t>
  </si>
  <si>
    <t>JOSE WILLIAMS</t>
  </si>
  <si>
    <t>IVANILDA</t>
  </si>
  <si>
    <t>JENI</t>
  </si>
  <si>
    <t>EUCILANIO</t>
  </si>
  <si>
    <t>MICHEL</t>
  </si>
  <si>
    <t xml:space="preserve">JEAN </t>
  </si>
  <si>
    <t>DEIVISON</t>
  </si>
  <si>
    <t>ADRIANO</t>
  </si>
  <si>
    <t>UILSON</t>
  </si>
  <si>
    <t>CÍCERO</t>
  </si>
  <si>
    <t>NATAN</t>
  </si>
  <si>
    <t>JEFERSON</t>
  </si>
  <si>
    <t>FERNANDO</t>
  </si>
  <si>
    <t>WELLINGTON</t>
  </si>
  <si>
    <t>EDVAN</t>
  </si>
  <si>
    <t>MOISÉS</t>
  </si>
  <si>
    <t>JÚLIO CESAR</t>
  </si>
  <si>
    <t>MARTA</t>
  </si>
  <si>
    <t>ITALO</t>
  </si>
  <si>
    <t>GLEICA</t>
  </si>
  <si>
    <t>FABIANA</t>
  </si>
  <si>
    <t>RAISSE</t>
  </si>
  <si>
    <t>LAÍS</t>
  </si>
  <si>
    <t>NÚBIA</t>
  </si>
  <si>
    <t>PATRÍCIA</t>
  </si>
  <si>
    <t>LUIZ</t>
  </si>
  <si>
    <t>CONSULTOR</t>
  </si>
  <si>
    <t>META NOVEMBRO</t>
  </si>
  <si>
    <t>TOTAL</t>
  </si>
  <si>
    <t>Jeferson</t>
  </si>
  <si>
    <t>Meta</t>
  </si>
  <si>
    <t>CARLOS</t>
  </si>
  <si>
    <t>PESO</t>
  </si>
  <si>
    <t>Meta Final</t>
  </si>
  <si>
    <t>Tendência_Prom</t>
  </si>
  <si>
    <t>Tendência (%)_Prom</t>
  </si>
  <si>
    <t>Tendência_Vend</t>
  </si>
  <si>
    <t>Tendência (%)_Vend</t>
  </si>
  <si>
    <t>Tendência_Supervisor</t>
  </si>
  <si>
    <t>Tendência (%)_Supervisor</t>
  </si>
  <si>
    <t>Real_Gerente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</si>
</sst>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0" applyNumberFormat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/>
    <xf numFmtId="9" fontId="0" fillId="0" borderId="0" xfId="2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8" fontId="0" fillId="0" borderId="0" xfId="0" applyNumberFormat="1"/>
    <xf numFmtId="0" fontId="2" fillId="0" borderId="1" xfId="0" applyFont="1" applyBorder="1"/>
    <xf numFmtId="0" fontId="2" fillId="4" borderId="1" xfId="0" applyFont="1" applyFill="1" applyBorder="1" applyAlignment="1">
      <alignment horizontal="center"/>
    </xf>
    <xf numFmtId="165" fontId="2" fillId="4" borderId="1" xfId="1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8" fontId="0" fillId="3" borderId="0" xfId="1" applyNumberFormat="1" applyFont="1" applyFill="1"/>
    <xf numFmtId="165" fontId="0" fillId="0" borderId="1" xfId="1" applyNumberFormat="1" applyFont="1" applyBorder="1" applyAlignment="1">
      <alignment horizontal="center"/>
    </xf>
    <xf numFmtId="0" fontId="0" fillId="5" borderId="1" xfId="0" applyFill="1" applyBorder="1"/>
    <xf numFmtId="8" fontId="0" fillId="3" borderId="0" xfId="1" applyNumberFormat="1" applyFont="1" applyFill="1" applyBorder="1"/>
    <xf numFmtId="44" fontId="0" fillId="0" borderId="0" xfId="1" applyFont="1"/>
    <xf numFmtId="9" fontId="0" fillId="0" borderId="6" xfId="2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164" fontId="1" fillId="7" borderId="1" xfId="1" applyNumberFormat="1" applyFont="1" applyFill="1" applyBorder="1" applyAlignment="1">
      <alignment horizontal="center"/>
    </xf>
    <xf numFmtId="9" fontId="1" fillId="7" borderId="1" xfId="2" applyFont="1" applyFill="1" applyBorder="1" applyAlignment="1">
      <alignment horizontal="center"/>
    </xf>
    <xf numFmtId="4" fontId="0" fillId="0" borderId="0" xfId="0" applyNumberFormat="1"/>
    <xf numFmtId="44" fontId="2" fillId="4" borderId="1" xfId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" fontId="0" fillId="0" borderId="3" xfId="0" applyNumberFormat="1" applyBorder="1"/>
    <xf numFmtId="1" fontId="0" fillId="3" borderId="4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0" borderId="0" xfId="0" applyNumberFormat="1"/>
    <xf numFmtId="0" fontId="0" fillId="0" borderId="6" xfId="0" applyBorder="1"/>
    <xf numFmtId="8" fontId="0" fillId="0" borderId="1" xfId="1" applyNumberFormat="1" applyFont="1" applyBorder="1" applyAlignment="1">
      <alignment horizontal="center"/>
    </xf>
    <xf numFmtId="44" fontId="0" fillId="0" borderId="0" xfId="0" applyNumberFormat="1"/>
    <xf numFmtId="0" fontId="1" fillId="9" borderId="0" xfId="3"/>
    <xf numFmtId="44" fontId="1" fillId="9" borderId="0" xfId="3" applyNumberFormat="1"/>
    <xf numFmtId="4" fontId="0" fillId="0" borderId="1" xfId="0" applyNumberFormat="1" applyBorder="1"/>
    <xf numFmtId="4" fontId="0" fillId="5" borderId="1" xfId="0" applyNumberFormat="1" applyFill="1" applyBorder="1"/>
    <xf numFmtId="4" fontId="0" fillId="7" borderId="1" xfId="0" applyNumberFormat="1" applyFill="1" applyBorder="1" applyAlignment="1">
      <alignment horizontal="left"/>
    </xf>
    <xf numFmtId="4" fontId="0" fillId="0" borderId="6" xfId="0" applyNumberFormat="1" applyBorder="1"/>
    <xf numFmtId="8" fontId="0" fillId="0" borderId="0" xfId="1" applyNumberFormat="1" applyFont="1" applyBorder="1" applyAlignment="1">
      <alignment horizontal="center"/>
    </xf>
    <xf numFmtId="2" fontId="0" fillId="0" borderId="0" xfId="0" applyNumberFormat="1"/>
    <xf numFmtId="0" fontId="4" fillId="0" borderId="0" xfId="0" applyFont="1"/>
    <xf numFmtId="0" fontId="5" fillId="10" borderId="0" xfId="0" applyFont="1" applyFill="1" applyAlignment="1">
      <alignment horizontal="center"/>
    </xf>
    <xf numFmtId="0" fontId="2" fillId="0" borderId="6" xfId="0" applyFont="1" applyBorder="1"/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1" fillId="0" borderId="1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4" borderId="1" xfId="1" applyNumberFormat="1" applyFont="1" applyFill="1" applyBorder="1" applyAlignment="1">
      <alignment horizontal="center"/>
    </xf>
    <xf numFmtId="2" fontId="0" fillId="3" borderId="0" xfId="1" applyNumberFormat="1" applyFont="1" applyFill="1"/>
    <xf numFmtId="2" fontId="0" fillId="3" borderId="0" xfId="1" applyNumberFormat="1" applyFont="1" applyFill="1" applyBorder="1"/>
    <xf numFmtId="2" fontId="0" fillId="0" borderId="0" xfId="1" applyNumberFormat="1" applyFont="1"/>
    <xf numFmtId="2" fontId="2" fillId="6" borderId="1" xfId="0" applyNumberFormat="1" applyFont="1" applyFill="1" applyBorder="1" applyAlignment="1">
      <alignment horizontal="center"/>
    </xf>
    <xf numFmtId="2" fontId="2" fillId="6" borderId="1" xfId="1" applyNumberFormat="1" applyFont="1" applyFill="1" applyBorder="1" applyAlignment="1">
      <alignment horizontal="center"/>
    </xf>
    <xf numFmtId="2" fontId="0" fillId="8" borderId="1" xfId="1" applyNumberFormat="1" applyFont="1" applyFill="1" applyBorder="1"/>
    <xf numFmtId="2" fontId="1" fillId="7" borderId="1" xfId="1" applyNumberFormat="1" applyFont="1" applyFill="1" applyBorder="1" applyAlignment="1">
      <alignment horizontal="center"/>
    </xf>
  </cellXfs>
  <cellStyles count="4">
    <cellStyle name="60% - Ênfase2" xfId="3" builtinId="36"/>
    <cellStyle name="Moeda" xfId="1" builtinId="4"/>
    <cellStyle name="Normal" xfId="0" builtinId="0"/>
    <cellStyle name="Porcentagem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106B-B168-4082-A2F6-2485E0553775}">
  <dimension ref="A1:AC23"/>
  <sheetViews>
    <sheetView tabSelected="1" topLeftCell="M1" workbookViewId="0">
      <selection activeCell="V23" sqref="V23"/>
    </sheetView>
  </sheetViews>
  <sheetFormatPr defaultRowHeight="15" x14ac:dyDescent="0.25"/>
  <cols>
    <col min="1" max="1" width="15.140625" bestFit="1" customWidth="1"/>
    <col min="2" max="3" width="16.85546875" style="40" bestFit="1" customWidth="1"/>
    <col min="4" max="4" width="17" style="40" bestFit="1" customWidth="1"/>
    <col min="5" max="5" width="13.42578125" bestFit="1" customWidth="1"/>
    <col min="6" max="6" width="9.42578125" bestFit="1" customWidth="1"/>
    <col min="7" max="7" width="16.28515625" bestFit="1" customWidth="1"/>
    <col min="9" max="9" width="19" bestFit="1" customWidth="1"/>
    <col min="10" max="10" width="15.7109375" style="40" bestFit="1" customWidth="1"/>
    <col min="11" max="11" width="15.28515625" style="40" bestFit="1" customWidth="1"/>
    <col min="12" max="12" width="21.140625" style="40" bestFit="1" customWidth="1"/>
    <col min="13" max="13" width="24.7109375" bestFit="1" customWidth="1"/>
    <col min="14" max="14" width="20" customWidth="1"/>
    <col min="16" max="16" width="12.85546875" bestFit="1" customWidth="1"/>
    <col min="17" max="17" width="14.28515625" style="40" bestFit="1" customWidth="1"/>
    <col min="18" max="18" width="14.42578125" style="54" bestFit="1" customWidth="1"/>
    <col min="19" max="19" width="24.42578125" bestFit="1" customWidth="1"/>
    <col min="20" max="20" width="15.85546875" bestFit="1" customWidth="1"/>
    <col min="21" max="21" width="19.42578125" bestFit="1" customWidth="1"/>
    <col min="22" max="22" width="16.42578125" bestFit="1" customWidth="1"/>
    <col min="25" max="26" width="13" style="40" bestFit="1" customWidth="1"/>
    <col min="27" max="27" width="24.140625" style="40" bestFit="1" customWidth="1"/>
    <col min="28" max="28" width="16" style="40" bestFit="1" customWidth="1"/>
    <col min="29" max="29" width="19.5703125" bestFit="1" customWidth="1"/>
  </cols>
  <sheetData>
    <row r="1" spans="1:29" x14ac:dyDescent="0.25">
      <c r="A1" s="1" t="s">
        <v>0</v>
      </c>
      <c r="B1" s="2" t="s">
        <v>1</v>
      </c>
      <c r="C1" s="46" t="s">
        <v>72</v>
      </c>
      <c r="D1" s="46" t="s">
        <v>28</v>
      </c>
      <c r="E1" s="3" t="s">
        <v>27</v>
      </c>
      <c r="F1" s="26" t="s">
        <v>2</v>
      </c>
      <c r="G1" s="27" t="s">
        <v>3</v>
      </c>
      <c r="H1" s="1" t="s">
        <v>5</v>
      </c>
      <c r="I1" s="1" t="s">
        <v>6</v>
      </c>
      <c r="J1" s="2" t="s">
        <v>7</v>
      </c>
      <c r="K1" s="2" t="s">
        <v>8</v>
      </c>
      <c r="L1" s="2" t="s">
        <v>70</v>
      </c>
      <c r="M1" s="1" t="s">
        <v>71</v>
      </c>
      <c r="N1" s="10" t="s">
        <v>29</v>
      </c>
      <c r="O1" s="10" t="s">
        <v>16</v>
      </c>
      <c r="P1" s="10" t="s">
        <v>17</v>
      </c>
      <c r="Q1" s="50" t="s">
        <v>18</v>
      </c>
      <c r="R1" s="51" t="s">
        <v>19</v>
      </c>
      <c r="S1" s="11" t="s">
        <v>20</v>
      </c>
      <c r="T1" s="12" t="s">
        <v>68</v>
      </c>
      <c r="U1" s="12" t="s">
        <v>69</v>
      </c>
      <c r="V1" s="19" t="s">
        <v>22</v>
      </c>
      <c r="W1" s="19" t="s">
        <v>23</v>
      </c>
      <c r="X1" s="19" t="s">
        <v>30</v>
      </c>
      <c r="Y1" s="55" t="s">
        <v>24</v>
      </c>
      <c r="Z1" s="55" t="s">
        <v>25</v>
      </c>
      <c r="AA1" s="56" t="s">
        <v>26</v>
      </c>
      <c r="AB1" s="55" t="s">
        <v>66</v>
      </c>
      <c r="AC1" s="19" t="s">
        <v>67</v>
      </c>
    </row>
    <row r="2" spans="1:29" ht="17.25" x14ac:dyDescent="0.4">
      <c r="A2" s="4" t="s">
        <v>4</v>
      </c>
      <c r="B2" s="49">
        <v>11100000</v>
      </c>
      <c r="C2" s="45">
        <f>SUM(K2:K6)</f>
        <v>10071948.34</v>
      </c>
      <c r="D2" s="44">
        <f>(C2/G2) * F2</f>
        <v>12589935.425000001</v>
      </c>
      <c r="E2" s="5">
        <f>IFERROR(D2/B2,0)</f>
        <v>1.1342284166666667</v>
      </c>
      <c r="F2" s="27">
        <v>25</v>
      </c>
      <c r="G2" s="28">
        <v>20</v>
      </c>
      <c r="H2" t="s">
        <v>9</v>
      </c>
      <c r="I2" s="4" t="s">
        <v>61</v>
      </c>
      <c r="J2" s="47">
        <f>SUM(Q10,Q9,Q2,Q17)</f>
        <v>1062606.44</v>
      </c>
      <c r="K2" s="48">
        <f>SUM(R2,R9:R10,R20,R17)</f>
        <v>1870000</v>
      </c>
      <c r="L2" s="48">
        <f>(K2/G2) * F2</f>
        <v>2337500</v>
      </c>
      <c r="M2" s="7">
        <f>IFERROR(L2/J2,0)</f>
        <v>2.1997796286647766</v>
      </c>
      <c r="N2" t="s">
        <v>9</v>
      </c>
      <c r="O2" s="4" t="s">
        <v>61</v>
      </c>
      <c r="P2" s="4" t="s">
        <v>35</v>
      </c>
      <c r="Q2" s="52">
        <v>509039.59</v>
      </c>
      <c r="R2" s="48">
        <v>400000</v>
      </c>
      <c r="S2" s="14">
        <v>0</v>
      </c>
      <c r="T2" s="6">
        <f>(R2/$G2)*$F2</f>
        <v>500000</v>
      </c>
      <c r="U2" s="7">
        <f t="shared" ref="U2:U14" si="0">IFERROR(T2/Q2,0)</f>
        <v>0.98224187238560356</v>
      </c>
      <c r="V2" t="s">
        <v>9</v>
      </c>
      <c r="W2" t="s">
        <v>10</v>
      </c>
      <c r="X2" s="20" t="s">
        <v>51</v>
      </c>
      <c r="Y2" s="57">
        <v>278034.96999999997</v>
      </c>
      <c r="Z2" s="58">
        <v>226461.61</v>
      </c>
      <c r="AA2" s="58">
        <v>0</v>
      </c>
      <c r="AB2" s="58">
        <f>(Z2/G2) * F2</f>
        <v>283077.01250000001</v>
      </c>
      <c r="AC2" s="22">
        <f>IFERROR(AB2/Y2,0)</f>
        <v>1.0181345623537932</v>
      </c>
    </row>
    <row r="3" spans="1:29" ht="17.25" x14ac:dyDescent="0.4">
      <c r="F3" s="29"/>
      <c r="G3" s="29"/>
      <c r="H3" t="s">
        <v>9</v>
      </c>
      <c r="I3" s="4" t="s">
        <v>11</v>
      </c>
      <c r="J3" s="49">
        <f>SUM(Q5,Q11,Q12,Q14,Q18)</f>
        <v>1291110.55</v>
      </c>
      <c r="K3" s="48">
        <f>SUM(R5,R11,R12,R14,R18,R19)</f>
        <v>2470000</v>
      </c>
      <c r="L3" s="48">
        <f>(K3/G2) * F2</f>
        <v>3087500</v>
      </c>
      <c r="M3" s="7">
        <f>IFERROR(L3/J3,0)</f>
        <v>2.3913521580317036</v>
      </c>
      <c r="N3" t="s">
        <v>13</v>
      </c>
      <c r="O3" s="4" t="s">
        <v>14</v>
      </c>
      <c r="P3" s="4" t="s">
        <v>36</v>
      </c>
      <c r="Q3" s="52">
        <v>112244.82</v>
      </c>
      <c r="R3" s="48">
        <v>420000</v>
      </c>
      <c r="S3" s="14">
        <v>0</v>
      </c>
      <c r="T3" s="6">
        <f>(R3/$G2)*$F2</f>
        <v>525000</v>
      </c>
      <c r="U3" s="7">
        <f t="shared" si="0"/>
        <v>4.6772759758534956</v>
      </c>
      <c r="V3" t="s">
        <v>9</v>
      </c>
      <c r="W3" t="s">
        <v>10</v>
      </c>
      <c r="X3" s="4" t="s">
        <v>52</v>
      </c>
      <c r="Y3" s="57">
        <v>359768.99</v>
      </c>
      <c r="Z3" s="58">
        <v>233197.73</v>
      </c>
      <c r="AA3" s="58">
        <v>0</v>
      </c>
      <c r="AB3" s="58">
        <f>(Z3/G2) * F2</f>
        <v>291497.16250000003</v>
      </c>
      <c r="AC3" s="22">
        <f t="shared" ref="AC3:AC10" si="1">IFERROR(AB3/Y3,0)</f>
        <v>0.81023426310310975</v>
      </c>
    </row>
    <row r="4" spans="1:29" x14ac:dyDescent="0.25">
      <c r="F4" s="29"/>
      <c r="G4" s="29"/>
      <c r="H4" t="s">
        <v>9</v>
      </c>
      <c r="I4" s="4" t="s">
        <v>12</v>
      </c>
      <c r="J4" s="40">
        <f>SUM(Q7,Q15:Q16,Q4,Q6,Q8)</f>
        <v>1675335.7400000002</v>
      </c>
      <c r="K4" s="48">
        <f>SUM(R6:R8,R15:R16,R4,R21)</f>
        <v>2840000</v>
      </c>
      <c r="L4" s="48">
        <f>(K4/G2) * F2</f>
        <v>3550000</v>
      </c>
      <c r="M4" s="7">
        <f>IFERROR(L4/J4,0)</f>
        <v>2.1189782532783545</v>
      </c>
      <c r="N4" t="s">
        <v>21</v>
      </c>
      <c r="O4" s="4" t="s">
        <v>12</v>
      </c>
      <c r="P4" s="4" t="s">
        <v>37</v>
      </c>
      <c r="Q4" s="52">
        <v>77301.78</v>
      </c>
      <c r="R4" s="48">
        <v>430000</v>
      </c>
      <c r="S4" s="14">
        <v>0</v>
      </c>
      <c r="T4" s="6">
        <f>(R4/$G2)*$F2</f>
        <v>537500</v>
      </c>
      <c r="U4" s="7">
        <f t="shared" si="0"/>
        <v>6.9532680877464914</v>
      </c>
      <c r="V4" t="s">
        <v>9</v>
      </c>
      <c r="W4" t="s">
        <v>10</v>
      </c>
      <c r="X4" s="4" t="s">
        <v>33</v>
      </c>
      <c r="Y4" s="57">
        <v>309362.19</v>
      </c>
      <c r="Z4" s="58">
        <v>344774.33</v>
      </c>
      <c r="AA4" s="58">
        <v>0</v>
      </c>
      <c r="AB4" s="58">
        <f>(Z4/G2) * F2</f>
        <v>430967.91250000003</v>
      </c>
      <c r="AC4" s="22">
        <f t="shared" si="1"/>
        <v>1.3930852781330518</v>
      </c>
    </row>
    <row r="5" spans="1:29" ht="17.25" x14ac:dyDescent="0.4">
      <c r="F5" s="29"/>
      <c r="G5" s="29"/>
      <c r="H5" t="s">
        <v>13</v>
      </c>
      <c r="I5" s="4" t="s">
        <v>14</v>
      </c>
      <c r="J5" s="49">
        <f>SUM(Q3:Q3,Q13,Y10)</f>
        <v>205818.47</v>
      </c>
      <c r="K5" s="48">
        <f>SUM(R3:R3,R13,Z10,R23)</f>
        <v>967093.47</v>
      </c>
      <c r="L5" s="48">
        <f>(K5/G2) * F2</f>
        <v>1208866.8374999999</v>
      </c>
      <c r="M5" s="7">
        <f>IFERROR(L5/J5,0)</f>
        <v>5.8734613929449573</v>
      </c>
      <c r="N5" t="s">
        <v>9</v>
      </c>
      <c r="O5" s="15" t="s">
        <v>11</v>
      </c>
      <c r="P5" s="15" t="s">
        <v>38</v>
      </c>
      <c r="Q5" s="52">
        <v>233605.43</v>
      </c>
      <c r="R5" s="48">
        <v>440000</v>
      </c>
      <c r="S5" s="14">
        <v>0</v>
      </c>
      <c r="T5" s="6">
        <f>(R5/$G2)*$F2</f>
        <v>550000</v>
      </c>
      <c r="U5" s="7">
        <f t="shared" si="0"/>
        <v>2.3543973271511711</v>
      </c>
      <c r="V5" t="s">
        <v>9</v>
      </c>
      <c r="W5" t="s">
        <v>10</v>
      </c>
      <c r="X5" s="4" t="s">
        <v>53</v>
      </c>
      <c r="Y5" s="57">
        <v>106150.22</v>
      </c>
      <c r="Z5" s="58">
        <v>123622.36</v>
      </c>
      <c r="AA5" s="58">
        <v>0</v>
      </c>
      <c r="AB5" s="58">
        <f>(Z5/G2) * F2</f>
        <v>154527.95000000001</v>
      </c>
      <c r="AC5" s="22">
        <f>IFERROR(AB5/Y5,0)</f>
        <v>1.4557478072113277</v>
      </c>
    </row>
    <row r="6" spans="1:29" ht="17.25" x14ac:dyDescent="0.4">
      <c r="F6" s="29"/>
      <c r="G6" s="29"/>
      <c r="H6" t="s">
        <v>9</v>
      </c>
      <c r="I6" s="9" t="s">
        <v>15</v>
      </c>
      <c r="J6" s="49">
        <f>SUM(Y2:Y9)</f>
        <v>2015141.99</v>
      </c>
      <c r="K6" s="48">
        <f>SUM(Z2:Z9)</f>
        <v>1924854.87</v>
      </c>
      <c r="L6" s="48">
        <f>(K6/G2) * F2</f>
        <v>2406068.5875000004</v>
      </c>
      <c r="M6" s="7">
        <f>IFERROR(L6/J6,0)</f>
        <v>1.193994566854319</v>
      </c>
      <c r="N6" t="s">
        <v>9</v>
      </c>
      <c r="O6" s="4" t="s">
        <v>12</v>
      </c>
      <c r="P6" s="4" t="s">
        <v>39</v>
      </c>
      <c r="Q6" s="52">
        <v>240901.6</v>
      </c>
      <c r="R6" s="48">
        <v>450000</v>
      </c>
      <c r="S6" s="14">
        <v>0</v>
      </c>
      <c r="T6" s="6">
        <f>(R6/$G2)*$F2</f>
        <v>562500</v>
      </c>
      <c r="U6" s="7">
        <f t="shared" si="0"/>
        <v>2.3349782649845414</v>
      </c>
      <c r="V6" t="s">
        <v>9</v>
      </c>
      <c r="W6" t="s">
        <v>10</v>
      </c>
      <c r="X6" s="4" t="s">
        <v>34</v>
      </c>
      <c r="Y6" s="57">
        <v>253882.6</v>
      </c>
      <c r="Z6" s="58">
        <v>264703.65000000002</v>
      </c>
      <c r="AA6" s="58">
        <v>0</v>
      </c>
      <c r="AB6" s="58">
        <f>(Z6/G2) * F2</f>
        <v>330879.5625</v>
      </c>
      <c r="AC6" s="22">
        <f t="shared" si="1"/>
        <v>1.303277824080894</v>
      </c>
    </row>
    <row r="7" spans="1:29" x14ac:dyDescent="0.25">
      <c r="F7" s="29"/>
      <c r="G7" s="29"/>
      <c r="N7" t="s">
        <v>9</v>
      </c>
      <c r="O7" s="4" t="s">
        <v>12</v>
      </c>
      <c r="P7" s="4" t="s">
        <v>40</v>
      </c>
      <c r="Q7" s="52">
        <v>375146.39</v>
      </c>
      <c r="R7" s="48">
        <v>460000</v>
      </c>
      <c r="S7" s="14">
        <v>0</v>
      </c>
      <c r="T7" s="6">
        <f>(R7/$G2)*$F2</f>
        <v>575000</v>
      </c>
      <c r="U7" s="7">
        <f t="shared" si="0"/>
        <v>1.5327349944644275</v>
      </c>
      <c r="V7" t="s">
        <v>9</v>
      </c>
      <c r="W7" t="s">
        <v>10</v>
      </c>
      <c r="X7" s="4" t="s">
        <v>54</v>
      </c>
      <c r="Y7" s="57">
        <v>235058.47</v>
      </c>
      <c r="Z7" s="58">
        <v>236058.57</v>
      </c>
      <c r="AA7" s="58">
        <v>0</v>
      </c>
      <c r="AB7" s="58">
        <f>(Z7/G2) * F2</f>
        <v>295073.21250000002</v>
      </c>
      <c r="AC7" s="22">
        <f t="shared" si="1"/>
        <v>1.2553183575984308</v>
      </c>
    </row>
    <row r="8" spans="1:29" x14ac:dyDescent="0.25">
      <c r="F8" s="29"/>
      <c r="G8" s="29"/>
      <c r="N8" t="s">
        <v>9</v>
      </c>
      <c r="O8" s="4" t="s">
        <v>12</v>
      </c>
      <c r="P8" s="4" t="s">
        <v>41</v>
      </c>
      <c r="Q8" s="52">
        <v>450561.05</v>
      </c>
      <c r="R8" s="48">
        <v>460000</v>
      </c>
      <c r="S8" s="14">
        <v>0</v>
      </c>
      <c r="T8" s="6">
        <f>(R8/$G2)*$F2</f>
        <v>575000</v>
      </c>
      <c r="U8" s="7">
        <f t="shared" si="0"/>
        <v>1.276186656614015</v>
      </c>
      <c r="V8" t="s">
        <v>9</v>
      </c>
      <c r="W8" t="s">
        <v>10</v>
      </c>
      <c r="X8" s="4" t="s">
        <v>55</v>
      </c>
      <c r="Y8" s="57">
        <v>263862.83</v>
      </c>
      <c r="Z8" s="58">
        <v>245292.27</v>
      </c>
      <c r="AA8" s="58">
        <v>0</v>
      </c>
      <c r="AB8" s="58">
        <f>(Z8/G2) * F2</f>
        <v>306615.33749999997</v>
      </c>
      <c r="AC8" s="22">
        <f t="shared" si="1"/>
        <v>1.1620255020383126</v>
      </c>
    </row>
    <row r="9" spans="1:29" ht="13.5" customHeight="1" x14ac:dyDescent="0.25">
      <c r="F9" s="29"/>
      <c r="G9" s="29"/>
      <c r="N9" t="s">
        <v>9</v>
      </c>
      <c r="O9" s="4" t="s">
        <v>61</v>
      </c>
      <c r="P9" s="4" t="s">
        <v>42</v>
      </c>
      <c r="Q9" s="52">
        <v>149058.19</v>
      </c>
      <c r="R9" s="48">
        <v>470000</v>
      </c>
      <c r="S9" s="14">
        <v>0</v>
      </c>
      <c r="T9" s="6">
        <f>(R9/$G2)*$F2</f>
        <v>587500</v>
      </c>
      <c r="U9" s="7">
        <f t="shared" si="0"/>
        <v>3.9414137525754205</v>
      </c>
      <c r="V9" t="s">
        <v>9</v>
      </c>
      <c r="W9" t="s">
        <v>10</v>
      </c>
      <c r="X9" s="4" t="s">
        <v>56</v>
      </c>
      <c r="Y9" s="57">
        <v>209021.72</v>
      </c>
      <c r="Z9" s="58">
        <v>250744.35</v>
      </c>
      <c r="AA9" s="58">
        <v>0</v>
      </c>
      <c r="AB9" s="58">
        <f>(Z9/G2) * F2</f>
        <v>313430.4375</v>
      </c>
      <c r="AC9" s="22">
        <f t="shared" si="1"/>
        <v>1.4995113306885046</v>
      </c>
    </row>
    <row r="10" spans="1:29" x14ac:dyDescent="0.25">
      <c r="F10" s="29"/>
      <c r="G10" s="29"/>
      <c r="N10" t="s">
        <v>9</v>
      </c>
      <c r="O10" s="4" t="s">
        <v>61</v>
      </c>
      <c r="P10" s="4" t="s">
        <v>63</v>
      </c>
      <c r="Q10" s="52">
        <v>230480.73</v>
      </c>
      <c r="R10" s="48">
        <v>480000</v>
      </c>
      <c r="S10" s="14">
        <v>0</v>
      </c>
      <c r="T10" s="6">
        <f>(R10/$G2)*$F2</f>
        <v>600000</v>
      </c>
      <c r="U10" s="7">
        <f t="shared" si="0"/>
        <v>2.6032545106916314</v>
      </c>
      <c r="V10" t="s">
        <v>13</v>
      </c>
      <c r="W10" t="s">
        <v>14</v>
      </c>
      <c r="X10" s="30" t="s">
        <v>57</v>
      </c>
      <c r="Y10" s="40">
        <v>51752.1</v>
      </c>
      <c r="Z10" s="58">
        <v>37093.47</v>
      </c>
      <c r="AA10" s="58">
        <v>0</v>
      </c>
      <c r="AB10" s="40">
        <f>(Z10/G2) * F2</f>
        <v>46366.837500000001</v>
      </c>
      <c r="AC10" s="22">
        <f t="shared" si="1"/>
        <v>0.89594117919852534</v>
      </c>
    </row>
    <row r="11" spans="1:29" x14ac:dyDescent="0.25">
      <c r="F11" s="29"/>
      <c r="G11" s="29"/>
      <c r="N11" t="s">
        <v>9</v>
      </c>
      <c r="O11" s="4" t="s">
        <v>11</v>
      </c>
      <c r="P11" s="4" t="s">
        <v>44</v>
      </c>
      <c r="Q11" s="52">
        <v>285502.65000000002</v>
      </c>
      <c r="R11" s="48">
        <v>490000</v>
      </c>
      <c r="S11" s="14">
        <v>0</v>
      </c>
      <c r="T11" s="6">
        <f>(R11/$G2)*$F2</f>
        <v>612500</v>
      </c>
      <c r="U11" s="7">
        <f t="shared" si="0"/>
        <v>2.1453391063095211</v>
      </c>
    </row>
    <row r="12" spans="1:29" x14ac:dyDescent="0.25">
      <c r="F12" s="29"/>
      <c r="G12" s="29"/>
      <c r="N12" t="s">
        <v>9</v>
      </c>
      <c r="O12" s="4" t="s">
        <v>11</v>
      </c>
      <c r="P12" s="4" t="s">
        <v>45</v>
      </c>
      <c r="Q12" s="52">
        <v>268303</v>
      </c>
      <c r="R12" s="48">
        <v>500000</v>
      </c>
      <c r="S12" s="14">
        <v>0</v>
      </c>
      <c r="T12" s="6">
        <f>(R12/$G2)*$F2</f>
        <v>625000</v>
      </c>
      <c r="U12" s="7">
        <f t="shared" si="0"/>
        <v>2.3294558763785718</v>
      </c>
    </row>
    <row r="13" spans="1:29" x14ac:dyDescent="0.25">
      <c r="F13" s="29"/>
      <c r="G13" s="29"/>
      <c r="N13" t="s">
        <v>13</v>
      </c>
      <c r="O13" s="4" t="s">
        <v>14</v>
      </c>
      <c r="P13" s="4" t="s">
        <v>46</v>
      </c>
      <c r="Q13" s="52">
        <v>41821.550000000003</v>
      </c>
      <c r="R13" s="48">
        <v>510000</v>
      </c>
      <c r="S13" s="14">
        <v>0</v>
      </c>
      <c r="T13" s="6">
        <f>(R13/$G2)*$F2</f>
        <v>637500</v>
      </c>
      <c r="U13" s="7">
        <f>IFERROR(T13/Q13,0)</f>
        <v>15.243337465971489</v>
      </c>
    </row>
    <row r="14" spans="1:29" x14ac:dyDescent="0.25">
      <c r="F14" s="29"/>
      <c r="G14" s="29"/>
      <c r="N14" t="s">
        <v>9</v>
      </c>
      <c r="O14" s="4" t="s">
        <v>11</v>
      </c>
      <c r="P14" s="4" t="s">
        <v>32</v>
      </c>
      <c r="Q14" s="52">
        <v>297395.43</v>
      </c>
      <c r="R14" s="48">
        <v>520000</v>
      </c>
      <c r="S14" s="14">
        <v>0</v>
      </c>
      <c r="T14" s="6">
        <f>(R14/$G2)*$F2</f>
        <v>650000</v>
      </c>
      <c r="U14" s="7">
        <f t="shared" si="0"/>
        <v>2.1856421936275217</v>
      </c>
    </row>
    <row r="15" spans="1:29" x14ac:dyDescent="0.25">
      <c r="F15" s="29"/>
      <c r="G15" s="29"/>
      <c r="N15" t="s">
        <v>9</v>
      </c>
      <c r="O15" t="s">
        <v>12</v>
      </c>
      <c r="P15" t="s">
        <v>47</v>
      </c>
      <c r="Q15" s="53">
        <v>212339.41</v>
      </c>
      <c r="R15" s="48">
        <v>520000</v>
      </c>
      <c r="S15" s="14">
        <v>0</v>
      </c>
      <c r="T15" s="6">
        <f>(R15/$G2)*$F2</f>
        <v>650000</v>
      </c>
      <c r="U15" s="18">
        <f>IFERROR(T15/Q15,0)</f>
        <v>3.0611368845755011</v>
      </c>
    </row>
    <row r="16" spans="1:29" x14ac:dyDescent="0.25">
      <c r="F16" s="29"/>
      <c r="G16" s="29"/>
      <c r="N16" t="s">
        <v>9</v>
      </c>
      <c r="O16" t="s">
        <v>12</v>
      </c>
      <c r="P16" t="s">
        <v>48</v>
      </c>
      <c r="Q16" s="53">
        <v>319085.51</v>
      </c>
      <c r="R16" s="48">
        <v>520000</v>
      </c>
      <c r="S16" s="14">
        <v>0</v>
      </c>
      <c r="T16" s="6">
        <f>(R16/$G2)*$F2</f>
        <v>650000</v>
      </c>
      <c r="U16" s="18">
        <f>IFERROR(T16/Q16,0)</f>
        <v>2.0370715047511871</v>
      </c>
    </row>
    <row r="17" spans="14:21" x14ac:dyDescent="0.25">
      <c r="N17" t="s">
        <v>9</v>
      </c>
      <c r="O17" t="s">
        <v>61</v>
      </c>
      <c r="P17" t="s">
        <v>49</v>
      </c>
      <c r="Q17" s="53">
        <v>174027.93</v>
      </c>
      <c r="R17" s="48">
        <v>520000</v>
      </c>
      <c r="S17" s="14">
        <v>0</v>
      </c>
      <c r="T17" s="6">
        <f>(R17/$G2)*$F2</f>
        <v>650000</v>
      </c>
      <c r="U17" s="18">
        <f>IFERROR(T17/Q17,0)</f>
        <v>3.7350326467711246</v>
      </c>
    </row>
    <row r="18" spans="14:21" x14ac:dyDescent="0.25">
      <c r="N18" t="s">
        <v>31</v>
      </c>
      <c r="O18" t="s">
        <v>11</v>
      </c>
      <c r="P18" t="s">
        <v>50</v>
      </c>
      <c r="Q18" s="53">
        <v>206304.04</v>
      </c>
      <c r="R18" s="48">
        <v>520000</v>
      </c>
      <c r="S18" s="14">
        <v>0</v>
      </c>
      <c r="T18" s="32">
        <f>(R18/$G2)*$F2</f>
        <v>650000</v>
      </c>
      <c r="U18" s="18">
        <f>IFERROR(T18/Q18,0)</f>
        <v>3.1506896326412219</v>
      </c>
    </row>
    <row r="22" spans="14:21" ht="17.25" customHeight="1" x14ac:dyDescent="0.25">
      <c r="S22" s="23"/>
    </row>
    <row r="23" spans="14:21" x14ac:dyDescent="0.25">
      <c r="S23" s="25"/>
    </row>
  </sheetData>
  <conditionalFormatting sqref="M2:M6 U2:U18">
    <cfRule type="cellIs" dxfId="1" priority="2" operator="greaterThan">
      <formula>1</formula>
    </cfRule>
  </conditionalFormatting>
  <conditionalFormatting sqref="AC2:AC10">
    <cfRule type="cellIs" dxfId="0" priority="1" operator="greaterThan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DE6CC-F308-4AE3-BE2D-A8E8CE9726BB}">
  <dimension ref="A1:G30"/>
  <sheetViews>
    <sheetView workbookViewId="0">
      <selection activeCell="C19" sqref="C19:C27"/>
    </sheetView>
  </sheetViews>
  <sheetFormatPr defaultRowHeight="15" x14ac:dyDescent="0.25"/>
  <cols>
    <col min="1" max="1" width="14" bestFit="1" customWidth="1"/>
    <col min="2" max="2" width="12.7109375" bestFit="1" customWidth="1"/>
    <col min="3" max="3" width="14.28515625" bestFit="1" customWidth="1"/>
    <col min="6" max="7" width="15.85546875" bestFit="1" customWidth="1"/>
  </cols>
  <sheetData>
    <row r="1" spans="1:7" x14ac:dyDescent="0.25">
      <c r="A1" s="10" t="s">
        <v>17</v>
      </c>
      <c r="B1" s="10" t="s">
        <v>18</v>
      </c>
      <c r="C1" s="24" t="s">
        <v>19</v>
      </c>
      <c r="D1" t="s">
        <v>64</v>
      </c>
      <c r="F1" s="10" t="s">
        <v>17</v>
      </c>
      <c r="G1" s="42" t="s">
        <v>62</v>
      </c>
    </row>
    <row r="2" spans="1:7" x14ac:dyDescent="0.25">
      <c r="A2" s="4" t="s">
        <v>35</v>
      </c>
      <c r="B2" s="13">
        <v>409020.28</v>
      </c>
      <c r="C2" s="31">
        <v>471783.45</v>
      </c>
      <c r="D2" s="40">
        <f>+C2/$C$29</f>
        <v>8.0799935017994914E-2</v>
      </c>
      <c r="F2" s="4" t="s">
        <v>35</v>
      </c>
      <c r="G2" s="32">
        <f>+D2*$F$29</f>
        <v>509039.59061336797</v>
      </c>
    </row>
    <row r="3" spans="1:7" x14ac:dyDescent="0.25">
      <c r="A3" s="4" t="s">
        <v>36</v>
      </c>
      <c r="B3" s="13">
        <v>93468.21</v>
      </c>
      <c r="C3" s="31">
        <v>104029.72</v>
      </c>
      <c r="D3" s="40">
        <f t="shared" ref="D3:D27" si="0">+C3/$C$29</f>
        <v>1.7816637306671539E-2</v>
      </c>
      <c r="F3" s="4" t="s">
        <v>36</v>
      </c>
      <c r="G3" s="32">
        <f t="shared" ref="G3:G27" si="1">+D3*$F$29</f>
        <v>112244.81503203069</v>
      </c>
    </row>
    <row r="4" spans="1:7" x14ac:dyDescent="0.25">
      <c r="A4" s="4" t="s">
        <v>37</v>
      </c>
      <c r="B4" s="13">
        <v>68443.94</v>
      </c>
      <c r="C4" s="31">
        <v>71644.13</v>
      </c>
      <c r="D4" s="40">
        <f t="shared" si="0"/>
        <v>1.2270123185586058E-2</v>
      </c>
      <c r="F4" s="4" t="s">
        <v>37</v>
      </c>
      <c r="G4" s="32">
        <f t="shared" si="1"/>
        <v>77301.776069192158</v>
      </c>
    </row>
    <row r="5" spans="1:7" x14ac:dyDescent="0.25">
      <c r="A5" s="15" t="s">
        <v>38</v>
      </c>
      <c r="B5" s="13">
        <v>274170.09000000003</v>
      </c>
      <c r="C5" s="31">
        <v>216508.06</v>
      </c>
      <c r="D5" s="40">
        <f t="shared" si="0"/>
        <v>3.708022648711426E-2</v>
      </c>
      <c r="F5" s="15" t="s">
        <v>38</v>
      </c>
      <c r="G5" s="32">
        <f t="shared" si="1"/>
        <v>233605.42686881984</v>
      </c>
    </row>
    <row r="6" spans="1:7" x14ac:dyDescent="0.25">
      <c r="A6" s="4" t="s">
        <v>39</v>
      </c>
      <c r="B6" s="13">
        <v>213670.02</v>
      </c>
      <c r="C6" s="31">
        <v>223270.23</v>
      </c>
      <c r="D6" s="40">
        <f t="shared" si="0"/>
        <v>3.8238348707341857E-2</v>
      </c>
      <c r="F6" s="4" t="s">
        <v>39</v>
      </c>
      <c r="G6" s="32">
        <f t="shared" si="1"/>
        <v>240901.59685625369</v>
      </c>
    </row>
    <row r="7" spans="1:7" x14ac:dyDescent="0.25">
      <c r="A7" s="4" t="s">
        <v>40</v>
      </c>
      <c r="B7" s="13">
        <v>406950.16</v>
      </c>
      <c r="C7" s="31">
        <v>347689.77</v>
      </c>
      <c r="D7" s="40">
        <f t="shared" si="0"/>
        <v>5.9547046049244837E-2</v>
      </c>
      <c r="F7" s="4" t="s">
        <v>40</v>
      </c>
      <c r="G7" s="32">
        <f t="shared" si="1"/>
        <v>375146.39011024247</v>
      </c>
    </row>
    <row r="8" spans="1:7" x14ac:dyDescent="0.25">
      <c r="A8" s="4" t="s">
        <v>41</v>
      </c>
      <c r="B8" s="13">
        <v>427264.27</v>
      </c>
      <c r="C8" s="31">
        <v>417584.9</v>
      </c>
      <c r="D8" s="40">
        <f t="shared" si="0"/>
        <v>7.1517626963166908E-2</v>
      </c>
      <c r="F8" s="4" t="s">
        <v>41</v>
      </c>
      <c r="G8" s="32">
        <f t="shared" si="1"/>
        <v>450561.04986795154</v>
      </c>
    </row>
    <row r="9" spans="1:7" x14ac:dyDescent="0.25">
      <c r="A9" s="4" t="s">
        <v>42</v>
      </c>
      <c r="B9" s="13">
        <v>126634.43</v>
      </c>
      <c r="C9" s="31">
        <v>138148.76</v>
      </c>
      <c r="D9" s="40">
        <f t="shared" si="0"/>
        <v>2.3660030530567734E-2</v>
      </c>
      <c r="F9" s="4" t="s">
        <v>42</v>
      </c>
      <c r="G9" s="32">
        <f t="shared" si="1"/>
        <v>149058.19234257672</v>
      </c>
    </row>
    <row r="10" spans="1:7" x14ac:dyDescent="0.25">
      <c r="A10" s="4" t="s">
        <v>63</v>
      </c>
      <c r="B10" s="13">
        <v>236410.11</v>
      </c>
      <c r="C10" s="31">
        <v>213612.06</v>
      </c>
      <c r="D10" s="40">
        <f t="shared" si="0"/>
        <v>3.6584243400356736E-2</v>
      </c>
      <c r="F10" s="4" t="s">
        <v>63</v>
      </c>
      <c r="G10" s="32">
        <f t="shared" si="1"/>
        <v>230480.73342224743</v>
      </c>
    </row>
    <row r="11" spans="1:7" x14ac:dyDescent="0.25">
      <c r="A11" s="4" t="s">
        <v>44</v>
      </c>
      <c r="B11" s="13">
        <v>262741.15000000002</v>
      </c>
      <c r="C11" s="31">
        <v>264606.96999999997</v>
      </c>
      <c r="D11" s="40">
        <f t="shared" si="0"/>
        <v>4.5317880441351911E-2</v>
      </c>
      <c r="F11" s="4" t="s">
        <v>44</v>
      </c>
      <c r="G11" s="32">
        <f t="shared" si="1"/>
        <v>285502.64678051707</v>
      </c>
    </row>
    <row r="12" spans="1:7" x14ac:dyDescent="0.25">
      <c r="A12" s="4" t="s">
        <v>45</v>
      </c>
      <c r="B12" s="13">
        <v>245752.23</v>
      </c>
      <c r="C12" s="31">
        <v>248666.15</v>
      </c>
      <c r="D12" s="40">
        <f t="shared" si="0"/>
        <v>4.2587777848449276E-2</v>
      </c>
      <c r="F12" s="4" t="s">
        <v>45</v>
      </c>
      <c r="G12" s="32">
        <f t="shared" si="1"/>
        <v>268303.00044523046</v>
      </c>
    </row>
    <row r="13" spans="1:7" x14ac:dyDescent="0.25">
      <c r="A13" s="4" t="s">
        <v>46</v>
      </c>
      <c r="B13" s="13">
        <v>61149.25</v>
      </c>
      <c r="C13" s="31">
        <v>38760.67</v>
      </c>
      <c r="D13" s="40">
        <f t="shared" si="0"/>
        <v>6.6383414196787638E-3</v>
      </c>
      <c r="F13" s="4" t="s">
        <v>46</v>
      </c>
      <c r="G13" s="32">
        <f t="shared" si="1"/>
        <v>41821.55094397621</v>
      </c>
    </row>
    <row r="14" spans="1:7" x14ac:dyDescent="0.25">
      <c r="A14" s="4" t="s">
        <v>32</v>
      </c>
      <c r="B14" s="13">
        <v>313310.19</v>
      </c>
      <c r="C14" s="31">
        <v>275629.33</v>
      </c>
      <c r="D14" s="40">
        <f t="shared" si="0"/>
        <v>4.7205623582288608E-2</v>
      </c>
      <c r="F14" s="4" t="s">
        <v>32</v>
      </c>
      <c r="G14" s="32">
        <f t="shared" si="1"/>
        <v>297395.42856841825</v>
      </c>
    </row>
    <row r="15" spans="1:7" x14ac:dyDescent="0.25">
      <c r="A15" t="s">
        <v>47</v>
      </c>
      <c r="B15" s="16">
        <v>167888.82</v>
      </c>
      <c r="C15" s="31">
        <v>196798.48</v>
      </c>
      <c r="D15" s="40">
        <f t="shared" si="0"/>
        <v>3.3704667672509861E-2</v>
      </c>
      <c r="F15" t="s">
        <v>47</v>
      </c>
      <c r="G15" s="32">
        <f t="shared" si="1"/>
        <v>212339.40633681213</v>
      </c>
    </row>
    <row r="16" spans="1:7" x14ac:dyDescent="0.25">
      <c r="A16" t="s">
        <v>48</v>
      </c>
      <c r="B16" s="16">
        <v>279747.43</v>
      </c>
      <c r="C16" s="31">
        <v>295731.93</v>
      </c>
      <c r="D16" s="40">
        <f t="shared" si="0"/>
        <v>5.0648492919253996E-2</v>
      </c>
      <c r="F16" t="s">
        <v>48</v>
      </c>
      <c r="G16" s="32">
        <f t="shared" si="1"/>
        <v>319085.50539130019</v>
      </c>
    </row>
    <row r="17" spans="1:7" x14ac:dyDescent="0.25">
      <c r="A17" t="s">
        <v>49</v>
      </c>
      <c r="B17" s="16">
        <v>166834.78</v>
      </c>
      <c r="C17" s="31">
        <v>161290.99</v>
      </c>
      <c r="D17" s="40">
        <f t="shared" si="0"/>
        <v>2.7623481728721231E-2</v>
      </c>
      <c r="F17" t="s">
        <v>49</v>
      </c>
      <c r="G17" s="32">
        <f t="shared" si="1"/>
        <v>174027.93489094375</v>
      </c>
    </row>
    <row r="18" spans="1:7" x14ac:dyDescent="0.25">
      <c r="A18" t="s">
        <v>50</v>
      </c>
      <c r="B18" s="16">
        <v>199650.55</v>
      </c>
      <c r="C18" s="17">
        <v>191204.84</v>
      </c>
      <c r="D18" s="40">
        <f t="shared" si="0"/>
        <v>3.2746673600199658E-2</v>
      </c>
      <c r="F18" t="s">
        <v>50</v>
      </c>
      <c r="G18" s="32">
        <f t="shared" si="1"/>
        <v>206304.04368125784</v>
      </c>
    </row>
    <row r="19" spans="1:7" x14ac:dyDescent="0.25">
      <c r="A19" s="20" t="s">
        <v>51</v>
      </c>
      <c r="B19" s="8">
        <v>278034.96999999997</v>
      </c>
      <c r="C19" s="21">
        <v>226461.61</v>
      </c>
      <c r="D19" s="40">
        <f t="shared" si="0"/>
        <v>3.8784920013770104E-2</v>
      </c>
      <c r="F19" s="20" t="s">
        <v>51</v>
      </c>
      <c r="G19" s="32">
        <f t="shared" si="1"/>
        <v>244344.99608675166</v>
      </c>
    </row>
    <row r="20" spans="1:7" x14ac:dyDescent="0.25">
      <c r="A20" s="4" t="s">
        <v>52</v>
      </c>
      <c r="B20" s="8">
        <v>359768.99</v>
      </c>
      <c r="C20" s="21">
        <v>233197.73</v>
      </c>
      <c r="D20" s="40">
        <f t="shared" si="0"/>
        <v>3.9938580783925176E-2</v>
      </c>
      <c r="F20" s="4" t="s">
        <v>52</v>
      </c>
      <c r="G20" s="32">
        <f t="shared" si="1"/>
        <v>251613.05893872862</v>
      </c>
    </row>
    <row r="21" spans="1:7" x14ac:dyDescent="0.25">
      <c r="A21" s="4" t="s">
        <v>33</v>
      </c>
      <c r="B21" s="8">
        <v>309362.19</v>
      </c>
      <c r="C21" s="21">
        <v>344774.33</v>
      </c>
      <c r="D21" s="40">
        <f t="shared" si="0"/>
        <v>5.9047733573258529E-2</v>
      </c>
      <c r="F21" s="4" t="s">
        <v>33</v>
      </c>
      <c r="G21" s="32">
        <f t="shared" si="1"/>
        <v>372000.72151152871</v>
      </c>
    </row>
    <row r="22" spans="1:7" x14ac:dyDescent="0.25">
      <c r="A22" s="4" t="s">
        <v>53</v>
      </c>
      <c r="B22" s="8">
        <v>106150.22</v>
      </c>
      <c r="C22" s="21">
        <v>123622.36</v>
      </c>
      <c r="D22" s="40">
        <f t="shared" si="0"/>
        <v>2.1172168406439807E-2</v>
      </c>
      <c r="F22" s="4" t="s">
        <v>53</v>
      </c>
      <c r="G22" s="32">
        <f t="shared" si="1"/>
        <v>133384.66096057079</v>
      </c>
    </row>
    <row r="23" spans="1:7" x14ac:dyDescent="0.25">
      <c r="A23" s="4" t="s">
        <v>34</v>
      </c>
      <c r="B23" s="8">
        <v>253882.6</v>
      </c>
      <c r="C23" s="21">
        <v>264703.65000000002</v>
      </c>
      <c r="D23" s="40">
        <f t="shared" si="0"/>
        <v>4.533443832975928E-2</v>
      </c>
      <c r="F23" s="4" t="s">
        <v>34</v>
      </c>
      <c r="G23" s="32">
        <f t="shared" si="1"/>
        <v>285606.96147748345</v>
      </c>
    </row>
    <row r="24" spans="1:7" x14ac:dyDescent="0.25">
      <c r="A24" s="4" t="s">
        <v>54</v>
      </c>
      <c r="B24" s="8">
        <v>235058.47</v>
      </c>
      <c r="C24" s="21">
        <v>236058.57</v>
      </c>
      <c r="D24" s="40">
        <f t="shared" si="0"/>
        <v>4.0428542197571374E-2</v>
      </c>
      <c r="F24" s="4" t="s">
        <v>54</v>
      </c>
      <c r="G24" s="32">
        <f t="shared" si="1"/>
        <v>254699.81584469965</v>
      </c>
    </row>
    <row r="25" spans="1:7" x14ac:dyDescent="0.25">
      <c r="A25" s="4" t="s">
        <v>55</v>
      </c>
      <c r="B25" s="8">
        <v>263862.83</v>
      </c>
      <c r="C25" s="21">
        <v>245292.27</v>
      </c>
      <c r="D25" s="40">
        <f t="shared" si="0"/>
        <v>4.2009950701781637E-2</v>
      </c>
      <c r="F25" s="4" t="s">
        <v>55</v>
      </c>
      <c r="G25" s="32">
        <f t="shared" si="1"/>
        <v>264662.68942122429</v>
      </c>
    </row>
    <row r="26" spans="1:7" x14ac:dyDescent="0.25">
      <c r="A26" s="4" t="s">
        <v>56</v>
      </c>
      <c r="B26" s="8">
        <v>209021.72</v>
      </c>
      <c r="C26" s="21">
        <v>250744.35</v>
      </c>
      <c r="D26" s="40">
        <f t="shared" si="0"/>
        <v>4.2943700517958767E-2</v>
      </c>
      <c r="F26" s="4" t="s">
        <v>56</v>
      </c>
      <c r="G26" s="32">
        <f t="shared" si="1"/>
        <v>270545.31326314021</v>
      </c>
    </row>
    <row r="27" spans="1:7" x14ac:dyDescent="0.25">
      <c r="A27" s="30" t="s">
        <v>57</v>
      </c>
      <c r="B27" s="8">
        <v>51752.1</v>
      </c>
      <c r="C27" s="21">
        <v>37093.47</v>
      </c>
      <c r="D27" s="40">
        <f t="shared" si="0"/>
        <v>6.3528086150371407E-3</v>
      </c>
      <c r="F27" s="30" t="s">
        <v>57</v>
      </c>
      <c r="G27" s="32">
        <f t="shared" si="1"/>
        <v>40022.694274733985</v>
      </c>
    </row>
    <row r="28" spans="1:7" x14ac:dyDescent="0.25">
      <c r="F28" s="43" t="s">
        <v>65</v>
      </c>
      <c r="G28" s="17">
        <v>6300000</v>
      </c>
    </row>
    <row r="29" spans="1:7" x14ac:dyDescent="0.25">
      <c r="C29" s="8">
        <v>5838908.7800000003</v>
      </c>
      <c r="F29" s="17">
        <v>6300000</v>
      </c>
    </row>
    <row r="30" spans="1:7" x14ac:dyDescent="0.25">
      <c r="F30" s="4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F9F9-0CEC-4C8E-8943-951C582E2794}">
  <dimension ref="A1:I31"/>
  <sheetViews>
    <sheetView workbookViewId="0">
      <selection activeCell="H2" sqref="H2"/>
    </sheetView>
  </sheetViews>
  <sheetFormatPr defaultRowHeight="15" x14ac:dyDescent="0.25"/>
  <cols>
    <col min="1" max="1" width="14.28515625" bestFit="1" customWidth="1"/>
    <col min="2" max="2" width="14.28515625" customWidth="1"/>
    <col min="3" max="3" width="14.28515625" bestFit="1" customWidth="1"/>
    <col min="4" max="4" width="14.28515625" customWidth="1"/>
    <col min="5" max="5" width="12.7109375" bestFit="1" customWidth="1"/>
    <col min="7" max="7" width="14" bestFit="1" customWidth="1"/>
    <col min="8" max="8" width="18.140625" style="17" bestFit="1" customWidth="1"/>
    <col min="9" max="9" width="15.85546875" bestFit="1" customWidth="1"/>
  </cols>
  <sheetData>
    <row r="1" spans="1:8" s="33" customFormat="1" x14ac:dyDescent="0.25">
      <c r="G1" s="33" t="s">
        <v>58</v>
      </c>
      <c r="H1" s="34" t="s">
        <v>59</v>
      </c>
    </row>
    <row r="2" spans="1:8" x14ac:dyDescent="0.25">
      <c r="A2" s="4" t="s">
        <v>35</v>
      </c>
      <c r="B2" s="35">
        <v>282981.19</v>
      </c>
      <c r="C2" s="31">
        <v>364324.58</v>
      </c>
      <c r="D2" s="39">
        <f>MEDIAN(B2:C2)</f>
        <v>323652.88500000001</v>
      </c>
      <c r="E2" s="40">
        <f>+D2/$D$29</f>
        <v>6.8170046380641003E-2</v>
      </c>
      <c r="G2" s="4" t="s">
        <v>35</v>
      </c>
      <c r="H2" s="17">
        <f>+E2*$F$31</f>
        <v>409020.27828384604</v>
      </c>
    </row>
    <row r="3" spans="1:8" x14ac:dyDescent="0.25">
      <c r="A3" s="4" t="s">
        <v>36</v>
      </c>
      <c r="B3" s="35">
        <v>59582.74</v>
      </c>
      <c r="C3" s="31">
        <v>79435.27</v>
      </c>
      <c r="D3" s="39">
        <f t="shared" ref="D3:D27" si="0">MEDIAN(B3:C3)</f>
        <v>69509.005000000005</v>
      </c>
      <c r="E3" s="40">
        <f t="shared" ref="E3:E28" si="1">+D3/$D$29</f>
        <v>1.4640475380660389E-2</v>
      </c>
      <c r="G3" s="4" t="s">
        <v>36</v>
      </c>
      <c r="H3" s="17">
        <f t="shared" ref="H3:H28" si="2">+E3*$F$31</f>
        <v>87842.852283962333</v>
      </c>
    </row>
    <row r="4" spans="1:8" x14ac:dyDescent="0.25">
      <c r="A4" s="4" t="s">
        <v>37</v>
      </c>
      <c r="B4" s="35">
        <v>40250.339999999997</v>
      </c>
      <c r="C4" s="31">
        <v>68067.42</v>
      </c>
      <c r="D4" s="39">
        <f t="shared" si="0"/>
        <v>54158.879999999997</v>
      </c>
      <c r="E4" s="40">
        <f t="shared" si="1"/>
        <v>1.1407324119862458E-2</v>
      </c>
      <c r="G4" s="4" t="s">
        <v>37</v>
      </c>
      <c r="H4" s="17">
        <f t="shared" si="2"/>
        <v>68443.944719174746</v>
      </c>
    </row>
    <row r="5" spans="1:8" x14ac:dyDescent="0.25">
      <c r="A5" s="15" t="s">
        <v>38</v>
      </c>
      <c r="B5" s="36">
        <v>202775.76</v>
      </c>
      <c r="C5" s="31">
        <v>219249.98</v>
      </c>
      <c r="D5" s="39">
        <f t="shared" si="0"/>
        <v>211012.87</v>
      </c>
      <c r="E5" s="40">
        <f t="shared" si="1"/>
        <v>4.4445014401191481E-2</v>
      </c>
      <c r="G5" s="15" t="s">
        <v>38</v>
      </c>
      <c r="H5" s="17">
        <f t="shared" si="2"/>
        <v>266670.08640714886</v>
      </c>
    </row>
    <row r="6" spans="1:8" x14ac:dyDescent="0.25">
      <c r="A6" s="4" t="s">
        <v>39</v>
      </c>
      <c r="B6" s="35">
        <v>160934</v>
      </c>
      <c r="C6" s="31">
        <v>177215.1</v>
      </c>
      <c r="D6" s="39">
        <f t="shared" si="0"/>
        <v>169074.55</v>
      </c>
      <c r="E6" s="40">
        <f t="shared" si="1"/>
        <v>3.5611670556516144E-2</v>
      </c>
      <c r="G6" s="4" t="s">
        <v>39</v>
      </c>
      <c r="H6" s="17">
        <f t="shared" si="2"/>
        <v>213670.02333909686</v>
      </c>
    </row>
    <row r="7" spans="1:8" x14ac:dyDescent="0.25">
      <c r="A7" s="4" t="s">
        <v>40</v>
      </c>
      <c r="B7" s="35">
        <v>297002.83</v>
      </c>
      <c r="C7" s="31">
        <v>347026.82</v>
      </c>
      <c r="D7" s="39">
        <f t="shared" si="0"/>
        <v>322014.82500000001</v>
      </c>
      <c r="E7" s="40">
        <f t="shared" si="1"/>
        <v>6.7825026665540147E-2</v>
      </c>
      <c r="G7" s="4" t="s">
        <v>40</v>
      </c>
      <c r="H7" s="17">
        <f t="shared" si="2"/>
        <v>406950.1599932409</v>
      </c>
    </row>
    <row r="8" spans="1:8" x14ac:dyDescent="0.25">
      <c r="A8" s="4" t="s">
        <v>41</v>
      </c>
      <c r="B8" s="35">
        <v>283114.93</v>
      </c>
      <c r="C8" s="31">
        <v>393063.35</v>
      </c>
      <c r="D8" s="39">
        <f t="shared" si="0"/>
        <v>338089.14</v>
      </c>
      <c r="E8" s="40">
        <f t="shared" si="1"/>
        <v>7.1210711916227881E-2</v>
      </c>
      <c r="G8" s="4" t="s">
        <v>41</v>
      </c>
      <c r="H8" s="17">
        <f t="shared" si="2"/>
        <v>427264.2714973673</v>
      </c>
    </row>
    <row r="9" spans="1:8" x14ac:dyDescent="0.25">
      <c r="A9" s="4" t="s">
        <v>42</v>
      </c>
      <c r="B9" s="35">
        <v>71683.649999999994</v>
      </c>
      <c r="C9" s="31">
        <v>114484.35</v>
      </c>
      <c r="D9" s="39">
        <f t="shared" si="0"/>
        <v>93084</v>
      </c>
      <c r="E9" s="40">
        <f t="shared" si="1"/>
        <v>1.9606006593439102E-2</v>
      </c>
      <c r="G9" s="4" t="s">
        <v>42</v>
      </c>
      <c r="H9" s="17">
        <f t="shared" si="2"/>
        <v>117636.03956063461</v>
      </c>
    </row>
    <row r="10" spans="1:8" x14ac:dyDescent="0.25">
      <c r="A10" s="4" t="s">
        <v>43</v>
      </c>
      <c r="B10" s="35">
        <v>161593.37</v>
      </c>
      <c r="C10" s="31">
        <v>212543.65</v>
      </c>
      <c r="D10" s="39">
        <f t="shared" si="0"/>
        <v>187068.51</v>
      </c>
      <c r="E10" s="40">
        <f t="shared" si="1"/>
        <v>3.9401684934949388E-2</v>
      </c>
      <c r="G10" s="4" t="s">
        <v>43</v>
      </c>
      <c r="H10" s="17">
        <f t="shared" si="2"/>
        <v>236410.10960969632</v>
      </c>
    </row>
    <row r="11" spans="1:8" x14ac:dyDescent="0.25">
      <c r="A11" s="4" t="s">
        <v>44</v>
      </c>
      <c r="B11" s="35">
        <v>237983.01</v>
      </c>
      <c r="C11" s="31">
        <v>225302.18</v>
      </c>
      <c r="D11" s="39">
        <f t="shared" si="0"/>
        <v>231642.595</v>
      </c>
      <c r="E11" s="40">
        <f t="shared" si="1"/>
        <v>4.8790192137116405E-2</v>
      </c>
      <c r="G11" s="4" t="s">
        <v>44</v>
      </c>
      <c r="H11" s="17">
        <f t="shared" si="2"/>
        <v>292741.15282269841</v>
      </c>
    </row>
    <row r="12" spans="1:8" x14ac:dyDescent="0.25">
      <c r="A12" s="4" t="s">
        <v>45</v>
      </c>
      <c r="B12" s="35">
        <f>81972.71+70013.19</f>
        <v>151985.90000000002</v>
      </c>
      <c r="C12" s="31">
        <v>225066.41</v>
      </c>
      <c r="D12" s="39">
        <f t="shared" si="0"/>
        <v>188526.15500000003</v>
      </c>
      <c r="E12" s="40">
        <f t="shared" si="1"/>
        <v>3.9708704374175181E-2</v>
      </c>
      <c r="G12" s="4" t="s">
        <v>45</v>
      </c>
      <c r="H12" s="17">
        <f t="shared" si="2"/>
        <v>238252.22624505108</v>
      </c>
    </row>
    <row r="13" spans="1:8" x14ac:dyDescent="0.25">
      <c r="A13" s="4" t="s">
        <v>46</v>
      </c>
      <c r="B13" s="35">
        <v>42337.31</v>
      </c>
      <c r="C13" s="31">
        <v>49827.79</v>
      </c>
      <c r="D13" s="39">
        <f t="shared" si="0"/>
        <v>46082.55</v>
      </c>
      <c r="E13" s="40">
        <f t="shared" si="1"/>
        <v>9.706230707129981E-3</v>
      </c>
      <c r="G13" s="4" t="s">
        <v>46</v>
      </c>
      <c r="H13" s="17">
        <f t="shared" si="2"/>
        <v>58237.384242779888</v>
      </c>
    </row>
    <row r="14" spans="1:8" x14ac:dyDescent="0.25">
      <c r="A14" s="4" t="s">
        <v>32</v>
      </c>
      <c r="B14" s="35">
        <v>220828.11</v>
      </c>
      <c r="C14" s="31">
        <v>263139.82</v>
      </c>
      <c r="D14" s="39">
        <f t="shared" si="0"/>
        <v>241983.965</v>
      </c>
      <c r="E14" s="40">
        <f t="shared" si="1"/>
        <v>5.0968364201114447E-2</v>
      </c>
      <c r="G14" s="4" t="s">
        <v>32</v>
      </c>
      <c r="H14" s="17">
        <f t="shared" si="2"/>
        <v>305810.18520668667</v>
      </c>
    </row>
    <row r="15" spans="1:8" x14ac:dyDescent="0.25">
      <c r="A15" t="s">
        <v>47</v>
      </c>
      <c r="B15" s="23">
        <v>126533.39</v>
      </c>
      <c r="C15" s="31">
        <v>139163.47</v>
      </c>
      <c r="D15" s="39">
        <f t="shared" si="0"/>
        <v>132848.43</v>
      </c>
      <c r="E15" s="40">
        <f t="shared" si="1"/>
        <v>2.7981470440763535E-2</v>
      </c>
      <c r="G15" t="s">
        <v>47</v>
      </c>
      <c r="H15" s="17">
        <f t="shared" si="2"/>
        <v>167888.8226445812</v>
      </c>
    </row>
    <row r="16" spans="1:8" x14ac:dyDescent="0.25">
      <c r="A16" t="s">
        <v>48</v>
      </c>
      <c r="B16" s="23">
        <v>174336.17</v>
      </c>
      <c r="C16" s="31">
        <v>268385.46999999997</v>
      </c>
      <c r="D16" s="39">
        <f t="shared" si="0"/>
        <v>221360.82</v>
      </c>
      <c r="E16" s="40">
        <f t="shared" si="1"/>
        <v>4.6624572391056322E-2</v>
      </c>
      <c r="G16" t="s">
        <v>48</v>
      </c>
      <c r="H16" s="17">
        <f t="shared" si="2"/>
        <v>279747.43434633792</v>
      </c>
    </row>
    <row r="17" spans="1:9" x14ac:dyDescent="0.25">
      <c r="A17" t="s">
        <v>49</v>
      </c>
      <c r="B17" s="23">
        <v>113157.25</v>
      </c>
      <c r="C17" s="31">
        <v>150871.5</v>
      </c>
      <c r="D17" s="39">
        <f t="shared" si="0"/>
        <v>132014.375</v>
      </c>
      <c r="E17" s="40">
        <f t="shared" si="1"/>
        <v>2.78057959120659E-2</v>
      </c>
      <c r="G17" t="s">
        <v>49</v>
      </c>
      <c r="H17" s="17">
        <f t="shared" si="2"/>
        <v>166834.77547239538</v>
      </c>
    </row>
    <row r="18" spans="1:9" x14ac:dyDescent="0.25">
      <c r="A18" t="s">
        <v>50</v>
      </c>
      <c r="B18" s="23">
        <v>137376.89000000001</v>
      </c>
      <c r="C18" s="17">
        <v>166716</v>
      </c>
      <c r="D18" s="39">
        <f t="shared" si="0"/>
        <v>152046.44500000001</v>
      </c>
      <c r="E18" s="40">
        <f t="shared" si="1"/>
        <v>3.2025091349522757E-2</v>
      </c>
      <c r="G18" t="s">
        <v>50</v>
      </c>
      <c r="H18" s="17">
        <f t="shared" si="2"/>
        <v>192150.54809713655</v>
      </c>
    </row>
    <row r="19" spans="1:9" x14ac:dyDescent="0.25">
      <c r="A19" s="20" t="s">
        <v>51</v>
      </c>
      <c r="B19" s="37">
        <v>254077.24</v>
      </c>
      <c r="C19" s="21">
        <v>185934.29</v>
      </c>
      <c r="D19" s="39">
        <f t="shared" si="0"/>
        <v>220005.76500000001</v>
      </c>
      <c r="E19" s="40">
        <f t="shared" si="1"/>
        <v>4.633916117898472E-2</v>
      </c>
      <c r="G19" s="20" t="s">
        <v>51</v>
      </c>
      <c r="H19" s="17">
        <f t="shared" si="2"/>
        <v>278034.96707390831</v>
      </c>
    </row>
    <row r="20" spans="1:9" x14ac:dyDescent="0.25">
      <c r="A20" s="4" t="s">
        <v>52</v>
      </c>
      <c r="B20" s="35">
        <v>357712.18</v>
      </c>
      <c r="C20" s="21">
        <v>211649.67</v>
      </c>
      <c r="D20" s="39">
        <f t="shared" si="0"/>
        <v>284680.92499999999</v>
      </c>
      <c r="E20" s="40">
        <f t="shared" si="1"/>
        <v>5.9961498136912275E-2</v>
      </c>
      <c r="G20" s="4" t="s">
        <v>52</v>
      </c>
      <c r="H20" s="17">
        <f t="shared" si="2"/>
        <v>359768.98882147367</v>
      </c>
    </row>
    <row r="21" spans="1:9" x14ac:dyDescent="0.25">
      <c r="A21" s="4" t="s">
        <v>33</v>
      </c>
      <c r="B21" s="35">
        <v>235041.5</v>
      </c>
      <c r="C21" s="21">
        <v>254547.75</v>
      </c>
      <c r="D21" s="39">
        <f t="shared" si="0"/>
        <v>244794.625</v>
      </c>
      <c r="E21" s="40">
        <f t="shared" si="1"/>
        <v>5.1560365173267723E-2</v>
      </c>
      <c r="G21" s="4" t="s">
        <v>33</v>
      </c>
      <c r="H21" s="17">
        <f t="shared" si="2"/>
        <v>309362.19103960635</v>
      </c>
    </row>
    <row r="22" spans="1:9" x14ac:dyDescent="0.25">
      <c r="A22" s="4" t="s">
        <v>53</v>
      </c>
      <c r="B22" s="35">
        <v>89319.93</v>
      </c>
      <c r="C22" s="21">
        <v>78670.880000000005</v>
      </c>
      <c r="D22" s="39">
        <f t="shared" si="0"/>
        <v>83995.404999999999</v>
      </c>
      <c r="E22" s="40">
        <f t="shared" si="1"/>
        <v>1.7691702808738212E-2</v>
      </c>
      <c r="G22" s="4" t="s">
        <v>53</v>
      </c>
      <c r="H22" s="17">
        <f t="shared" si="2"/>
        <v>106150.21685242926</v>
      </c>
    </row>
    <row r="23" spans="1:9" x14ac:dyDescent="0.25">
      <c r="A23" s="4" t="s">
        <v>34</v>
      </c>
      <c r="B23" s="35">
        <v>197098.61</v>
      </c>
      <c r="C23" s="21">
        <v>204689.96</v>
      </c>
      <c r="D23" s="39">
        <f t="shared" si="0"/>
        <v>200894.28499999997</v>
      </c>
      <c r="E23" s="40">
        <f t="shared" si="1"/>
        <v>4.2313766880390118E-2</v>
      </c>
      <c r="G23" s="4" t="s">
        <v>34</v>
      </c>
      <c r="H23" s="17">
        <f t="shared" si="2"/>
        <v>253882.60128234071</v>
      </c>
    </row>
    <row r="24" spans="1:9" x14ac:dyDescent="0.25">
      <c r="A24" s="4" t="s">
        <v>54</v>
      </c>
      <c r="B24" s="35">
        <v>225750.62</v>
      </c>
      <c r="C24" s="21">
        <v>146247.32999999999</v>
      </c>
      <c r="D24" s="39">
        <f t="shared" si="0"/>
        <v>185998.97499999998</v>
      </c>
      <c r="E24" s="40">
        <f t="shared" si="1"/>
        <v>3.9176411952891094E-2</v>
      </c>
      <c r="G24" s="4" t="s">
        <v>54</v>
      </c>
      <c r="H24" s="17">
        <f t="shared" si="2"/>
        <v>235058.47171734658</v>
      </c>
    </row>
    <row r="25" spans="1:9" x14ac:dyDescent="0.25">
      <c r="A25" s="4" t="s">
        <v>55</v>
      </c>
      <c r="B25" s="35">
        <v>193932.79</v>
      </c>
      <c r="C25" s="21">
        <v>223650.26</v>
      </c>
      <c r="D25" s="39">
        <f t="shared" si="0"/>
        <v>208791.52500000002</v>
      </c>
      <c r="E25" s="40">
        <f t="shared" si="1"/>
        <v>4.3977139098064173E-2</v>
      </c>
      <c r="G25" s="4" t="s">
        <v>55</v>
      </c>
      <c r="H25" s="17">
        <f t="shared" si="2"/>
        <v>263862.83458838501</v>
      </c>
    </row>
    <row r="26" spans="1:9" x14ac:dyDescent="0.25">
      <c r="A26" s="4" t="s">
        <v>56</v>
      </c>
      <c r="B26" s="35">
        <v>134166.89000000001</v>
      </c>
      <c r="C26" s="21">
        <v>196625.92000000001</v>
      </c>
      <c r="D26" s="39">
        <f t="shared" si="0"/>
        <v>165396.40500000003</v>
      </c>
      <c r="E26" s="40">
        <f t="shared" si="1"/>
        <v>3.4836953794004602E-2</v>
      </c>
      <c r="G26" s="4" t="s">
        <v>56</v>
      </c>
      <c r="H26" s="17">
        <f t="shared" si="2"/>
        <v>209021.72276402763</v>
      </c>
    </row>
    <row r="27" spans="1:9" x14ac:dyDescent="0.25">
      <c r="A27" s="30" t="s">
        <v>57</v>
      </c>
      <c r="B27" s="38">
        <v>33263.919999999998</v>
      </c>
      <c r="C27" s="21">
        <v>44737.64</v>
      </c>
      <c r="D27" s="39">
        <f t="shared" si="0"/>
        <v>39000.78</v>
      </c>
      <c r="E27" s="40">
        <f t="shared" si="1"/>
        <v>8.2146185147744816E-3</v>
      </c>
      <c r="G27" s="30" t="s">
        <v>57</v>
      </c>
      <c r="H27" s="17">
        <f t="shared" si="2"/>
        <v>49287.711088646887</v>
      </c>
    </row>
    <row r="28" spans="1:9" x14ac:dyDescent="0.25">
      <c r="B28" s="23"/>
      <c r="C28" s="8"/>
      <c r="D28" s="39"/>
      <c r="E28" s="40">
        <f t="shared" si="1"/>
        <v>0</v>
      </c>
      <c r="G28" s="30" t="s">
        <v>60</v>
      </c>
      <c r="H28" s="17">
        <f t="shared" si="2"/>
        <v>0</v>
      </c>
      <c r="I28" s="32">
        <f>SUM(H2:H27)</f>
        <v>6000000</v>
      </c>
    </row>
    <row r="29" spans="1:9" x14ac:dyDescent="0.25">
      <c r="D29" s="8">
        <f>SUM(D2:D28)</f>
        <v>4747728.6900000004</v>
      </c>
      <c r="E29" s="40">
        <f>SUM(E2:E28)</f>
        <v>1.0000000000000002</v>
      </c>
      <c r="H29" s="17">
        <f t="shared" ref="H29" si="3">+E29*6000000</f>
        <v>6000000.0000000009</v>
      </c>
    </row>
    <row r="31" spans="1:9" x14ac:dyDescent="0.25">
      <c r="F31">
        <v>6000000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43B-7218-45DB-BCA4-85806F2729DE}">
  <dimension ref="A1:C28"/>
  <sheetViews>
    <sheetView workbookViewId="0">
      <selection activeCell="B2" sqref="B2"/>
    </sheetView>
  </sheetViews>
  <sheetFormatPr defaultRowHeight="15" x14ac:dyDescent="0.25"/>
  <cols>
    <col min="1" max="1" width="14" bestFit="1" customWidth="1"/>
    <col min="2" max="2" width="15.85546875" bestFit="1" customWidth="1"/>
    <col min="3" max="3" width="11.7109375" bestFit="1" customWidth="1"/>
  </cols>
  <sheetData>
    <row r="1" spans="1:3" x14ac:dyDescent="0.25">
      <c r="A1" s="33" t="s">
        <v>58</v>
      </c>
      <c r="B1" t="s">
        <v>62</v>
      </c>
    </row>
    <row r="2" spans="1:3" x14ac:dyDescent="0.25">
      <c r="A2" s="4" t="s">
        <v>35</v>
      </c>
      <c r="B2" s="13">
        <v>409020.28</v>
      </c>
    </row>
    <row r="3" spans="1:3" x14ac:dyDescent="0.25">
      <c r="A3" s="4" t="s">
        <v>36</v>
      </c>
      <c r="B3" s="13">
        <v>93468.21</v>
      </c>
      <c r="C3" s="8"/>
    </row>
    <row r="4" spans="1:3" x14ac:dyDescent="0.25">
      <c r="A4" s="4" t="s">
        <v>37</v>
      </c>
      <c r="B4" s="13">
        <v>68443.94</v>
      </c>
    </row>
    <row r="5" spans="1:3" x14ac:dyDescent="0.25">
      <c r="A5" s="15" t="s">
        <v>38</v>
      </c>
      <c r="B5" s="13">
        <v>274170.09000000003</v>
      </c>
    </row>
    <row r="6" spans="1:3" x14ac:dyDescent="0.25">
      <c r="A6" s="4" t="s">
        <v>39</v>
      </c>
      <c r="B6" s="13">
        <v>213670.02</v>
      </c>
    </row>
    <row r="7" spans="1:3" x14ac:dyDescent="0.25">
      <c r="A7" s="4" t="s">
        <v>40</v>
      </c>
      <c r="B7" s="13">
        <v>406950.16</v>
      </c>
    </row>
    <row r="8" spans="1:3" x14ac:dyDescent="0.25">
      <c r="A8" s="4" t="s">
        <v>41</v>
      </c>
      <c r="B8" s="13">
        <v>427264.27</v>
      </c>
    </row>
    <row r="9" spans="1:3" x14ac:dyDescent="0.25">
      <c r="A9" s="4" t="s">
        <v>42</v>
      </c>
      <c r="B9" s="13">
        <v>126634.43</v>
      </c>
    </row>
    <row r="10" spans="1:3" x14ac:dyDescent="0.25">
      <c r="A10" s="4" t="s">
        <v>63</v>
      </c>
      <c r="B10" s="13">
        <v>236410.11</v>
      </c>
    </row>
    <row r="11" spans="1:3" x14ac:dyDescent="0.25">
      <c r="A11" s="4" t="s">
        <v>44</v>
      </c>
      <c r="B11" s="13">
        <v>262741.15000000002</v>
      </c>
    </row>
    <row r="12" spans="1:3" x14ac:dyDescent="0.25">
      <c r="A12" s="4" t="s">
        <v>45</v>
      </c>
      <c r="B12" s="13">
        <v>245752.23</v>
      </c>
    </row>
    <row r="13" spans="1:3" x14ac:dyDescent="0.25">
      <c r="A13" s="4" t="s">
        <v>46</v>
      </c>
      <c r="B13" s="13">
        <v>61149.25</v>
      </c>
      <c r="C13" s="8"/>
    </row>
    <row r="14" spans="1:3" x14ac:dyDescent="0.25">
      <c r="A14" s="4" t="s">
        <v>32</v>
      </c>
      <c r="B14" s="13">
        <v>313310.19</v>
      </c>
    </row>
    <row r="15" spans="1:3" x14ac:dyDescent="0.25">
      <c r="A15" t="s">
        <v>47</v>
      </c>
      <c r="B15" s="16">
        <v>167888.82</v>
      </c>
    </row>
    <row r="16" spans="1:3" x14ac:dyDescent="0.25">
      <c r="A16" t="s">
        <v>48</v>
      </c>
      <c r="B16" s="16">
        <v>279747.43</v>
      </c>
    </row>
    <row r="17" spans="1:2" x14ac:dyDescent="0.25">
      <c r="A17" t="s">
        <v>49</v>
      </c>
      <c r="B17" s="16">
        <v>166834.78</v>
      </c>
    </row>
    <row r="18" spans="1:2" x14ac:dyDescent="0.25">
      <c r="A18" t="s">
        <v>50</v>
      </c>
      <c r="B18" s="16">
        <v>199650.55</v>
      </c>
    </row>
    <row r="19" spans="1:2" x14ac:dyDescent="0.25">
      <c r="A19" s="20" t="s">
        <v>51</v>
      </c>
      <c r="B19" s="8">
        <v>278034.96999999997</v>
      </c>
    </row>
    <row r="20" spans="1:2" x14ac:dyDescent="0.25">
      <c r="A20" s="4" t="s">
        <v>52</v>
      </c>
      <c r="B20" s="8">
        <v>359768.99</v>
      </c>
    </row>
    <row r="21" spans="1:2" x14ac:dyDescent="0.25">
      <c r="A21" s="4" t="s">
        <v>33</v>
      </c>
      <c r="B21" s="8">
        <v>309362.19</v>
      </c>
    </row>
    <row r="22" spans="1:2" x14ac:dyDescent="0.25">
      <c r="A22" s="4" t="s">
        <v>53</v>
      </c>
      <c r="B22" s="8">
        <v>106150.22</v>
      </c>
    </row>
    <row r="23" spans="1:2" x14ac:dyDescent="0.25">
      <c r="A23" s="4" t="s">
        <v>34</v>
      </c>
      <c r="B23" s="8">
        <v>253882.6</v>
      </c>
    </row>
    <row r="24" spans="1:2" x14ac:dyDescent="0.25">
      <c r="A24" s="4" t="s">
        <v>54</v>
      </c>
      <c r="B24" s="8">
        <v>235058.47</v>
      </c>
    </row>
    <row r="25" spans="1:2" x14ac:dyDescent="0.25">
      <c r="A25" s="4" t="s">
        <v>55</v>
      </c>
      <c r="B25" s="8">
        <v>263862.83</v>
      </c>
    </row>
    <row r="26" spans="1:2" x14ac:dyDescent="0.25">
      <c r="A26" s="4" t="s">
        <v>56</v>
      </c>
      <c r="B26" s="8">
        <v>209021.72</v>
      </c>
    </row>
    <row r="27" spans="1:2" x14ac:dyDescent="0.25">
      <c r="A27" s="30" t="s">
        <v>57</v>
      </c>
      <c r="B27" s="8">
        <v>51752.1</v>
      </c>
    </row>
    <row r="28" spans="1:2" x14ac:dyDescent="0.25">
      <c r="B28" s="17">
        <v>6010633.4000000004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Teste</vt:lpstr>
      <vt:lpstr>Planilha3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Lobo</dc:creator>
  <cp:lastModifiedBy>Marcos Lobo</cp:lastModifiedBy>
  <dcterms:created xsi:type="dcterms:W3CDTF">2024-07-26T14:34:20Z</dcterms:created>
  <dcterms:modified xsi:type="dcterms:W3CDTF">2025-01-06T18:22:32Z</dcterms:modified>
</cp:coreProperties>
</file>