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uggles/MEM/"/>
    </mc:Choice>
  </mc:AlternateContent>
  <xr:revisionPtr revIDLastSave="0" documentId="8_{BD02C4C8-AA50-0744-B5A9-1C35CB57E440}" xr6:coauthVersionLast="47" xr6:coauthVersionMax="47" xr10:uidLastSave="{00000000-0000-0000-0000-000000000000}"/>
  <bookViews>
    <workbookView xWindow="0" yWindow="1260" windowWidth="28800" windowHeight="16740" xr2:uid="{9402D557-0539-F249-9981-FEF30EBBF85E}"/>
  </bookViews>
  <sheets>
    <sheet name="Sheet1" sheetId="1" r:id="rId1"/>
  </sheets>
  <externalReferences>
    <externalReference r:id="rId2"/>
  </externalReferences>
  <definedNames>
    <definedName name="BTU_PER_KWH">Sheet1!$E$7</definedName>
    <definedName name="DISCOUNT_RATE">Sheet1!$B$7</definedName>
    <definedName name="HOURS_PER_YEAR">Sheet1!$B$8</definedName>
    <definedName name="MWh_per_MMBtu">Sheet1!$B$45</definedName>
    <definedName name="TB2CostFactor">[1]Scenario!$R$7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9" i="1" l="1"/>
  <c r="J23" i="1"/>
  <c r="J26" i="1"/>
  <c r="J31" i="1" s="1"/>
  <c r="J32" i="1" s="1"/>
  <c r="J29" i="1"/>
  <c r="D21" i="1"/>
  <c r="D23" i="1" l="1"/>
  <c r="C23" i="1"/>
  <c r="G29" i="1" l="1"/>
  <c r="H29" i="1"/>
  <c r="K26" i="1"/>
  <c r="I26" i="1"/>
  <c r="K23" i="1"/>
  <c r="K31" i="1" l="1"/>
  <c r="K32" i="1" s="1"/>
  <c r="B23" i="1"/>
  <c r="B51" i="1" l="1"/>
  <c r="B52" i="1" s="1"/>
  <c r="B4" i="1" l="1"/>
  <c r="B37" i="1" l="1"/>
  <c r="G32" i="1" l="1"/>
  <c r="H32" i="1"/>
  <c r="I33" i="1"/>
  <c r="I35" i="1" s="1"/>
  <c r="I46" i="1" s="1"/>
  <c r="G30" i="1"/>
  <c r="H30" i="1"/>
  <c r="G26" i="1"/>
  <c r="H26" i="1"/>
  <c r="G24" i="1"/>
  <c r="H24" i="1"/>
  <c r="I21" i="1"/>
  <c r="I23" i="1" s="1"/>
  <c r="I24" i="1" l="1"/>
  <c r="I31" i="1" s="1"/>
  <c r="I32" i="1" s="1"/>
  <c r="I42" i="1" s="1"/>
  <c r="F29" i="1"/>
  <c r="F30" i="1" s="1"/>
  <c r="F26" i="1" l="1"/>
  <c r="F23" i="1"/>
  <c r="F24" i="1" s="1"/>
  <c r="E29" i="1"/>
  <c r="E30" i="1" s="1"/>
  <c r="F31" i="1" l="1"/>
  <c r="F32" i="1" s="1"/>
  <c r="F42" i="1" s="1"/>
  <c r="B29" i="1"/>
  <c r="B30" i="1" s="1"/>
  <c r="D26" i="1" l="1"/>
  <c r="E26" i="1"/>
  <c r="C26" i="1"/>
  <c r="C24" i="1"/>
  <c r="D24" i="1"/>
  <c r="B24" i="1"/>
  <c r="E23" i="1"/>
  <c r="E24" i="1" s="1"/>
  <c r="E31" i="1" s="1"/>
  <c r="B31" i="1" l="1"/>
  <c r="B32" i="1" s="1"/>
  <c r="E32" i="1"/>
  <c r="E42" i="1" s="1"/>
  <c r="B42" i="1" l="1"/>
  <c r="B44" i="1" s="1"/>
  <c r="B5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tc={DE50DB0E-2E3E-9945-AF14-6B1F1F2A11E6}</author>
    <author>tc={D5DC55C9-FDB8-1E43-ACD5-EF254C9DC90B}</author>
    <author>tc={6F7AFC74-64B0-684B-9068-3472420B9F65}</author>
    <author>tc={4253FBAF-652E-3C47-83D9-7D28123BD81F}</author>
    <author>tc={A28701FE-79CA-A34B-A43D-18A56DB19583}</author>
  </authors>
  <commentList>
    <comment ref="C21" authorId="0" shapeId="0" xr:uid="{DE50DB0E-2E3E-9945-AF14-6B1F1F2A11E6}">
      <text>
        <t>[Threaded comment]
Your version of Excel allows you to read this threaded comment; however, any edits to it will get removed if the file is opened in a newer version of Excel. Learn more: https://go.microsoft.com/fwlink/?linkid=870924
Comment:
    Tab “Capital Costs” cell F16</t>
      </text>
    </comment>
    <comment ref="D21" authorId="1" shapeId="0" xr:uid="{D5DC55C9-FDB8-1E43-ACD5-EF254C9DC90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capital cost from tab “Input_Sheet_Template” cell C86 less stack cost</t>
      </text>
    </comment>
    <comment ref="C25" authorId="2" shapeId="0" xr:uid="{6F7AFC74-64B0-684B-9068-3472420B9F65}">
      <text>
        <t>[Threaded comment]
Your version of Excel allows you to read this threaded comment; however, any edits to it will get removed if the file is opened in a newer version of Excel. Learn more: https://go.microsoft.com/fwlink/?linkid=870924
Comment:
    7 year lifetime from “Replacement Costs” tab</t>
      </text>
    </comment>
    <comment ref="D25" authorId="3" shapeId="0" xr:uid="{4253FBAF-652E-3C47-83D9-7D28123BD81F}">
      <text>
        <t>[Threaded comment]
Your version of Excel allows you to read this threaded comment; however, any edits to it will get removed if the file is opened in a newer version of Excel. Learn more: https://go.microsoft.com/fwlink/?linkid=870924
Comment:
    7 year lifetime from “Replacement Costs” tab</t>
      </text>
    </comment>
    <comment ref="B27" authorId="4" shapeId="0" xr:uid="{A28701FE-79CA-A34B-A43D-18A56DB19583}">
      <text>
        <t>[Threaded comment]
Your version of Excel allows you to read this threaded comment; however, any edits to it will get removed if the file is opened in a newer version of Excel. Learn more: https://go.microsoft.com/fwlink/?linkid=870924
Comment:
    Tab “Input_Sheet_Template” cell E122</t>
      </text>
    </comment>
  </commentList>
</comments>
</file>

<file path=xl/sharedStrings.xml><?xml version="1.0" encoding="utf-8"?>
<sst xmlns="http://schemas.openxmlformats.org/spreadsheetml/2006/main" count="92" uniqueCount="84">
  <si>
    <t>ACC</t>
  </si>
  <si>
    <t>Discount Rate</t>
  </si>
  <si>
    <t>FHC</t>
  </si>
  <si>
    <t>Hours per year</t>
  </si>
  <si>
    <t>Btu / kWh</t>
  </si>
  <si>
    <t>Notes</t>
  </si>
  <si>
    <t>Electrofuel System</t>
  </si>
  <si>
    <t>Electrolyzer plant</t>
  </si>
  <si>
    <t>stack</t>
  </si>
  <si>
    <t>BoP</t>
  </si>
  <si>
    <t>Compressor</t>
  </si>
  <si>
    <t>Capacity (kg/day)</t>
  </si>
  <si>
    <t>Installed Cost ($)</t>
  </si>
  <si>
    <t>Cost year</t>
  </si>
  <si>
    <t>USD2005_to_USD2019</t>
  </si>
  <si>
    <t>USD2010_to_USD2019</t>
  </si>
  <si>
    <t>USD2015_to_USD2019</t>
  </si>
  <si>
    <t>USD2016_to_USD2019</t>
  </si>
  <si>
    <t>https://www.usinflationcalculator.com/ 3 June 2020 (2019 values didn't change compared to 3 Feb 2020 values for 2020)</t>
  </si>
  <si>
    <t>Installed Cost ($2019)</t>
  </si>
  <si>
    <t>lifetime</t>
  </si>
  <si>
    <t>Capital recovery factor (% per year)</t>
  </si>
  <si>
    <t>USD2012_to_USD2019</t>
  </si>
  <si>
    <t>Fixed O&amp;M</t>
  </si>
  <si>
    <t>year</t>
  </si>
  <si>
    <t>Fixed O&amp;M ($2019)</t>
  </si>
  <si>
    <t>cost ($/(kg/hr))</t>
  </si>
  <si>
    <t>Fixed O&amp;M ($/(kg/hr))</t>
  </si>
  <si>
    <t>Comp: H2A spreadsheet tab "Gaseous H2 Geologic Storage" cell C182</t>
  </si>
  <si>
    <t>Comp: H2A spreadsheet tab "Gaseous H2 Geologic Storage" cell B160</t>
  </si>
  <si>
    <t>Cavern</t>
  </si>
  <si>
    <t>cavern in usable kg H2</t>
  </si>
  <si>
    <t>Cell E19 in H2A PEM spreadsheet (Input_Sheet_Template tab), Comp: H2A spreadsheet tab "Gaseous H2 Geologic Storage" cell B257 costs, cavern B256</t>
  </si>
  <si>
    <t>Chem Plant</t>
  </si>
  <si>
    <t>Chem Plant SF</t>
  </si>
  <si>
    <t>chem plant in kg EF/hr</t>
  </si>
  <si>
    <t>Variable cost ($/kg EF)</t>
  </si>
  <si>
    <t>var cost</t>
  </si>
  <si>
    <t>cost year</t>
  </si>
  <si>
    <t>6.83 $/kg EF for nominal case + components in Fig 4 panel b</t>
  </si>
  <si>
    <t>in $/kW ($/kWh)</t>
  </si>
  <si>
    <t>kWh_LHV_per_kg_H2</t>
  </si>
  <si>
    <t>Elec+Comp</t>
  </si>
  <si>
    <t>kWh_to_GGE</t>
  </si>
  <si>
    <t>kWh_LHV_LiquidHydrocatbons_to_kg</t>
  </si>
  <si>
    <t>var cost EF ($/kWh)</t>
  </si>
  <si>
    <t xml:space="preserve"> 690,000 MW output or 56,300 t/h of LH</t>
  </si>
  <si>
    <t>Var Cost</t>
  </si>
  <si>
    <t>Green cells indicate those that align exactly with the values used in SEM / MEM</t>
  </si>
  <si>
    <t>MWh/MMBtu</t>
  </si>
  <si>
    <t>https://www.eia.gov/totalenergy/data/monthly/pdf/sec13_18.pdf</t>
  </si>
  <si>
    <t>References</t>
  </si>
  <si>
    <t>Efficiencies</t>
  </si>
  <si>
    <t>The above value is in ($/hr)/(kg/hr) H2 output</t>
  </si>
  <si>
    <t>To convert to ($/h)/kW_electric input we need the efficiencies</t>
  </si>
  <si>
    <t>(kWh_e/kg_H2)</t>
  </si>
  <si>
    <t>Percent eff</t>
  </si>
  <si>
    <t>NREL H2A model: https://www.nrel.gov/hydrogen/h2a-production-models.html, "Central Electrolysis", "Current Central Hydrogen Production from Polymer Electrolyte Membrane (PEM) Electrolysis (2019) version 3.2018" = https://www.nrel.gov/hydrogen/assets/docs/current-central-pem-electrolysis-2019-v3-2018.xlsm</t>
  </si>
  <si>
    <t>Electrolyzer stack and balance of plant (BoP)</t>
  </si>
  <si>
    <t>compressor</t>
  </si>
  <si>
    <t>Chem plant</t>
  </si>
  <si>
    <t>Daniel H. König, Marcel Freiberg, Ralph-Uwe Dietrich, and Antje
Wörner. Techno-economic study of the storage of fluctuating renewable
energy in liquid hydrocarbons. Fuel, 159:289 – 297, 2015.</t>
  </si>
  <si>
    <t>See LDS supp for exact locations of values</t>
  </si>
  <si>
    <t>Component</t>
  </si>
  <si>
    <t>Details</t>
  </si>
  <si>
    <t>NREL HDSAM: https://hdsam.es.anl.gov/index.php?content=hdsam, you need to register (free) to access the model</t>
  </si>
  <si>
    <t>Fuel cell (CHP, MCFC)</t>
  </si>
  <si>
    <t>USD2014_to_USD2019</t>
  </si>
  <si>
    <t>NREL. We do fuel cells in terms of kWh_electricity_output not kg.</t>
  </si>
  <si>
    <t>The above value is in ($/h)/kW_elec input and should NOT be used in MEM. Value for reference only.</t>
  </si>
  <si>
    <r>
      <t>The above value is in ($/h)/kWh_LHV H2 output. This is based on the</t>
    </r>
    <r>
      <rPr>
        <b/>
        <sz val="12"/>
        <color theme="1"/>
        <rFont val="Calibri"/>
        <family val="2"/>
        <scheme val="minor"/>
      </rPr>
      <t xml:space="preserve"> actual stored quantity of H2</t>
    </r>
    <r>
      <rPr>
        <sz val="12"/>
        <color theme="1"/>
        <rFont val="Calibri"/>
        <family val="2"/>
        <scheme val="minor"/>
      </rPr>
      <t xml:space="preserve"> and should be used in MEM.</t>
    </r>
  </si>
  <si>
    <t>The above value is in ($/h)/kW_elec output and should be used in MEM. This is based on the power coming out of the system.</t>
  </si>
  <si>
    <t>See the yellow cells to check the units of the costs, some are ($/h)/kW_elec input, others are ($/h)/kg H2 output…, fuel cell is in terms of  ($/h)/kW_elec_output</t>
  </si>
  <si>
    <t>The above value is in ($/h)/kW_LHV H2 output and should be used in MEM.</t>
  </si>
  <si>
    <t>See Tyler's flexible load supp for exact locations of values</t>
  </si>
  <si>
    <t>See comments in emedded in the cells</t>
  </si>
  <si>
    <t>-</t>
  </si>
  <si>
    <t>PEM Fuel cell</t>
  </si>
  <si>
    <t>MCFC Fuel cell</t>
  </si>
  <si>
    <t>https://www.energy.gov/eere/fuelcells/downloads/manufacturing-cost-analysis-100-and-250-kw-fuel-cell-systems-primary-power</t>
  </si>
  <si>
    <t>FCTO large</t>
  </si>
  <si>
    <t>Fuel cell (PEM)</t>
  </si>
  <si>
    <t>Use this as the default fuel cell.</t>
  </si>
  <si>
    <t>PEM fuel cell cost is in terms of kWnet.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</si>
</sst>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000_);[Red]\(&quot;$&quot;#,##0.00000\)"/>
    <numFmt numFmtId="165" formatCode="_(* #,##0_);_(* \(#,##0\);_(* &quot;-&quot;??_);_(@_)"/>
    <numFmt numFmtId="166" formatCode="&quot;$&quot;#,##0.000000_);[Red]\(&quot;$&quot;#,##0.000000\)"/>
    <numFmt numFmtId="167" formatCode="_(&quot;$&quot;* #,##0.000_);_(&quot;$&quot;* \(#,##0.000\);_(&quot;$&quot;* &quot;-&quot;??_);_(@_)"/>
    <numFmt numFmtId="168" formatCode="_(&quot;$&quot;* #,##0_);_(&quot;$&quot;* \(#,##0\);_(&quot;$&quot;* &quot;-&quot;??_);_(@_)"/>
    <numFmt numFmtId="169" formatCode="_(&quot;$&quot;* #,##0.0000000_);_(&quot;$&quot;* \(#,##0.0000000\);_(&quot;$&quot;* &quot;-&quot;??_);_(@_)"/>
    <numFmt numFmtId="170" formatCode="&quot;$&quot;#,##0.0000000_);[Red]\(&quot;$&quot;#,##0.0000000\)"/>
    <numFmt numFmtId="171" formatCode="&quot;$&quot;#,##0.00000000_);[Red]\(&quot;$&quot;#,##0.00000000\)"/>
    <numFmt numFmtId="172" formatCode="&quot;$&quot;#,##0.000000000_);[Red]\(&quot;$&quot;#,##0.000000000\)"/>
    <numFmt numFmtId="173" formatCode="_(&quot;$&quot;* #,##0.00000000_);_(&quot;$&quot;* \(#,##0.00000000\);_(&quot;$&quot;* &quot;-&quot;??_);_(@_)"/>
    <numFmt numFmtId="174" formatCode="0.000"/>
    <numFmt numFmtId="175" formatCode="&quot;$&quot;#,##0.0000_);[Red]\(&quot;$&quot;#,##0.0000\)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rgb="FF0563C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/>
    <xf numFmtId="0" fontId="4" fillId="0" borderId="0" xfId="0" applyFont="1" applyAlignment="1"/>
    <xf numFmtId="6" fontId="5" fillId="0" borderId="0" xfId="0" applyNumberFormat="1" applyFont="1"/>
    <xf numFmtId="8" fontId="5" fillId="0" borderId="0" xfId="0" applyNumberFormat="1" applyFont="1"/>
    <xf numFmtId="0" fontId="2" fillId="0" borderId="0" xfId="1" applyAlignment="1"/>
    <xf numFmtId="8" fontId="0" fillId="0" borderId="0" xfId="0" applyNumberFormat="1" applyAlignment="1">
      <alignment wrapText="1"/>
    </xf>
    <xf numFmtId="10" fontId="0" fillId="0" borderId="0" xfId="4" applyNumberFormat="1" applyFont="1" applyAlignment="1">
      <alignment wrapText="1"/>
    </xf>
    <xf numFmtId="44" fontId="0" fillId="0" borderId="0" xfId="3" applyFont="1" applyAlignment="1">
      <alignment wrapText="1"/>
    </xf>
    <xf numFmtId="165" fontId="5" fillId="0" borderId="0" xfId="2" applyNumberFormat="1" applyFont="1"/>
    <xf numFmtId="165" fontId="0" fillId="0" borderId="0" xfId="2" applyNumberFormat="1" applyFont="1" applyAlignment="1">
      <alignment wrapText="1"/>
    </xf>
    <xf numFmtId="43" fontId="0" fillId="0" borderId="0" xfId="0" applyNumberFormat="1" applyAlignment="1">
      <alignment wrapText="1"/>
    </xf>
    <xf numFmtId="44" fontId="0" fillId="0" borderId="0" xfId="0" applyNumberFormat="1" applyAlignment="1">
      <alignment wrapText="1"/>
    </xf>
    <xf numFmtId="166" fontId="0" fillId="0" borderId="0" xfId="0" applyNumberFormat="1" applyAlignment="1">
      <alignment wrapText="1"/>
    </xf>
    <xf numFmtId="167" fontId="0" fillId="0" borderId="0" xfId="3" applyNumberFormat="1" applyFont="1" applyAlignment="1">
      <alignment wrapText="1"/>
    </xf>
    <xf numFmtId="168" fontId="0" fillId="0" borderId="0" xfId="3" applyNumberFormat="1" applyFont="1" applyAlignment="1">
      <alignment wrapText="1"/>
    </xf>
    <xf numFmtId="168" fontId="0" fillId="0" borderId="0" xfId="0" applyNumberFormat="1" applyAlignment="1">
      <alignment wrapText="1"/>
    </xf>
    <xf numFmtId="169" fontId="0" fillId="0" borderId="0" xfId="3" applyNumberFormat="1" applyFont="1" applyAlignment="1">
      <alignment wrapText="1"/>
    </xf>
    <xf numFmtId="0" fontId="0" fillId="0" borderId="0" xfId="0" applyFill="1" applyAlignment="1">
      <alignment wrapText="1"/>
    </xf>
    <xf numFmtId="0" fontId="0" fillId="3" borderId="0" xfId="0" applyFill="1" applyAlignment="1">
      <alignment wrapText="1"/>
    </xf>
    <xf numFmtId="164" fontId="0" fillId="3" borderId="0" xfId="0" applyNumberFormat="1" applyFill="1" applyAlignment="1">
      <alignment wrapText="1"/>
    </xf>
    <xf numFmtId="166" fontId="0" fillId="3" borderId="0" xfId="0" applyNumberFormat="1" applyFill="1" applyAlignment="1">
      <alignment wrapText="1"/>
    </xf>
    <xf numFmtId="167" fontId="0" fillId="3" borderId="0" xfId="3" applyNumberFormat="1" applyFont="1" applyFill="1" applyAlignment="1">
      <alignment wrapText="1"/>
    </xf>
    <xf numFmtId="170" fontId="0" fillId="3" borderId="0" xfId="0" applyNumberFormat="1" applyFill="1" applyAlignment="1">
      <alignment wrapText="1"/>
    </xf>
    <xf numFmtId="172" fontId="0" fillId="3" borderId="0" xfId="0" applyNumberFormat="1" applyFill="1" applyAlignment="1">
      <alignment wrapText="1"/>
    </xf>
    <xf numFmtId="171" fontId="0" fillId="3" borderId="0" xfId="0" applyNumberFormat="1" applyFill="1" applyAlignment="1">
      <alignment wrapText="1"/>
    </xf>
    <xf numFmtId="173" fontId="0" fillId="3" borderId="0" xfId="0" applyNumberFormat="1" applyFill="1" applyAlignment="1">
      <alignment wrapText="1"/>
    </xf>
    <xf numFmtId="0" fontId="0" fillId="3" borderId="0" xfId="0" applyFont="1" applyFill="1" applyAlignment="1"/>
    <xf numFmtId="0" fontId="0" fillId="0" borderId="0" xfId="0" applyFont="1" applyFill="1" applyAlignment="1"/>
    <xf numFmtId="0" fontId="0" fillId="2" borderId="0" xfId="0" applyFill="1" applyAlignment="1">
      <alignment horizontal="left"/>
    </xf>
    <xf numFmtId="174" fontId="0" fillId="2" borderId="0" xfId="0" applyNumberFormat="1" applyFill="1" applyAlignment="1">
      <alignment horizontal="right"/>
    </xf>
    <xf numFmtId="0" fontId="6" fillId="0" borderId="0" xfId="0" applyFont="1" applyAlignment="1">
      <alignment horizontal="left"/>
    </xf>
    <xf numFmtId="175" fontId="0" fillId="3" borderId="0" xfId="0" applyNumberFormat="1" applyFill="1" applyAlignment="1">
      <alignment wrapText="1"/>
    </xf>
    <xf numFmtId="0" fontId="0" fillId="4" borderId="0" xfId="0" applyFill="1" applyAlignment="1">
      <alignment wrapText="1"/>
    </xf>
    <xf numFmtId="0" fontId="1" fillId="0" borderId="0" xfId="0" applyFont="1" applyAlignment="1"/>
    <xf numFmtId="0" fontId="0" fillId="4" borderId="0" xfId="0" applyFill="1" applyAlignment="1"/>
    <xf numFmtId="0" fontId="0" fillId="5" borderId="0" xfId="0" applyFill="1" applyAlignment="1">
      <alignment wrapText="1"/>
    </xf>
    <xf numFmtId="167" fontId="0" fillId="0" borderId="0" xfId="3" applyNumberFormat="1" applyFont="1" applyFill="1" applyAlignment="1">
      <alignment wrapText="1"/>
    </xf>
    <xf numFmtId="171" fontId="0" fillId="0" borderId="0" xfId="0" applyNumberFormat="1" applyFill="1" applyAlignment="1">
      <alignment wrapText="1"/>
    </xf>
    <xf numFmtId="173" fontId="0" fillId="0" borderId="0" xfId="0" applyNumberFormat="1" applyFill="1" applyAlignment="1">
      <alignment wrapText="1"/>
    </xf>
    <xf numFmtId="9" fontId="0" fillId="0" borderId="0" xfId="4" applyFont="1" applyAlignment="1">
      <alignment wrapText="1"/>
    </xf>
    <xf numFmtId="0" fontId="5" fillId="0" borderId="0" xfId="0" applyFont="1"/>
    <xf numFmtId="175" fontId="0" fillId="0" borderId="0" xfId="0" applyNumberFormat="1" applyFill="1" applyAlignment="1">
      <alignment wrapText="1"/>
    </xf>
    <xf numFmtId="0" fontId="0" fillId="0" borderId="0" xfId="0" applyFill="1"/>
  </cellXfs>
  <cellStyles count="5">
    <cellStyle name="Comma" xfId="2" builtinId="3"/>
    <cellStyle name="Currency" xfId="3" builtinId="4"/>
    <cellStyle name="Hyperlink" xfId="1" builtinId="8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uggles/IDrive-Sync/Carnegie_References/Fuels/H2A_NREL_Hydrogen_Delivery_Scenario_Analysis_Model_(HDSAM)_V3.1%20(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COPYRIGHT"/>
      <sheetName val="Scenario"/>
      <sheetName val="Results Summary"/>
      <sheetName val="Energy and GHG Results"/>
      <sheetName val="Cash Flow Results"/>
      <sheetName val="Refueling Station - Gaseous H2"/>
      <sheetName val="Refueling Station - Liquid H2"/>
      <sheetName val="Compressed Gas H2 Terminal"/>
      <sheetName val="Compressed H2 Truck"/>
      <sheetName val="H2 Liquefier"/>
      <sheetName val="Liquid H2 Terminal"/>
      <sheetName val="Truck - LH2 Delivery"/>
      <sheetName val="H2 Compressor"/>
      <sheetName val="Gaseous H2 Geologic Storage"/>
      <sheetName val="H2 Pipeline"/>
      <sheetName val="Scenario Parameters"/>
      <sheetName val="Feedstock &amp; Utility Prices"/>
      <sheetName val="Financial Inputs"/>
      <sheetName val="MACRS_Depr. Table"/>
      <sheetName val="Physical Property Data"/>
      <sheetName val="GREET Data"/>
      <sheetName val="Cost Data"/>
      <sheetName val="Design Data"/>
      <sheetName val="Population"/>
    </sheetNames>
    <sheetDataSet>
      <sheetData sheetId="0" refreshError="1"/>
      <sheetData sheetId="1" refreshError="1"/>
      <sheetData sheetId="2">
        <row r="7">
          <cell r="R7">
            <v>0.55176806294656444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Tyler Ruggles" id="{33560A99-540A-DC43-BC5F-AE7DCBB6AB05}" userId="S::truggles@carnegiescience.edu::8d0a58b2-7e1b-4973-9529-b67f64d7ded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1" dT="2022-03-31T00:43:28.93" personId="{33560A99-540A-DC43-BC5F-AE7DCBB6AB05}" id="{DE50DB0E-2E3E-9945-AF14-6B1F1F2A11E6}">
    <text>Tab “Capital Costs” cell F16</text>
  </threadedComment>
  <threadedComment ref="D21" dT="2022-03-31T00:46:22.80" personId="{33560A99-540A-DC43-BC5F-AE7DCBB6AB05}" id="{D5DC55C9-FDB8-1E43-ACD5-EF254C9DC90B}">
    <text>Total capital cost from tab “Input_Sheet_Template” cell C86 less stack cost</text>
  </threadedComment>
  <threadedComment ref="C25" dT="2022-03-31T00:53:26.44" personId="{33560A99-540A-DC43-BC5F-AE7DCBB6AB05}" id="{6F7AFC74-64B0-684B-9068-3472420B9F65}">
    <text>7 year lifetime from “Replacement Costs” tab</text>
  </threadedComment>
  <threadedComment ref="D25" dT="2022-03-31T00:53:49.34" personId="{33560A99-540A-DC43-BC5F-AE7DCBB6AB05}" id="{4253FBAF-652E-3C47-83D9-7D28123BD81F}">
    <text>7 year lifetime from “Replacement Costs” tab</text>
  </threadedComment>
  <threadedComment ref="B27" dT="2022-03-31T00:49:39.95" personId="{33560A99-540A-DC43-BC5F-AE7DCBB6AB05}" id="{A28701FE-79CA-A34B-A43D-18A56DB19583}">
    <text>Tab “Input_Sheet_Template” cell E122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usinflationcalculator.com/%203%20June%202020%20(2019%20values%20didn't%20change%20compared%20to%203%20Feb%202020%20values%20for%202020)" TargetMode="Externa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89738-6C80-4948-ACFD-8AF97CD34964}">
  <dimension ref="A1:N55"/>
  <sheetViews>
    <sheetView tabSelected="1" topLeftCell="A26" zoomScale="111" zoomScaleNormal="170" workbookViewId="0">
      <selection activeCell="F30" sqref="F30"/>
    </sheetView>
  </sheetViews>
  <sheetFormatPr baseColWidth="10" defaultRowHeight="16" x14ac:dyDescent="0.2"/>
  <cols>
    <col min="1" max="2" width="15.83203125" style="1" customWidth="1"/>
    <col min="3" max="3" width="15.6640625" style="1" customWidth="1"/>
    <col min="4" max="4" width="14.1640625" style="1" bestFit="1" customWidth="1"/>
    <col min="5" max="5" width="13.6640625" style="1" customWidth="1"/>
    <col min="6" max="6" width="15" style="1" customWidth="1"/>
    <col min="7" max="8" width="0" style="1" hidden="1" customWidth="1"/>
    <col min="9" max="9" width="17.83203125" style="1" bestFit="1" customWidth="1"/>
    <col min="10" max="11" width="17.83203125" style="1" customWidth="1"/>
    <col min="12" max="12" width="10.83203125" style="1" customWidth="1"/>
    <col min="13" max="13" width="24" style="1" customWidth="1"/>
    <col min="14" max="16384" width="10.83203125" style="1"/>
  </cols>
  <sheetData>
    <row r="1" spans="1:14" x14ac:dyDescent="0.2">
      <c r="A1" s="2"/>
    </row>
    <row r="2" spans="1:14" ht="17" x14ac:dyDescent="0.2">
      <c r="A2" s="37" t="s">
        <v>72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2" t="s">
        <v>51</v>
      </c>
    </row>
    <row r="3" spans="1:14" ht="17" x14ac:dyDescent="0.2">
      <c r="A3" s="29" t="s">
        <v>48</v>
      </c>
      <c r="B3" s="21"/>
      <c r="C3" s="21"/>
      <c r="D3" s="21"/>
      <c r="E3" s="21"/>
      <c r="F3" s="21"/>
      <c r="L3" s="1" t="s">
        <v>63</v>
      </c>
      <c r="M3" s="1" t="s">
        <v>5</v>
      </c>
      <c r="N3" s="1" t="s">
        <v>64</v>
      </c>
    </row>
    <row r="4" spans="1:14" s="20" customFormat="1" ht="68" x14ac:dyDescent="0.2">
      <c r="A4" s="31" t="s">
        <v>49</v>
      </c>
      <c r="B4" s="32">
        <f>1055.05585262/3600</f>
        <v>0.29307107017222223</v>
      </c>
      <c r="C4" s="33" t="s">
        <v>50</v>
      </c>
      <c r="L4" s="20" t="s">
        <v>58</v>
      </c>
      <c r="M4" s="20" t="s">
        <v>75</v>
      </c>
      <c r="N4" s="3" t="s">
        <v>57</v>
      </c>
    </row>
    <row r="5" spans="1:14" s="20" customFormat="1" ht="17" x14ac:dyDescent="0.2">
      <c r="A5" s="30"/>
      <c r="L5" s="1" t="s">
        <v>59</v>
      </c>
      <c r="N5" s="3" t="s">
        <v>65</v>
      </c>
    </row>
    <row r="6" spans="1:14" ht="36" x14ac:dyDescent="0.3">
      <c r="A6" s="4" t="s">
        <v>6</v>
      </c>
      <c r="L6" s="1" t="s">
        <v>30</v>
      </c>
      <c r="M6" s="20" t="s">
        <v>62</v>
      </c>
      <c r="N6" s="38"/>
    </row>
    <row r="7" spans="1:14" ht="17" x14ac:dyDescent="0.2">
      <c r="A7" s="2" t="s">
        <v>1</v>
      </c>
      <c r="B7" s="1">
        <v>7.0000000000000007E-2</v>
      </c>
      <c r="D7" s="2" t="s">
        <v>4</v>
      </c>
      <c r="E7" s="1">
        <v>3412.141633127942</v>
      </c>
      <c r="L7" s="1" t="s">
        <v>60</v>
      </c>
      <c r="N7" s="3" t="s">
        <v>61</v>
      </c>
    </row>
    <row r="8" spans="1:14" ht="51" x14ac:dyDescent="0.2">
      <c r="A8" s="2" t="s">
        <v>3</v>
      </c>
      <c r="B8" s="1">
        <v>8760</v>
      </c>
      <c r="L8" s="1" t="s">
        <v>78</v>
      </c>
      <c r="M8" s="20" t="s">
        <v>74</v>
      </c>
    </row>
    <row r="9" spans="1:14" ht="34" x14ac:dyDescent="0.2">
      <c r="A9" s="7" t="s">
        <v>18</v>
      </c>
      <c r="L9" s="1" t="s">
        <v>77</v>
      </c>
      <c r="M9" s="43" t="s">
        <v>80</v>
      </c>
      <c r="N9" s="3" t="s">
        <v>79</v>
      </c>
    </row>
    <row r="10" spans="1:14" x14ac:dyDescent="0.2">
      <c r="A10" s="3" t="s">
        <v>14</v>
      </c>
      <c r="B10" s="3"/>
      <c r="C10" s="1">
        <v>1.31</v>
      </c>
    </row>
    <row r="11" spans="1:14" x14ac:dyDescent="0.2">
      <c r="A11" s="3" t="s">
        <v>15</v>
      </c>
      <c r="B11" s="3"/>
      <c r="C11" s="1">
        <v>1.17</v>
      </c>
    </row>
    <row r="12" spans="1:14" x14ac:dyDescent="0.2">
      <c r="A12" s="3" t="s">
        <v>22</v>
      </c>
      <c r="B12" s="3"/>
      <c r="C12" s="1">
        <v>1.1100000000000001</v>
      </c>
    </row>
    <row r="13" spans="1:14" x14ac:dyDescent="0.2">
      <c r="A13" s="3" t="s">
        <v>16</v>
      </c>
      <c r="B13" s="3"/>
      <c r="C13" s="1">
        <v>1.08</v>
      </c>
    </row>
    <row r="14" spans="1:14" x14ac:dyDescent="0.2">
      <c r="A14" s="3" t="s">
        <v>17</v>
      </c>
      <c r="B14" s="3"/>
      <c r="C14" s="1">
        <v>1.07</v>
      </c>
    </row>
    <row r="15" spans="1:14" x14ac:dyDescent="0.2">
      <c r="A15" s="3" t="s">
        <v>67</v>
      </c>
      <c r="C15" s="1">
        <v>1.08</v>
      </c>
    </row>
    <row r="18" spans="1:13" ht="34" x14ac:dyDescent="0.2">
      <c r="I18" s="1" t="s">
        <v>34</v>
      </c>
      <c r="J18" s="1" t="s">
        <v>82</v>
      </c>
    </row>
    <row r="19" spans="1:13" ht="34" x14ac:dyDescent="0.2">
      <c r="B19" s="1" t="s">
        <v>7</v>
      </c>
      <c r="C19" s="1" t="s">
        <v>8</v>
      </c>
      <c r="D19" s="1" t="s">
        <v>9</v>
      </c>
      <c r="E19" s="1" t="s">
        <v>10</v>
      </c>
      <c r="F19" s="1" t="s">
        <v>30</v>
      </c>
      <c r="I19" s="1" t="s">
        <v>33</v>
      </c>
      <c r="J19" s="1" t="s">
        <v>81</v>
      </c>
      <c r="K19" s="1" t="s">
        <v>66</v>
      </c>
    </row>
    <row r="20" spans="1:13" ht="17" x14ac:dyDescent="0.2">
      <c r="A20" s="1" t="s">
        <v>11</v>
      </c>
      <c r="B20" s="11">
        <v>56500</v>
      </c>
      <c r="C20" s="11">
        <v>56500</v>
      </c>
      <c r="D20" s="11">
        <v>56500</v>
      </c>
      <c r="E20" s="11">
        <v>58000</v>
      </c>
      <c r="F20" s="12">
        <v>1159831</v>
      </c>
      <c r="I20" s="1">
        <v>56300</v>
      </c>
      <c r="K20" s="45"/>
      <c r="M20" s="3" t="s">
        <v>68</v>
      </c>
    </row>
    <row r="21" spans="1:13" ht="17" x14ac:dyDescent="0.2">
      <c r="A21" s="1" t="s">
        <v>12</v>
      </c>
      <c r="B21" s="5">
        <v>118258606</v>
      </c>
      <c r="C21" s="5">
        <v>45485440.000000007</v>
      </c>
      <c r="D21" s="5">
        <f>60676256-C21</f>
        <v>15190815.999999993</v>
      </c>
      <c r="E21" s="6">
        <v>2070236.2411527319</v>
      </c>
      <c r="F21" s="10">
        <v>7434940</v>
      </c>
      <c r="I21" s="17">
        <f>(202+32+32)*1000000*L24</f>
        <v>1223600000</v>
      </c>
      <c r="J21" s="17">
        <v>2040</v>
      </c>
      <c r="K21" s="17">
        <v>4600</v>
      </c>
      <c r="M21" s="3" t="s">
        <v>83</v>
      </c>
    </row>
    <row r="22" spans="1:13" ht="17" x14ac:dyDescent="0.2">
      <c r="A22" s="1" t="s">
        <v>13</v>
      </c>
      <c r="B22" s="1">
        <v>2012</v>
      </c>
      <c r="C22" s="20">
        <v>2016</v>
      </c>
      <c r="D22" s="20">
        <v>2016</v>
      </c>
      <c r="E22" s="1">
        <v>2016</v>
      </c>
      <c r="F22" s="1">
        <v>2016</v>
      </c>
      <c r="I22" s="1">
        <v>2015</v>
      </c>
      <c r="J22" s="1">
        <v>2016</v>
      </c>
      <c r="K22" s="1">
        <v>2014</v>
      </c>
    </row>
    <row r="23" spans="1:13" ht="34" x14ac:dyDescent="0.2">
      <c r="A23" s="1" t="s">
        <v>19</v>
      </c>
      <c r="B23" s="8">
        <f>B21*C12</f>
        <v>131267052.66000001</v>
      </c>
      <c r="C23" s="8">
        <f>C21*C14</f>
        <v>48669420.800000012</v>
      </c>
      <c r="D23" s="8">
        <f>D21*C14</f>
        <v>16254173.119999994</v>
      </c>
      <c r="E23" s="8">
        <f>E21*C14</f>
        <v>2215152.7780334232</v>
      </c>
      <c r="F23" s="13">
        <f>F21*C14</f>
        <v>7955385.8000000007</v>
      </c>
      <c r="I23" s="18">
        <f>I21*C13</f>
        <v>1321488000</v>
      </c>
      <c r="J23" s="18">
        <f>J21*C14</f>
        <v>2182.8000000000002</v>
      </c>
      <c r="K23" s="18">
        <f>K21*C15</f>
        <v>4968</v>
      </c>
    </row>
    <row r="24" spans="1:13" ht="17" x14ac:dyDescent="0.2">
      <c r="A24" s="1" t="s">
        <v>26</v>
      </c>
      <c r="B24" s="8">
        <f>B23/B20*24</f>
        <v>55759.455997168145</v>
      </c>
      <c r="C24" s="8">
        <f t="shared" ref="C24:E24" si="0">C23/C20*24</f>
        <v>20673.736269026555</v>
      </c>
      <c r="D24" s="8">
        <f t="shared" si="0"/>
        <v>6904.4275199999975</v>
      </c>
      <c r="E24" s="8">
        <f t="shared" si="0"/>
        <v>916.61494263451993</v>
      </c>
      <c r="F24" s="8">
        <f>F23/F20</f>
        <v>6.8590905054270843</v>
      </c>
      <c r="G24" s="8" t="e">
        <f t="shared" ref="G24:H24" si="1">G23/G20</f>
        <v>#DIV/0!</v>
      </c>
      <c r="H24" s="8" t="e">
        <f t="shared" si="1"/>
        <v>#DIV/0!</v>
      </c>
      <c r="I24" s="8">
        <f>I23/I20</f>
        <v>23472.255772646535</v>
      </c>
      <c r="J24" s="18" t="s">
        <v>76</v>
      </c>
      <c r="K24" s="18">
        <v>4968</v>
      </c>
      <c r="L24" s="1">
        <v>4.5999999999999996</v>
      </c>
    </row>
    <row r="25" spans="1:13" ht="17" x14ac:dyDescent="0.2">
      <c r="A25" s="1" t="s">
        <v>20</v>
      </c>
      <c r="C25" s="1">
        <v>7</v>
      </c>
      <c r="D25" s="1">
        <v>40</v>
      </c>
      <c r="E25" s="1">
        <v>15</v>
      </c>
      <c r="F25" s="1">
        <v>30</v>
      </c>
      <c r="I25" s="1">
        <v>30</v>
      </c>
      <c r="J25" s="1">
        <v>20</v>
      </c>
      <c r="K25" s="1">
        <v>20</v>
      </c>
    </row>
    <row r="26" spans="1:13" ht="51" x14ac:dyDescent="0.2">
      <c r="A26" s="1" t="s">
        <v>21</v>
      </c>
      <c r="C26" s="9">
        <f t="shared" ref="C26:F26" si="2">DISCOUNT_RATE*(1+DISCOUNT_RATE)^C25/((1+DISCOUNT_RATE)^C25-1)</f>
        <v>0.18555321963115931</v>
      </c>
      <c r="D26" s="9">
        <f t="shared" si="2"/>
        <v>7.5009138873610326E-2</v>
      </c>
      <c r="E26" s="9">
        <f t="shared" si="2"/>
        <v>0.10979462470100652</v>
      </c>
      <c r="F26" s="9">
        <f t="shared" si="2"/>
        <v>8.0586403511111196E-2</v>
      </c>
      <c r="G26" s="9" t="e">
        <f t="shared" ref="G26" si="3">DISCOUNT_RATE*(1+DISCOUNT_RATE)^G25/((1+DISCOUNT_RATE)^G25-1)</f>
        <v>#DIV/0!</v>
      </c>
      <c r="H26" s="9" t="e">
        <f t="shared" ref="H26" si="4">DISCOUNT_RATE*(1+DISCOUNT_RATE)^H25/((1+DISCOUNT_RATE)^H25-1)</f>
        <v>#DIV/0!</v>
      </c>
      <c r="I26" s="9">
        <f>DISCOUNT_RATE*(1+DISCOUNT_RATE)^I25/((1+DISCOUNT_RATE)^I25-1)</f>
        <v>8.0586403511111196E-2</v>
      </c>
      <c r="J26" s="9">
        <f>DISCOUNT_RATE*(1+DISCOUNT_RATE)^J25/((1+DISCOUNT_RATE)^J25-1)</f>
        <v>9.4392925743255696E-2</v>
      </c>
      <c r="K26" s="9">
        <f>DISCOUNT_RATE*(1+DISCOUNT_RATE)^K25/((1+DISCOUNT_RATE)^K25-1)</f>
        <v>9.4392925743255696E-2</v>
      </c>
      <c r="L26" s="1" t="s">
        <v>35</v>
      </c>
      <c r="M26" s="3" t="s">
        <v>31</v>
      </c>
    </row>
    <row r="27" spans="1:13" ht="17" x14ac:dyDescent="0.2">
      <c r="A27" s="1" t="s">
        <v>23</v>
      </c>
      <c r="B27" s="10">
        <v>4796493.3504000008</v>
      </c>
      <c r="E27" s="8">
        <v>411812</v>
      </c>
      <c r="F27" s="10">
        <v>582306</v>
      </c>
      <c r="J27" s="1">
        <v>0</v>
      </c>
      <c r="K27" s="1">
        <v>40</v>
      </c>
      <c r="M27" s="3" t="s">
        <v>28</v>
      </c>
    </row>
    <row r="28" spans="1:13" ht="17" x14ac:dyDescent="0.2">
      <c r="A28" s="1" t="s">
        <v>24</v>
      </c>
      <c r="B28" s="1">
        <v>2016</v>
      </c>
      <c r="E28" s="1">
        <v>2016</v>
      </c>
      <c r="F28" s="1">
        <v>2016</v>
      </c>
    </row>
    <row r="29" spans="1:13" ht="34" x14ac:dyDescent="0.2">
      <c r="A29" s="1" t="s">
        <v>25</v>
      </c>
      <c r="B29" s="10">
        <f>B27*C14</f>
        <v>5132247.8849280011</v>
      </c>
      <c r="E29" s="8">
        <f>E27*C14</f>
        <v>440638.84</v>
      </c>
      <c r="F29" s="14">
        <f>F27*C14</f>
        <v>623067.42000000004</v>
      </c>
      <c r="G29" s="14">
        <f t="shared" ref="G29:H29" si="5">G27*D14</f>
        <v>0</v>
      </c>
      <c r="H29" s="14">
        <f t="shared" si="5"/>
        <v>0</v>
      </c>
      <c r="I29" s="14"/>
      <c r="J29" s="14">
        <f>J27*B15</f>
        <v>0</v>
      </c>
      <c r="K29" s="14">
        <f>K27*C15</f>
        <v>43.2</v>
      </c>
    </row>
    <row r="30" spans="1:13" ht="34" x14ac:dyDescent="0.2">
      <c r="A30" s="1" t="s">
        <v>27</v>
      </c>
      <c r="B30" s="1">
        <f>B29/B20*24</f>
        <v>2180.0698980225138</v>
      </c>
      <c r="E30" s="8">
        <f>E29/E20*24</f>
        <v>182.33331310344829</v>
      </c>
      <c r="F30" s="16">
        <f>F29/F20</f>
        <v>0.53720535146930892</v>
      </c>
      <c r="G30" s="10" t="e">
        <f t="shared" ref="G30:H30" si="6">G29/G20</f>
        <v>#DIV/0!</v>
      </c>
      <c r="H30" s="10" t="e">
        <f t="shared" si="6"/>
        <v>#DIV/0!</v>
      </c>
      <c r="I30" s="19"/>
      <c r="J30" s="19">
        <v>0</v>
      </c>
      <c r="K30" s="19">
        <v>43.2</v>
      </c>
    </row>
    <row r="31" spans="1:13" ht="17" x14ac:dyDescent="0.2">
      <c r="A31" s="1" t="s">
        <v>0</v>
      </c>
      <c r="B31" s="8">
        <f>B30+C24*C26+D24*D26</f>
        <v>6534.0433872363192</v>
      </c>
      <c r="E31" s="8">
        <f>E24*E26+E30</f>
        <v>282.97270672534</v>
      </c>
      <c r="F31" s="8">
        <f>F24*F26+F30</f>
        <v>1.0899547866588875</v>
      </c>
      <c r="I31" s="14">
        <f>I24*I26</f>
        <v>1891.5446750105027</v>
      </c>
      <c r="J31" s="14">
        <f>J23*J26+J30</f>
        <v>206.04087831237854</v>
      </c>
      <c r="K31" s="14">
        <f>K24*K26+K30</f>
        <v>512.14405509249434</v>
      </c>
      <c r="M31" s="3" t="s">
        <v>29</v>
      </c>
    </row>
    <row r="32" spans="1:13" ht="17" x14ac:dyDescent="0.2">
      <c r="A32" s="1" t="s">
        <v>2</v>
      </c>
      <c r="B32" s="34">
        <f>B31/HOURS_PER_YEAR</f>
        <v>0.74589536383976252</v>
      </c>
      <c r="C32" s="44"/>
      <c r="D32" s="42"/>
      <c r="E32" s="22">
        <f t="shared" ref="E32:K32" si="7">E31/HOURS_PER_YEAR</f>
        <v>3.2302820402436073E-2</v>
      </c>
      <c r="F32" s="23">
        <f t="shared" si="7"/>
        <v>1.2442406240398258E-4</v>
      </c>
      <c r="G32" s="15">
        <f t="shared" si="7"/>
        <v>0</v>
      </c>
      <c r="H32" s="15">
        <f t="shared" si="7"/>
        <v>0</v>
      </c>
      <c r="I32" s="23">
        <f t="shared" si="7"/>
        <v>0.21592975742129025</v>
      </c>
      <c r="J32" s="23">
        <f>J31/HOURS_PER_YEAR</f>
        <v>2.3520648209175633E-2</v>
      </c>
      <c r="K32" s="23">
        <f t="shared" si="7"/>
        <v>5.8463933229736795E-2</v>
      </c>
    </row>
    <row r="33" spans="1:13" ht="119" x14ac:dyDescent="0.2">
      <c r="A33" s="1" t="s">
        <v>36</v>
      </c>
      <c r="B33" s="20" t="s">
        <v>53</v>
      </c>
      <c r="I33" s="16">
        <f xml:space="preserve"> 6.83*(0.069+0.038+0.016+0.001)</f>
        <v>0.84692000000000012</v>
      </c>
      <c r="J33" s="35" t="s">
        <v>71</v>
      </c>
      <c r="K33" s="35" t="s">
        <v>71</v>
      </c>
      <c r="M33" s="3" t="s">
        <v>32</v>
      </c>
    </row>
    <row r="34" spans="1:13" ht="17" x14ac:dyDescent="0.2">
      <c r="A34" s="1" t="s">
        <v>38</v>
      </c>
      <c r="I34" s="1">
        <v>2015</v>
      </c>
    </row>
    <row r="35" spans="1:13" ht="17" x14ac:dyDescent="0.2">
      <c r="A35" s="1" t="s">
        <v>37</v>
      </c>
      <c r="I35" s="24">
        <f>I33*C13</f>
        <v>0.9146736000000002</v>
      </c>
      <c r="J35" s="39"/>
      <c r="K35" s="39"/>
    </row>
    <row r="37" spans="1:13" ht="51" x14ac:dyDescent="0.2">
      <c r="A37" s="1" t="s">
        <v>44</v>
      </c>
      <c r="B37" s="1">
        <f>690000/I20</f>
        <v>12.255772646536412</v>
      </c>
      <c r="C37" s="1" t="s">
        <v>46</v>
      </c>
    </row>
    <row r="38" spans="1:13" ht="17" x14ac:dyDescent="0.2">
      <c r="A38" s="1" t="s">
        <v>43</v>
      </c>
      <c r="B38" s="1">
        <v>33.4</v>
      </c>
    </row>
    <row r="39" spans="1:13" ht="34" x14ac:dyDescent="0.2">
      <c r="A39" s="1" t="s">
        <v>41</v>
      </c>
      <c r="B39" s="1">
        <v>33.33</v>
      </c>
      <c r="L39" s="3" t="s">
        <v>39</v>
      </c>
    </row>
    <row r="41" spans="1:13" ht="17" x14ac:dyDescent="0.2">
      <c r="A41" s="2" t="s">
        <v>40</v>
      </c>
    </row>
    <row r="42" spans="1:13" ht="17" x14ac:dyDescent="0.2">
      <c r="A42" s="1" t="s">
        <v>2</v>
      </c>
      <c r="B42" s="25">
        <f>B32/B39</f>
        <v>2.2379098825075383E-2</v>
      </c>
      <c r="E42" s="26">
        <f>E32/B39</f>
        <v>9.6918153022610483E-4</v>
      </c>
      <c r="F42" s="26">
        <f>F32/B39</f>
        <v>3.7330951816376414E-6</v>
      </c>
      <c r="I42" s="27">
        <f>I32/B37</f>
        <v>1.7618616438867595E-2</v>
      </c>
      <c r="J42" s="40"/>
      <c r="K42" s="40"/>
    </row>
    <row r="43" spans="1:13" ht="153" x14ac:dyDescent="0.2">
      <c r="F43" s="35" t="s">
        <v>70</v>
      </c>
    </row>
    <row r="44" spans="1:13" ht="17" x14ac:dyDescent="0.2">
      <c r="A44" s="1" t="s">
        <v>42</v>
      </c>
      <c r="B44" s="25">
        <f>B42+E42</f>
        <v>2.3348280355301489E-2</v>
      </c>
    </row>
    <row r="45" spans="1:13" ht="85" x14ac:dyDescent="0.2">
      <c r="B45" s="35" t="s">
        <v>73</v>
      </c>
    </row>
    <row r="46" spans="1:13" ht="17" x14ac:dyDescent="0.2">
      <c r="A46" s="1" t="s">
        <v>47</v>
      </c>
      <c r="I46" s="28">
        <f>I35/B37</f>
        <v>7.4632063304347837E-2</v>
      </c>
      <c r="J46" s="41"/>
      <c r="K46" s="41"/>
    </row>
    <row r="48" spans="1:13" x14ac:dyDescent="0.2">
      <c r="A48" s="36" t="s">
        <v>54</v>
      </c>
      <c r="B48" s="8"/>
    </row>
    <row r="50" spans="1:12" ht="17" x14ac:dyDescent="0.2">
      <c r="A50" s="1" t="s">
        <v>52</v>
      </c>
      <c r="B50" s="1" t="s">
        <v>7</v>
      </c>
      <c r="C50" s="1" t="s">
        <v>8</v>
      </c>
      <c r="D50" s="1" t="s">
        <v>9</v>
      </c>
      <c r="E50" s="1" t="s">
        <v>10</v>
      </c>
    </row>
    <row r="51" spans="1:12" ht="17" x14ac:dyDescent="0.2">
      <c r="A51" s="1" t="s">
        <v>55</v>
      </c>
      <c r="B51" s="1">
        <f>SUM(C51:E51)</f>
        <v>54.900000000000006</v>
      </c>
      <c r="C51" s="1">
        <v>49.2</v>
      </c>
      <c r="D51" s="1">
        <v>5.0999999999999996</v>
      </c>
      <c r="E51" s="1">
        <v>0.6</v>
      </c>
    </row>
    <row r="52" spans="1:12" ht="34" x14ac:dyDescent="0.2">
      <c r="A52" s="1" t="s">
        <v>56</v>
      </c>
      <c r="B52" s="1">
        <f>B39/B51</f>
        <v>0.60710382513661187</v>
      </c>
      <c r="L52" s="1" t="s">
        <v>45</v>
      </c>
    </row>
    <row r="54" spans="1:12" ht="17" x14ac:dyDescent="0.2">
      <c r="A54" s="1" t="s">
        <v>2</v>
      </c>
      <c r="B54" s="22">
        <f>B44*B52</f>
        <v>1.4174830314065546E-2</v>
      </c>
    </row>
    <row r="55" spans="1:12" ht="119" x14ac:dyDescent="0.2">
      <c r="B55" s="20" t="s">
        <v>69</v>
      </c>
    </row>
  </sheetData>
  <hyperlinks>
    <hyperlink ref="A9" r:id="rId1" xr:uid="{653031F2-1118-594B-9896-92A5DA6F22CE}"/>
  </hyperlinks>
  <pageMargins left="0.7" right="0.7" top="0.75" bottom="0.75" header="0.3" footer="0.3"/>
  <pageSetup orientation="portrait" horizontalDpi="0" verticalDpi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BTU_PER_KWH</vt:lpstr>
      <vt:lpstr>DISCOUNT_RATE</vt:lpstr>
      <vt:lpstr>HOURS_PER_YEAR</vt:lpstr>
      <vt:lpstr>MWh_per_MMBtu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Ruggles</dc:creator>
  <cp:lastModifiedBy>Microsoft Office User</cp:lastModifiedBy>
  <dcterms:created xsi:type="dcterms:W3CDTF">2020-05-05T04:59:04Z</dcterms:created>
  <dcterms:modified xsi:type="dcterms:W3CDTF">2022-04-01T18:14:52Z</dcterms:modified>
</cp:coreProperties>
</file>