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axli_caltech_edu/Documents/Caltech/Summer 2022/Storage Tech Cost Analysis/Final Cost Analysis/"/>
    </mc:Choice>
  </mc:AlternateContent>
  <xr:revisionPtr revIDLastSave="183" documentId="13_ncr:1_{0C14C621-ECC4-4FCE-9FAD-2D7619B0EC80}" xr6:coauthVersionLast="47" xr6:coauthVersionMax="47" xr10:uidLastSave="{9C783B0A-035B-4CF4-9387-677D2D035F8D}"/>
  <bookViews>
    <workbookView xWindow="-110" yWindow="-110" windowWidth="19420" windowHeight="10560" xr2:uid="{9402D557-0539-F249-9981-FEF30EBBF85E}"/>
  </bookViews>
  <sheets>
    <sheet name="Storage Techs" sheetId="8" r:id="rId1"/>
    <sheet name="Sheet2" sheetId="11" r:id="rId2"/>
    <sheet name="Gravitational" sheetId="9" r:id="rId3"/>
    <sheet name="Generation Techs" sheetId="6" r:id="rId4"/>
  </sheets>
  <externalReferences>
    <externalReference r:id="rId5"/>
  </externalReferences>
  <definedNames>
    <definedName name="_2018_USD_to__2019_USD">'Storage Techs'!$D$8</definedName>
    <definedName name="_2020_USD_to__2019_USD">'Storage Techs'!$G$8</definedName>
    <definedName name="Btu_per_kWh" localSheetId="0">'Storage Techs'!#REF!</definedName>
    <definedName name="Btu_per_kWh">'Generation Techs'!$B$12</definedName>
    <definedName name="Discount_rate" localSheetId="0">'Storage Techs'!$B$11</definedName>
    <definedName name="Discount_rate">'Generation Techs'!$B$10</definedName>
    <definedName name="Hours_per_year" localSheetId="2">'[1]Constants, Abbrevs, Equations'!$B$9</definedName>
    <definedName name="HOURS_PER_YEAR" localSheetId="0">'Storage Techs'!$B$12</definedName>
    <definedName name="HOURS_PER_YEAR">'Generation Techs'!$B$11</definedName>
    <definedName name="MWh_per_MMBtu" localSheetId="0">'Storage Techs'!#REF!</definedName>
    <definedName name="MWh_per_MMBtu">'Generation Techs'!$B$7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3" i="8" l="1"/>
  <c r="X19" i="8"/>
  <c r="X22" i="8"/>
  <c r="W18" i="8"/>
  <c r="W24" i="8"/>
  <c r="U23" i="8"/>
  <c r="S23" i="8"/>
  <c r="U19" i="8"/>
  <c r="S19" i="8"/>
  <c r="A13" i="11" a="1"/>
  <c r="A13" i="11" s="1"/>
  <c r="R18" i="8"/>
  <c r="X24" i="8" l="1"/>
  <c r="V19" i="8"/>
  <c r="V18" i="8"/>
  <c r="U18" i="8"/>
  <c r="T19" i="8"/>
  <c r="T18" i="8"/>
  <c r="S18" i="8"/>
  <c r="R19" i="8"/>
  <c r="Q18" i="8"/>
  <c r="P19" i="8"/>
  <c r="P18" i="8"/>
  <c r="O19" i="8"/>
  <c r="O18" i="8"/>
  <c r="N18" i="8"/>
  <c r="M19" i="8"/>
  <c r="M18" i="8"/>
  <c r="L18" i="8"/>
  <c r="K19" i="8"/>
  <c r="K18" i="8"/>
  <c r="I19" i="8"/>
  <c r="J18" i="8"/>
  <c r="I18" i="8"/>
  <c r="H19" i="8"/>
  <c r="H18" i="8"/>
  <c r="G18" i="8"/>
  <c r="F19" i="8"/>
  <c r="F18" i="8"/>
  <c r="E19" i="8"/>
  <c r="E18" i="8"/>
  <c r="D18" i="8"/>
  <c r="C19" i="8"/>
  <c r="C18" i="8"/>
  <c r="B18" i="8"/>
  <c r="G8" i="8"/>
  <c r="V27" i="8" l="1"/>
  <c r="V22" i="8"/>
  <c r="V23" i="8" s="1"/>
  <c r="V24" i="8" s="1"/>
  <c r="U22" i="8"/>
  <c r="U24" i="8" s="1"/>
  <c r="N28" i="8"/>
  <c r="Q28" i="8"/>
  <c r="I27" i="8"/>
  <c r="F27" i="8"/>
  <c r="T27" i="8"/>
  <c r="R27" i="8"/>
  <c r="P27" i="8"/>
  <c r="O27" i="8"/>
  <c r="M27" i="8"/>
  <c r="K27" i="8"/>
  <c r="H27" i="8"/>
  <c r="E27" i="8"/>
  <c r="C27" i="8"/>
  <c r="T22" i="8"/>
  <c r="T23" i="8" s="1"/>
  <c r="T24" i="8" s="1"/>
  <c r="S22" i="8"/>
  <c r="S24" i="8" s="1"/>
  <c r="F25" i="9" a="1"/>
  <c r="F25" i="9" s="1"/>
  <c r="D25" i="9" a="1"/>
  <c r="D25" i="9" s="1"/>
  <c r="B25" i="9" a="1"/>
  <c r="B25" i="9" s="1"/>
  <c r="F24" i="9" a="1"/>
  <c r="D24" i="9" a="1"/>
  <c r="D24" i="9" s="1"/>
  <c r="B24" i="9" a="1"/>
  <c r="Q22" i="8"/>
  <c r="Q23" i="8" s="1"/>
  <c r="Q24" i="8" s="1"/>
  <c r="N22" i="8"/>
  <c r="N23" i="8" s="1"/>
  <c r="N24" i="8" s="1"/>
  <c r="J22" i="8"/>
  <c r="J23" i="8" s="1"/>
  <c r="J24" i="8" s="1"/>
  <c r="G22" i="8"/>
  <c r="G23" i="8" s="1"/>
  <c r="G24" i="8" s="1"/>
  <c r="D22" i="8"/>
  <c r="D23" i="8" s="1"/>
  <c r="D24" i="8" s="1"/>
  <c r="C22" i="8"/>
  <c r="C23" i="8" s="1"/>
  <c r="E22" i="8"/>
  <c r="E23" i="8" s="1"/>
  <c r="E24" i="8" s="1"/>
  <c r="F22" i="8"/>
  <c r="F23" i="8" s="1"/>
  <c r="F24" i="8" s="1"/>
  <c r="H22" i="8"/>
  <c r="H23" i="8" s="1"/>
  <c r="H24" i="8" s="1"/>
  <c r="I22" i="8"/>
  <c r="I23" i="8" s="1"/>
  <c r="I24" i="8" s="1"/>
  <c r="K22" i="8"/>
  <c r="K23" i="8" s="1"/>
  <c r="K24" i="8" s="1"/>
  <c r="L22" i="8"/>
  <c r="M22" i="8"/>
  <c r="M23" i="8" s="1"/>
  <c r="M24" i="8" s="1"/>
  <c r="O22" i="8"/>
  <c r="O23" i="8" s="1"/>
  <c r="O24" i="8" s="1"/>
  <c r="P22" i="8"/>
  <c r="P23" i="8" s="1"/>
  <c r="P24" i="8" s="1"/>
  <c r="R22" i="8"/>
  <c r="R23" i="8" s="1"/>
  <c r="R24" i="8" s="1"/>
  <c r="B22" i="8"/>
  <c r="B23" i="8" s="1"/>
  <c r="B24" i="8" s="1"/>
  <c r="L23" i="8" l="1"/>
  <c r="L24" i="8" s="1"/>
  <c r="F24" i="9"/>
  <c r="B24" i="9"/>
  <c r="C24" i="8"/>
  <c r="B25" i="8" s="1"/>
  <c r="I17" i="6" l="1"/>
  <c r="I18" i="6" s="1"/>
  <c r="I19" i="6" s="1"/>
  <c r="H24" i="6"/>
  <c r="H22" i="6"/>
  <c r="H17" i="6"/>
  <c r="H18" i="6" s="1"/>
  <c r="H19" i="6" s="1"/>
  <c r="G24" i="6"/>
  <c r="F24" i="6"/>
  <c r="G22" i="6"/>
  <c r="F22" i="6"/>
  <c r="G17" i="6"/>
  <c r="G18" i="6" s="1"/>
  <c r="G19" i="6" s="1"/>
  <c r="F17" i="6"/>
  <c r="F18" i="6" s="1"/>
  <c r="F19" i="6" s="1"/>
  <c r="E17" i="6"/>
  <c r="E18" i="6" s="1"/>
  <c r="E19" i="6" s="1"/>
  <c r="D24" i="6"/>
  <c r="D22" i="6"/>
  <c r="D17" i="6"/>
  <c r="D18" i="6" s="1"/>
  <c r="D19" i="6" s="1"/>
  <c r="C17" i="6"/>
  <c r="C18" i="6" s="1"/>
  <c r="C19" i="6" s="1"/>
  <c r="D27" i="6" l="1"/>
  <c r="O17" i="6" l="1"/>
  <c r="O18" i="6" s="1"/>
  <c r="O19" i="6" s="1"/>
  <c r="N17" i="6"/>
  <c r="N18" i="6" s="1"/>
  <c r="N19" i="6" s="1"/>
  <c r="M17" i="6"/>
  <c r="M18" i="6" s="1"/>
  <c r="M19" i="6" s="1"/>
  <c r="L17" i="6"/>
  <c r="L18" i="6" s="1"/>
  <c r="L19" i="6" s="1"/>
  <c r="K17" i="6"/>
  <c r="K18" i="6" s="1"/>
  <c r="K19" i="6" s="1"/>
  <c r="J17" i="6"/>
  <c r="J18" i="6" s="1"/>
  <c r="J19" i="6" s="1"/>
  <c r="B17" i="6"/>
  <c r="B18" i="6" s="1"/>
  <c r="B19" i="6" s="1"/>
  <c r="E12" i="6"/>
  <c r="F12" i="6" s="1"/>
  <c r="G12" i="6" s="1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tc={E7A395CC-9566-45EA-A3DC-45E81BC7C8AE}</author>
    <author>tc={A73BCF65-4C2D-4348-B6EC-7FCFEF212BB5}</author>
  </authors>
  <commentList>
    <comment ref="U21" authorId="0" shapeId="0" xr:uid="{E7A395CC-9566-45EA-A3DC-45E81BC7C8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  <comment ref="V21" authorId="1" shapeId="0" xr:uid="{A73BCF65-4C2D-4348-B6EC-7FCFEF212BB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<sst xmlns="http://schemas.openxmlformats.org/spreadsheetml/2006/main" count="287" uniqueCount="120">
  <si>
    <t>Variable O&amp;M ($/MWh)</t>
  </si>
  <si>
    <t>Fixed O&amp;M ($/kW-yr)</t>
  </si>
  <si>
    <t>Assumed Lifetime</t>
  </si>
  <si>
    <t>ACC</t>
  </si>
  <si>
    <t>Discount Rate</t>
  </si>
  <si>
    <t>FHC</t>
  </si>
  <si>
    <t>Hours per year</t>
  </si>
  <si>
    <t>Heat Rate (Btu/kWh)</t>
  </si>
  <si>
    <t>Btu / kWh</t>
  </si>
  <si>
    <t>Efficiency</t>
  </si>
  <si>
    <t>Fuel Cost ($/MWh)</t>
  </si>
  <si>
    <t>Variable Cost ($/MWh)</t>
  </si>
  <si>
    <t>Electric Power System</t>
  </si>
  <si>
    <t>Capital recovery factor (% per year)</t>
  </si>
  <si>
    <t>MWh/MMBtu</t>
  </si>
  <si>
    <t>https://www.eia.gov/totalenergy/data/monthly/pdf/sec13_18.pdf</t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</si>
  <si>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</si>
  <si>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>Costs for new nuclear sectors are in 2017 $, and other costs are in 2019 $</t>
  </si>
  <si>
    <t>Total overnight cost ($/kW for generator or $/kWh for storage)</t>
  </si>
  <si>
    <t>Cost values used in Dave and Tyler's version</t>
  </si>
  <si>
    <t>Cost values newly added</t>
  </si>
  <si>
    <t>Decay rate (% per hour)</t>
  </si>
  <si>
    <t>Utility-Scale 4Hr Battery Storage Advanced</t>
  </si>
  <si>
    <t>Round-Trip Efficiency</t>
  </si>
  <si>
    <t>Gas-CC Advanced</t>
  </si>
  <si>
    <t>Gas-CC-CCS Advanced</t>
  </si>
  <si>
    <t>Offshore Wind Class 8 Advanced</t>
  </si>
  <si>
    <t>Offshore Wind Class 8 Moderate</t>
  </si>
  <si>
    <t>Offshore Wind Class 8 Conservative</t>
  </si>
  <si>
    <t>Biopower</t>
  </si>
  <si>
    <t>Note</t>
  </si>
  <si>
    <t>Total cost for nuclear</t>
  </si>
  <si>
    <t>Geothermal EGS Flash Advanced</t>
  </si>
  <si>
    <t>lbs/Btu</t>
  </si>
  <si>
    <t>lbs/kWh</t>
  </si>
  <si>
    <t>lbs/MMBtu</t>
  </si>
  <si>
    <t>kg/kWh</t>
  </si>
  <si>
    <t>NREL units</t>
  </si>
  <si>
    <t>Offshore Wind Class 1 Advanced</t>
  </si>
  <si>
    <t>Offshore Wind Class 1 Moderate</t>
  </si>
  <si>
    <t>Offshore Wind Class 1 Conservative</t>
  </si>
  <si>
    <t>Solar - Utility PV 2019</t>
  </si>
  <si>
    <t>Land-based Wind 2019</t>
  </si>
  <si>
    <t>Nuclear 2019</t>
  </si>
  <si>
    <t>NREL ATB 2019 Case Scenario</t>
  </si>
  <si>
    <t>Source:</t>
  </si>
  <si>
    <t xml:space="preserve"> https://atb.nrel.gov/electricity/2022/data </t>
  </si>
  <si>
    <t>Data:</t>
  </si>
  <si>
    <t>https://www.nrel.gov/storage/storefast.html</t>
  </si>
  <si>
    <t>All Costs in $2019 USD</t>
  </si>
  <si>
    <t>NREL (National Renewable Energy Laboratory). 2021. "2021 Annual Technology Baseline." Golden, CO: National Renewable Energy Laboratory. https://atb.nrel.gov/. </t>
  </si>
  <si>
    <t>Technology</t>
  </si>
  <si>
    <t xml:space="preserve">Li-ion </t>
  </si>
  <si>
    <t>RFB</t>
  </si>
  <si>
    <t>P-TES</t>
  </si>
  <si>
    <t>Description</t>
  </si>
  <si>
    <t>Gravitational</t>
  </si>
  <si>
    <t>Metal-air</t>
  </si>
  <si>
    <t>Sources:</t>
  </si>
  <si>
    <r>
      <t xml:space="preserve">Hunter et al. </t>
    </r>
    <r>
      <rPr>
        <b/>
        <sz val="12"/>
        <color theme="1"/>
        <rFont val="Calibri"/>
        <family val="2"/>
        <scheme val="minor"/>
      </rPr>
      <t>2021</t>
    </r>
  </si>
  <si>
    <r>
      <t xml:space="preserve">Mongird et al. </t>
    </r>
    <r>
      <rPr>
        <b/>
        <sz val="12"/>
        <color theme="1"/>
        <rFont val="Calibri"/>
        <family val="2"/>
        <scheme val="minor"/>
      </rPr>
      <t>2020</t>
    </r>
  </si>
  <si>
    <r>
      <t xml:space="preserve">MIT Study on the Future of Energy Storage. </t>
    </r>
    <r>
      <rPr>
        <b/>
        <sz val="12"/>
        <color theme="1"/>
        <rFont val="Calibri"/>
        <family val="2"/>
        <scheme val="minor"/>
      </rPr>
      <t>2022.</t>
    </r>
  </si>
  <si>
    <t xml:space="preserve">https://energy.mit.edu/research/future-of-energy-storage/ </t>
  </si>
  <si>
    <t xml:space="preserve">https://www.pnnl.gov/thermal </t>
  </si>
  <si>
    <t>Storage Technologies</t>
  </si>
  <si>
    <t>Total overnight cost ($/kWh for energy components and $/kW for power components)</t>
  </si>
  <si>
    <t>Energy</t>
  </si>
  <si>
    <t>Power</t>
  </si>
  <si>
    <t>Power In</t>
  </si>
  <si>
    <t>Power Out</t>
  </si>
  <si>
    <t>D-CAES | Salt</t>
  </si>
  <si>
    <t>A-CAES |Salt</t>
  </si>
  <si>
    <t>Assumed Lifetime (yr)</t>
  </si>
  <si>
    <t>PHS</t>
  </si>
  <si>
    <t>Vanadium redox flow battery</t>
  </si>
  <si>
    <t>Pumped thermal energy storage</t>
  </si>
  <si>
    <t>Closed loop pumped hydro storage using upper and lower water reservoirs</t>
  </si>
  <si>
    <t>Adiabatic compressed air energy storage in which air is compressed into a salt dome cavern. Heat of compression is stored in thermal energy storage. Power is generated by reheating air with stored thermal energy and spinning a turbine to drive a synchronous generator</t>
  </si>
  <si>
    <t>Diabatic compressed air energy storage in which air is compressed into a salt dome cavern. Power is generated by using compressed air in a natural gas burner before feeding into a turbine which drives a synchronous generator</t>
  </si>
  <si>
    <t>-</t>
  </si>
  <si>
    <t>Li-ion battery. Source separates energy and power components, but we assume a 4 h duration with non-separated energy and power</t>
  </si>
  <si>
    <t>Fixed property tax, insurance, licensing, permiting (% of capital cost)</t>
  </si>
  <si>
    <t>Fixed Annual Costs ($/kWh/yr, $/kW/yr)</t>
  </si>
  <si>
    <t>Fixed Hourly Costs ($/kWh/h, $/kW/h)</t>
  </si>
  <si>
    <t>Capital recovery factor (%/yr)</t>
  </si>
  <si>
    <t>Total Fixed Hourly Costs for Li-ion ($/kWh)</t>
  </si>
  <si>
    <t>https://www.pnnl.gov/gravitational</t>
  </si>
  <si>
    <t>Gravitational Costs &amp; Performance Parameters (obtained 7-18-2022)</t>
  </si>
  <si>
    <t>We use the 1000 MW plant as the reference plant, and estimate energy and power capacity costs using linear regression</t>
  </si>
  <si>
    <t>Equations we assume:</t>
  </si>
  <si>
    <t>Low</t>
  </si>
  <si>
    <t>Midpoint</t>
  </si>
  <si>
    <t>High</t>
  </si>
  <si>
    <t>E/P Ratio (h)</t>
  </si>
  <si>
    <t>Total ESS Installed Cost ($/kW)</t>
  </si>
  <si>
    <t>Total Fixed O&amp;M  Cost ($/kW-yr)</t>
  </si>
  <si>
    <t>Energy Capacity</t>
  </si>
  <si>
    <t>Power Capacity</t>
  </si>
  <si>
    <t>Total Installed Cost ($/kWh, $/kW)</t>
  </si>
  <si>
    <t>Fixed O&amp;M ($/kWh/yr, $/kW/yr)</t>
  </si>
  <si>
    <t>Variable Cost ($/kWh)</t>
  </si>
  <si>
    <t>Efficiency (%)</t>
  </si>
  <si>
    <t>Round-Trip Efficiency (%)</t>
  </si>
  <si>
    <t>Metal-air batteries, mid value from source taken</t>
  </si>
  <si>
    <t>Fixed O&amp;M (% of capital cost or $/kWh/yr $/kW/yr)</t>
  </si>
  <si>
    <t>73% up, 63% down</t>
  </si>
  <si>
    <t>Gravitational energy storage. Mid value of capital costs and O&amp;M costs separated by energy and power through linear regerssion (see corersponding spreadsheet)</t>
  </si>
  <si>
    <t>$2018 USD to $2019 USD</t>
  </si>
  <si>
    <t>$2020 USD to $2019 USD</t>
  </si>
  <si>
    <r>
      <t xml:space="preserve">Hunter, C. A.; Penev, M. M.; Reznicek, E. P.; Eichman, J.; Rustagi, N.; Baldwin, S. F. Techno-Economic Analysis of Long-Duration Energy Storage and Flexible Power Generation Technologies to Support High-Variable Renewable Energy Grids. </t>
    </r>
    <r>
      <rPr>
        <i/>
        <sz val="12"/>
        <color theme="1"/>
        <rFont val="Calibri"/>
        <family val="2"/>
        <scheme val="minor"/>
      </rPr>
      <t>Joule</t>
    </r>
    <r>
      <rPr>
        <b/>
        <sz val="12"/>
        <color theme="1"/>
        <rFont val="Calibri"/>
        <family val="2"/>
        <scheme val="minor"/>
      </rPr>
      <t xml:space="preserve"> 2021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 xml:space="preserve"> (8), 2077–2101. https://doi.org/10.1016/j.joule.2021.06.018.</t>
    </r>
  </si>
  <si>
    <r>
      <t xml:space="preserve">Mongird, K.; Viswanathan, V.; Alam, J.; Vartanian, C.; Sprenkle, V.; Baxter, R. 2020 Grid Energy Storage Technology Cost and Performance Assessment. </t>
    </r>
    <r>
      <rPr>
        <b/>
        <sz val="12"/>
        <color theme="1"/>
        <rFont val="Calibri"/>
        <family val="2"/>
        <scheme val="minor"/>
      </rPr>
      <t>2020</t>
    </r>
    <r>
      <rPr>
        <sz val="12"/>
        <color theme="1"/>
        <rFont val="Calibri"/>
        <family val="2"/>
        <scheme val="minor"/>
      </rPr>
      <t>, 12.</t>
    </r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</si>
  <si>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</si>
  <si>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r>
      <t xml:space="preserve">MIT </t>
    </r>
    <r>
      <rPr>
        <b/>
        <sz val="12"/>
        <color theme="1"/>
        <rFont val="Calibri"/>
        <family val="2"/>
        <scheme val="minor"/>
      </rPr>
      <t>2022</t>
    </r>
    <r>
      <rPr>
        <sz val="12"/>
        <color theme="1"/>
        <rFont val="Calibri"/>
        <family val="2"/>
        <scheme val="minor"/>
      </rPr>
      <t>, page 177, Table 6.3</t>
    </r>
  </si>
  <si>
    <t xml:space="preserve">Stat-PEM | Salt or PGP </t>
  </si>
  <si>
    <t>Hydrogen production via PEM electrolysis,
power generation via a stationary PEM fuel
cell, and hydrogen storage in a salt cavern</t>
  </si>
  <si>
    <t>A-CAES</t>
  </si>
  <si>
    <t>Thermal</t>
  </si>
  <si>
    <t>Form Energy's Costs</t>
  </si>
  <si>
    <t>100 h using MIT's Costs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</si>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</sst>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%"/>
    <numFmt numFmtId="167" formatCode="0.0"/>
    <numFmt numFmtId="168" formatCode="0.00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D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B9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07AA1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76B7B2"/>
        <bgColor indexed="64"/>
      </patternFill>
    </fill>
    <fill>
      <patternFill patternType="solid">
        <fgColor rgb="FF21B087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F28E2B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E1575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" applyAlignment="1">
      <alignment horizontal="left" vertical="center"/>
    </xf>
    <xf numFmtId="0" fontId="7" fillId="0" borderId="0" xfId="3" applyFont="1"/>
    <xf numFmtId="0" fontId="10" fillId="0" borderId="0" xfId="4"/>
    <xf numFmtId="0" fontId="1" fillId="0" borderId="0" xfId="3"/>
    <xf numFmtId="0" fontId="1" fillId="0" borderId="0" xfId="3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4" fontId="3" fillId="7" borderId="3" xfId="3" applyNumberFormat="1" applyFont="1" applyFill="1" applyBorder="1" applyAlignment="1">
      <alignment horizontal="center" vertical="center"/>
    </xf>
    <xf numFmtId="164" fontId="3" fillId="7" borderId="4" xfId="3" applyNumberFormat="1" applyFont="1" applyFill="1" applyBorder="1" applyAlignment="1">
      <alignment horizontal="center" vertical="center"/>
    </xf>
    <xf numFmtId="0" fontId="2" fillId="0" borderId="5" xfId="3" applyFont="1" applyBorder="1" applyAlignment="1">
      <alignment horizontal="center" vertical="center" wrapText="1"/>
    </xf>
    <xf numFmtId="164" fontId="3" fillId="7" borderId="5" xfId="3" applyNumberFormat="1" applyFont="1" applyFill="1" applyBorder="1" applyAlignment="1">
      <alignment horizontal="center" vertical="center"/>
    </xf>
    <xf numFmtId="164" fontId="3" fillId="7" borderId="6" xfId="3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12" fillId="16" borderId="8" xfId="0" applyNumberFormat="1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165" fontId="0" fillId="0" borderId="0" xfId="0" applyNumberFormat="1"/>
    <xf numFmtId="9" fontId="0" fillId="0" borderId="0" xfId="1" applyFont="1"/>
    <xf numFmtId="166" fontId="0" fillId="0" borderId="0" xfId="1" applyNumberFormat="1" applyFont="1"/>
    <xf numFmtId="10" fontId="0" fillId="0" borderId="0" xfId="1" applyNumberFormat="1" applyFont="1"/>
    <xf numFmtId="167" fontId="0" fillId="0" borderId="0" xfId="0" applyNumberFormat="1"/>
    <xf numFmtId="1" fontId="0" fillId="0" borderId="0" xfId="0" applyNumberFormat="1"/>
    <xf numFmtId="0" fontId="0" fillId="0" borderId="0" xfId="1" applyNumberFormat="1" applyFont="1"/>
    <xf numFmtId="166" fontId="0" fillId="0" borderId="7" xfId="1" applyNumberFormat="1" applyFont="1" applyBorder="1" applyAlignment="1">
      <alignment horizontal="center" vertical="center" wrapText="1"/>
    </xf>
    <xf numFmtId="168" fontId="0" fillId="0" borderId="7" xfId="1" applyNumberFormat="1" applyFont="1" applyBorder="1" applyAlignment="1">
      <alignment horizontal="center" vertical="center" wrapText="1"/>
    </xf>
    <xf numFmtId="0" fontId="0" fillId="0" borderId="7" xfId="1" applyNumberFormat="1" applyFon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21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</cellXfs>
  <cellStyles count="6">
    <cellStyle name="Hyperlink" xfId="2" builtinId="8"/>
    <cellStyle name="Hyperlink 2" xfId="4" xr:uid="{297354AD-0D7D-460B-8BBD-98A485D77348}"/>
    <cellStyle name="Normal" xfId="0" builtinId="0"/>
    <cellStyle name="Normal 2" xfId="3" xr:uid="{DF499769-6B3C-4685-AAF8-6AD6F5B862F9}"/>
    <cellStyle name="Percent" xfId="1" builtinId="5"/>
    <cellStyle name="Percent 2" xfId="5" xr:uid="{D6838199-A166-49AB-9680-05DD4A9A8A70}"/>
  </cellStyles>
  <dxfs count="0"/>
  <tableStyles count="0" defaultTableStyle="TableStyleMedium2" defaultPivotStyle="PivotStyleLight16"/>
  <colors>
    <mruColors>
      <color rgb="FF21B087"/>
      <color rgb="FF76B7B2"/>
      <color rgb="FFE15759"/>
      <color rgb="FFBAB0AC"/>
      <color rgb="FFFF9B9A"/>
      <color rgb="FFF28E2B"/>
      <color rgb="FF4E79A7"/>
      <color rgb="FF99FF99"/>
      <color rgb="FF59A14F"/>
      <color rgb="FFB07A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xli_caltech_edu/Documents/Caltech/Summer%202022/Storage%20Tech%20Cost%20Analysis/Linear%20Regression%20Cost%20Analysis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-ion"/>
      <sheetName val="Li-ion (regression)"/>
      <sheetName val="RFB"/>
      <sheetName val="CAES"/>
      <sheetName val="PSH"/>
      <sheetName val="Gravitational"/>
      <sheetName val="Thermal"/>
      <sheetName val="PGP"/>
      <sheetName val="Total Installed Costs"/>
      <sheetName val="Fixed Hourly Costs"/>
      <sheetName val="Constants, Abbrevs, Equ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9">
          <cell r="B9">
            <v>8760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, Anna X. (Anna)" id="{7C6A799E-9480-4E3F-921D-194ED4045529}" userId="S::axli@caltech.edu::3c421528-08c5-48e8-be0d-0f1df8e382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1" dT="2022-08-03T01:55:29.27" personId="{7C6A799E-9480-4E3F-921D-194ED4045529}" id="{E7A395CC-9566-45EA-A3DC-45E81BC7C8AE}">
    <text>Assumed, not provided</text>
  </threadedComment>
  <threadedComment ref="V21" dT="2022-08-03T01:55:42.57" personId="{7C6A799E-9480-4E3F-921D-194ED4045529}" id="{A73BCF65-4C2D-4348-B6EC-7FCFEF212BB5}">
    <text>Assumed, not provided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pnnl.gov/thermal" TargetMode="External"/><Relationship Id="rId1" Type="http://schemas.openxmlformats.org/officeDocument/2006/relationships/hyperlink" Target="https://energy.mit.edu/research/future-of-energy-storag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nl.gov/gravitation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0632-F5DF-43D8-8F19-EE890EA054F2}">
  <dimension ref="A1:AC33"/>
  <sheetViews>
    <sheetView showGridLines="0" tabSelected="1" topLeftCell="A9" zoomScale="53" zoomScaleNormal="55" workbookViewId="0">
      <pane xSplit="1" topLeftCell="B1" activePane="topRight" state="frozen"/>
      <selection activeCell="A16" sqref="A16"/>
      <selection pane="topRight" activeCell="D11" sqref="D11"/>
    </sheetView>
  </sheetViews>
  <sheetFormatPr defaultColWidth="10.83203125" defaultRowHeight="15.5" x14ac:dyDescent="0.35"/>
  <cols>
    <col min="1" max="1" width="39.33203125" style="2" customWidth="1"/>
    <col min="2" max="6" width="13.58203125" style="2" customWidth="1"/>
    <col min="7" max="15" width="14.58203125" style="2" customWidth="1"/>
    <col min="16" max="20" width="16" style="2" customWidth="1"/>
    <col min="21" max="23" width="18" style="2" customWidth="1"/>
    <col min="24" max="27" width="17.5" style="2" customWidth="1"/>
    <col min="28" max="16384" width="10.83203125" style="2"/>
  </cols>
  <sheetData>
    <row r="1" spans="1:29" ht="73" customHeight="1" x14ac:dyDescent="0.35">
      <c r="A1" s="8" t="s">
        <v>64</v>
      </c>
    </row>
    <row r="2" spans="1:29" ht="34" customHeight="1" x14ac:dyDescent="0.35">
      <c r="A2" s="8"/>
    </row>
    <row r="3" spans="1:29" ht="59.15" customHeight="1" x14ac:dyDescent="0.35">
      <c r="A3" s="93" t="s">
        <v>58</v>
      </c>
      <c r="B3" s="88" t="s">
        <v>109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18"/>
      <c r="R3" s="18"/>
      <c r="U3" s="93" t="s">
        <v>47</v>
      </c>
      <c r="V3" s="8"/>
      <c r="W3" s="13" t="s">
        <v>48</v>
      </c>
      <c r="X3" s="13"/>
      <c r="Y3" s="13"/>
      <c r="Z3" s="13"/>
      <c r="AA3" s="13"/>
      <c r="AB3" s="13"/>
      <c r="AC3" s="13"/>
    </row>
    <row r="4" spans="1:29" ht="43" customHeight="1" x14ac:dyDescent="0.35">
      <c r="A4" s="93"/>
      <c r="B4" s="89" t="s">
        <v>110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19"/>
      <c r="R4" s="19"/>
      <c r="U4" s="93"/>
      <c r="V4" s="8"/>
      <c r="W4" s="13" t="s">
        <v>63</v>
      </c>
    </row>
    <row r="5" spans="1:29" ht="31" customHeight="1" x14ac:dyDescent="0.35">
      <c r="A5" s="93"/>
      <c r="B5" s="89" t="s">
        <v>61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19"/>
      <c r="R5" s="19"/>
      <c r="U5" s="93"/>
      <c r="V5" s="8"/>
      <c r="W5" s="13" t="s">
        <v>62</v>
      </c>
    </row>
    <row r="6" spans="1:29" ht="36" customHeight="1" x14ac:dyDescent="0.35">
      <c r="A6" s="8"/>
    </row>
    <row r="7" spans="1:29" ht="55" customHeight="1" x14ac:dyDescent="0.35">
      <c r="A7" s="1" t="s">
        <v>111</v>
      </c>
    </row>
    <row r="8" spans="1:29" ht="55" customHeight="1" x14ac:dyDescent="0.35">
      <c r="A8" s="8" t="s">
        <v>49</v>
      </c>
      <c r="C8" s="40" t="s">
        <v>107</v>
      </c>
      <c r="D8" s="41">
        <v>1.02</v>
      </c>
      <c r="F8" s="40" t="s">
        <v>108</v>
      </c>
      <c r="G8" s="49">
        <f>1/1.01</f>
        <v>0.99009900990099009</v>
      </c>
    </row>
    <row r="9" spans="1:29" ht="24" customHeight="1" x14ac:dyDescent="0.35">
      <c r="A9" s="8"/>
    </row>
    <row r="10" spans="1:29" ht="33" customHeight="1" x14ac:dyDescent="0.35">
      <c r="A10" s="8" t="s">
        <v>12</v>
      </c>
    </row>
    <row r="11" spans="1:29" ht="24" customHeight="1" x14ac:dyDescent="0.35">
      <c r="A11" s="8" t="s">
        <v>4</v>
      </c>
      <c r="B11" s="41">
        <v>7.0000000000000007E-2</v>
      </c>
    </row>
    <row r="12" spans="1:29" ht="25" customHeight="1" x14ac:dyDescent="0.35">
      <c r="A12" s="8" t="s">
        <v>6</v>
      </c>
      <c r="B12" s="41">
        <v>8760</v>
      </c>
    </row>
    <row r="13" spans="1:29" ht="25" customHeight="1" x14ac:dyDescent="0.35">
      <c r="A13" s="8"/>
    </row>
    <row r="14" spans="1:29" ht="63.65" customHeight="1" x14ac:dyDescent="0.35">
      <c r="A14" s="8" t="s">
        <v>45</v>
      </c>
      <c r="B14" s="86" t="s">
        <v>59</v>
      </c>
      <c r="C14" s="86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20"/>
      <c r="R14" s="20"/>
      <c r="S14" s="79" t="s">
        <v>60</v>
      </c>
      <c r="T14" s="79"/>
      <c r="U14" s="79" t="s">
        <v>112</v>
      </c>
      <c r="V14" s="79"/>
    </row>
    <row r="15" spans="1:29" s="8" customFormat="1" ht="36.65" customHeight="1" x14ac:dyDescent="0.35">
      <c r="A15" s="8" t="s">
        <v>51</v>
      </c>
      <c r="B15" s="80" t="s">
        <v>52</v>
      </c>
      <c r="C15" s="80"/>
      <c r="D15" s="85" t="s">
        <v>53</v>
      </c>
      <c r="E15" s="85"/>
      <c r="F15" s="84" t="s">
        <v>70</v>
      </c>
      <c r="G15" s="84"/>
      <c r="H15" s="84"/>
      <c r="I15" s="83" t="s">
        <v>71</v>
      </c>
      <c r="J15" s="83"/>
      <c r="K15" s="83"/>
      <c r="L15" s="90" t="s">
        <v>73</v>
      </c>
      <c r="M15" s="90"/>
      <c r="N15" s="92" t="s">
        <v>54</v>
      </c>
      <c r="O15" s="92"/>
      <c r="P15" s="91" t="s">
        <v>113</v>
      </c>
      <c r="Q15" s="91"/>
      <c r="R15" s="91"/>
      <c r="S15" s="78" t="s">
        <v>56</v>
      </c>
      <c r="T15" s="78"/>
      <c r="U15" s="82" t="s">
        <v>57</v>
      </c>
      <c r="V15" s="82"/>
    </row>
    <row r="16" spans="1:29" ht="127" customHeight="1" x14ac:dyDescent="0.35">
      <c r="A16" s="8" t="s">
        <v>55</v>
      </c>
      <c r="B16" s="79" t="s">
        <v>80</v>
      </c>
      <c r="C16" s="79"/>
      <c r="D16" s="79" t="s">
        <v>74</v>
      </c>
      <c r="E16" s="79"/>
      <c r="F16" s="79" t="s">
        <v>78</v>
      </c>
      <c r="G16" s="79"/>
      <c r="H16" s="79"/>
      <c r="I16" s="79" t="s">
        <v>77</v>
      </c>
      <c r="J16" s="79"/>
      <c r="K16" s="79"/>
      <c r="L16" s="79" t="s">
        <v>76</v>
      </c>
      <c r="M16" s="79"/>
      <c r="N16" s="79" t="s">
        <v>75</v>
      </c>
      <c r="O16" s="79"/>
      <c r="P16" s="79" t="s">
        <v>114</v>
      </c>
      <c r="Q16" s="79"/>
      <c r="R16" s="79"/>
      <c r="S16" s="79" t="s">
        <v>106</v>
      </c>
      <c r="T16" s="79"/>
      <c r="U16" s="79" t="s">
        <v>103</v>
      </c>
      <c r="V16" s="79"/>
      <c r="W16" s="2" t="s">
        <v>118</v>
      </c>
      <c r="X16" s="2" t="s">
        <v>117</v>
      </c>
    </row>
    <row r="17" spans="1:27" s="8" customFormat="1" ht="23.5" customHeight="1" x14ac:dyDescent="0.35">
      <c r="B17" s="40" t="s">
        <v>66</v>
      </c>
      <c r="C17" s="40" t="s">
        <v>67</v>
      </c>
      <c r="D17" s="40" t="s">
        <v>66</v>
      </c>
      <c r="E17" s="40" t="s">
        <v>67</v>
      </c>
      <c r="F17" s="40" t="s">
        <v>68</v>
      </c>
      <c r="G17" s="40" t="s">
        <v>66</v>
      </c>
      <c r="H17" s="40" t="s">
        <v>69</v>
      </c>
      <c r="I17" s="40" t="s">
        <v>68</v>
      </c>
      <c r="J17" s="40" t="s">
        <v>66</v>
      </c>
      <c r="K17" s="40" t="s">
        <v>69</v>
      </c>
      <c r="L17" s="40" t="s">
        <v>66</v>
      </c>
      <c r="M17" s="40" t="s">
        <v>67</v>
      </c>
      <c r="N17" s="40" t="s">
        <v>66</v>
      </c>
      <c r="O17" s="40" t="s">
        <v>67</v>
      </c>
      <c r="P17" s="40" t="s">
        <v>68</v>
      </c>
      <c r="Q17" s="40" t="s">
        <v>66</v>
      </c>
      <c r="R17" s="40" t="s">
        <v>69</v>
      </c>
      <c r="S17" s="40" t="s">
        <v>66</v>
      </c>
      <c r="T17" s="40" t="s">
        <v>67</v>
      </c>
      <c r="U17" s="40" t="s">
        <v>66</v>
      </c>
      <c r="V17" s="40" t="s">
        <v>67</v>
      </c>
    </row>
    <row r="18" spans="1:27" ht="41.5" customHeight="1" x14ac:dyDescent="0.35">
      <c r="A18" s="8" t="s">
        <v>65</v>
      </c>
      <c r="B18" s="41">
        <f>320*_2018_USD_to__2019_USD</f>
        <v>326.39999999999998</v>
      </c>
      <c r="C18" s="41">
        <f>246*_2018_USD_to__2019_USD</f>
        <v>250.92000000000002</v>
      </c>
      <c r="D18" s="41">
        <f>196*_2018_USD_to__2019_USD</f>
        <v>199.92000000000002</v>
      </c>
      <c r="E18" s="41">
        <f>1384*_2018_USD_to__2019_USD</f>
        <v>1411.68</v>
      </c>
      <c r="F18" s="41">
        <f>507*_2018_USD_to__2019_USD</f>
        <v>517.14</v>
      </c>
      <c r="G18" s="41">
        <f>17.5*_2018_USD_to__2019_USD</f>
        <v>17.850000000000001</v>
      </c>
      <c r="H18" s="41">
        <f>759*_2018_USD_to__2019_USD</f>
        <v>774.18000000000006</v>
      </c>
      <c r="I18" s="41">
        <f>507*_2018_USD_to__2019_USD</f>
        <v>517.14</v>
      </c>
      <c r="J18" s="41">
        <f>50.1*_2018_USD_to__2019_USD</f>
        <v>51.102000000000004</v>
      </c>
      <c r="K18" s="41">
        <f>759*_2018_USD_to__2019_USD</f>
        <v>774.18000000000006</v>
      </c>
      <c r="L18" s="41">
        <f>103.1*_2018_USD_to__2019_USD</f>
        <v>105.16199999999999</v>
      </c>
      <c r="M18" s="41">
        <f>1612*_2018_USD_to__2019_USD</f>
        <v>1644.24</v>
      </c>
      <c r="N18" s="41">
        <f>37.1*_2018_USD_to__2019_USD</f>
        <v>37.841999999999999</v>
      </c>
      <c r="O18" s="41">
        <f>1670*_2018_USD_to__2019_USD</f>
        <v>1703.4</v>
      </c>
      <c r="P18" s="41">
        <f>1673*_2018_USD_to__2019_USD</f>
        <v>1706.46</v>
      </c>
      <c r="Q18" s="41">
        <f>1.96*_2018_USD_to__2019_USD</f>
        <v>1.9992000000000001</v>
      </c>
      <c r="R18" s="41">
        <f>1387*_2018_USD_to__2019_USD</f>
        <v>1414.74</v>
      </c>
      <c r="S18" s="42">
        <f>117.799750288129*_2020_USD_to__2019_USD</f>
        <v>116.6334161268604</v>
      </c>
      <c r="T18" s="42">
        <f>1430.07299270073*_2020_USD_to__2019_USD</f>
        <v>1415.9138541591387</v>
      </c>
      <c r="U18" s="41">
        <f>2.4*_2018_USD_to__2019_USD</f>
        <v>2.448</v>
      </c>
      <c r="V18" s="41">
        <f>643*_2018_USD_to__2019_USD</f>
        <v>655.86</v>
      </c>
      <c r="W18" s="2">
        <f>U18+V18/100</f>
        <v>9.0066000000000006</v>
      </c>
      <c r="X18" s="2">
        <v>20</v>
      </c>
    </row>
    <row r="19" spans="1:27" ht="31" customHeight="1" x14ac:dyDescent="0.35">
      <c r="A19" s="2" t="s">
        <v>104</v>
      </c>
      <c r="B19" s="43">
        <v>4.24E-2</v>
      </c>
      <c r="C19" s="41">
        <f>8.3*_2018_USD_to__2019_USD</f>
        <v>8.4660000000000011</v>
      </c>
      <c r="D19" s="43">
        <v>1.4999999999999999E-2</v>
      </c>
      <c r="E19" s="41">
        <f>8.26*_2018_USD_to__2019_USD</f>
        <v>8.4252000000000002</v>
      </c>
      <c r="F19" s="41">
        <f>13.54*_2018_USD_to__2019_USD</f>
        <v>13.810799999999999</v>
      </c>
      <c r="G19" s="43">
        <v>1.4999999999999999E-2</v>
      </c>
      <c r="H19" s="41">
        <f>13.54*_2018_USD_to__2019_USD</f>
        <v>13.810799999999999</v>
      </c>
      <c r="I19" s="41">
        <f>13.54*_2018_USD_to__2019_USD</f>
        <v>13.810799999999999</v>
      </c>
      <c r="J19" s="43">
        <v>1.4999999999999999E-2</v>
      </c>
      <c r="K19" s="41">
        <f>13.54*_2018_USD_to__2019_USD</f>
        <v>13.810799999999999</v>
      </c>
      <c r="L19" s="43">
        <v>1.4999999999999999E-2</v>
      </c>
      <c r="M19" s="41">
        <f>12.5*_2018_USD_to__2019_USD</f>
        <v>12.75</v>
      </c>
      <c r="N19" s="43">
        <v>1.4999999999999999E-2</v>
      </c>
      <c r="O19" s="41">
        <f>13.6*_2018_USD_to__2019_USD</f>
        <v>13.872</v>
      </c>
      <c r="P19" s="41">
        <f>12.8*_2018_USD_to__2019_USD</f>
        <v>13.056000000000001</v>
      </c>
      <c r="Q19" s="43">
        <v>1.4999999999999999E-2</v>
      </c>
      <c r="R19" s="41">
        <f>12.8*_2018_USD_to__2019_USD</f>
        <v>13.056000000000001</v>
      </c>
      <c r="S19" s="72">
        <f>0.581989051094891*_2020_USD_to__2019_USD/S18</f>
        <v>4.9404947775474155E-3</v>
      </c>
      <c r="T19" s="42">
        <f>11.9512773722628*_2020_USD_to__2019_USD</f>
        <v>11.832947893329504</v>
      </c>
      <c r="U19" s="71">
        <f>0.1*_2018_USD_to__2019_USD/U18</f>
        <v>4.1666666666666671E-2</v>
      </c>
      <c r="V19" s="41">
        <f>16.1*_2018_USD_to__2019_USD</f>
        <v>16.422000000000001</v>
      </c>
      <c r="X19" s="73">
        <f>0.1*_2018_USD_to__2019_USD</f>
        <v>0.10200000000000001</v>
      </c>
      <c r="Y19" s="2">
        <v>16.422000000000001</v>
      </c>
    </row>
    <row r="20" spans="1:27" ht="44.15" customHeight="1" x14ac:dyDescent="0.35">
      <c r="A20" s="2" t="s">
        <v>81</v>
      </c>
      <c r="B20" s="41" t="s">
        <v>79</v>
      </c>
      <c r="C20" s="43">
        <v>1.4999999999999999E-2</v>
      </c>
      <c r="D20" s="41" t="s">
        <v>79</v>
      </c>
      <c r="E20" s="43">
        <v>1.4999999999999999E-2</v>
      </c>
      <c r="F20" s="43">
        <v>1.4999999999999999E-2</v>
      </c>
      <c r="G20" s="41" t="s">
        <v>79</v>
      </c>
      <c r="H20" s="43">
        <v>1.4999999999999999E-2</v>
      </c>
      <c r="I20" s="43">
        <v>1.4999999999999999E-2</v>
      </c>
      <c r="J20" s="41" t="s">
        <v>79</v>
      </c>
      <c r="K20" s="43">
        <v>1.4999999999999999E-2</v>
      </c>
      <c r="L20" s="41" t="s">
        <v>79</v>
      </c>
      <c r="M20" s="43">
        <v>1.4999999999999999E-2</v>
      </c>
      <c r="N20" s="41" t="s">
        <v>79</v>
      </c>
      <c r="O20" s="43">
        <v>1.4999999999999999E-2</v>
      </c>
      <c r="P20" s="43">
        <v>1.4999999999999999E-2</v>
      </c>
      <c r="Q20" s="41" t="s">
        <v>79</v>
      </c>
      <c r="R20" s="43">
        <v>1.4999999999999999E-2</v>
      </c>
      <c r="S20" s="41" t="s">
        <v>79</v>
      </c>
      <c r="T20" s="41" t="s">
        <v>79</v>
      </c>
      <c r="U20" s="41" t="s">
        <v>79</v>
      </c>
      <c r="V20" s="41" t="s">
        <v>79</v>
      </c>
      <c r="X20" s="43" t="s">
        <v>79</v>
      </c>
      <c r="Y20" s="2" t="s">
        <v>119</v>
      </c>
    </row>
    <row r="21" spans="1:27" ht="31" customHeight="1" x14ac:dyDescent="0.35">
      <c r="A21" s="2" t="s">
        <v>72</v>
      </c>
      <c r="B21" s="41">
        <v>30</v>
      </c>
      <c r="C21" s="41">
        <v>30</v>
      </c>
      <c r="D21" s="41">
        <v>30</v>
      </c>
      <c r="E21" s="41">
        <v>30</v>
      </c>
      <c r="F21" s="41">
        <v>30</v>
      </c>
      <c r="G21" s="41">
        <v>30</v>
      </c>
      <c r="H21" s="41">
        <v>30</v>
      </c>
      <c r="I21" s="41">
        <v>30</v>
      </c>
      <c r="J21" s="41">
        <v>30</v>
      </c>
      <c r="K21" s="41">
        <v>30</v>
      </c>
      <c r="L21" s="41">
        <v>30</v>
      </c>
      <c r="M21" s="41">
        <v>30</v>
      </c>
      <c r="N21" s="41">
        <v>30</v>
      </c>
      <c r="O21" s="41">
        <v>30</v>
      </c>
      <c r="P21" s="41">
        <v>30</v>
      </c>
      <c r="Q21" s="41">
        <v>30</v>
      </c>
      <c r="R21" s="41">
        <v>30</v>
      </c>
      <c r="S21" s="41">
        <v>49</v>
      </c>
      <c r="T21" s="41">
        <v>49</v>
      </c>
      <c r="U21" s="41">
        <v>30</v>
      </c>
      <c r="V21" s="41">
        <v>30</v>
      </c>
      <c r="X21" s="2">
        <v>30</v>
      </c>
    </row>
    <row r="22" spans="1:27" ht="31" customHeight="1" x14ac:dyDescent="0.35">
      <c r="A22" s="2" t="s">
        <v>84</v>
      </c>
      <c r="B22" s="44">
        <f t="shared" ref="B22:R22" si="0">Discount_rate*(1+Discount_rate)^B21/((1+Discount_rate)^B21-1)</f>
        <v>8.0586403511111196E-2</v>
      </c>
      <c r="C22" s="44">
        <f t="shared" si="0"/>
        <v>8.0586403511111196E-2</v>
      </c>
      <c r="D22" s="44">
        <f t="shared" ref="D22" si="1">Discount_rate*(1+Discount_rate)^D21/((1+Discount_rate)^D21-1)</f>
        <v>8.0586403511111196E-2</v>
      </c>
      <c r="E22" s="44">
        <f t="shared" si="0"/>
        <v>8.0586403511111196E-2</v>
      </c>
      <c r="F22" s="44">
        <f t="shared" si="0"/>
        <v>8.0586403511111196E-2</v>
      </c>
      <c r="G22" s="44">
        <f t="shared" ref="G22" si="2">Discount_rate*(1+Discount_rate)^G21/((1+Discount_rate)^G21-1)</f>
        <v>8.0586403511111196E-2</v>
      </c>
      <c r="H22" s="44">
        <f t="shared" si="0"/>
        <v>8.0586403511111196E-2</v>
      </c>
      <c r="I22" s="44">
        <f t="shared" si="0"/>
        <v>8.0586403511111196E-2</v>
      </c>
      <c r="J22" s="44">
        <f t="shared" ref="J22" si="3">Discount_rate*(1+Discount_rate)^J21/((1+Discount_rate)^J21-1)</f>
        <v>8.0586403511111196E-2</v>
      </c>
      <c r="K22" s="44">
        <f t="shared" si="0"/>
        <v>8.0586403511111196E-2</v>
      </c>
      <c r="L22" s="44">
        <f t="shared" si="0"/>
        <v>8.0586403511111196E-2</v>
      </c>
      <c r="M22" s="44">
        <f t="shared" si="0"/>
        <v>8.0586403511111196E-2</v>
      </c>
      <c r="N22" s="44">
        <f t="shared" si="0"/>
        <v>8.0586403511111196E-2</v>
      </c>
      <c r="O22" s="44">
        <f t="shared" si="0"/>
        <v>8.0586403511111196E-2</v>
      </c>
      <c r="P22" s="44">
        <f t="shared" si="0"/>
        <v>8.0586403511111196E-2</v>
      </c>
      <c r="Q22" s="44">
        <f t="shared" si="0"/>
        <v>8.0586403511111196E-2</v>
      </c>
      <c r="R22" s="44">
        <f t="shared" si="0"/>
        <v>8.0586403511111196E-2</v>
      </c>
      <c r="S22" s="44">
        <f>(Discount_rate*(1+Discount_rate)^S21)/(((1+Discount_rate)^S21)-1)</f>
        <v>7.2638529392692081E-2</v>
      </c>
      <c r="T22" s="44">
        <f>(Discount_rate*(1+Discount_rate)^T21)/(((1+Discount_rate)^T21)-1)</f>
        <v>7.2638529392692081E-2</v>
      </c>
      <c r="U22" s="44">
        <f t="shared" ref="U22:X22" si="4">Discount_rate*(1+Discount_rate)^U21/((1+Discount_rate)^U21-1)</f>
        <v>8.0586403511111196E-2</v>
      </c>
      <c r="V22" s="44">
        <f t="shared" si="4"/>
        <v>8.0586403511111196E-2</v>
      </c>
      <c r="W22" s="10"/>
      <c r="X22" s="44">
        <f t="shared" si="4"/>
        <v>8.0586403511111196E-2</v>
      </c>
      <c r="Y22" s="10"/>
      <c r="Z22" s="10"/>
      <c r="AA22" s="10"/>
    </row>
    <row r="23" spans="1:27" ht="31" customHeight="1" x14ac:dyDescent="0.35">
      <c r="A23" s="2" t="s">
        <v>82</v>
      </c>
      <c r="B23" s="45">
        <f>((B18+ B19*B18)*B22)</f>
        <v>27.418666355322223</v>
      </c>
      <c r="C23" s="45">
        <f>((C18+ C20*C18)*C22)+C19</f>
        <v>28.990051474543144</v>
      </c>
      <c r="D23" s="45">
        <f>((D18+ D19*D18)*D22)</f>
        <v>16.35249629679047</v>
      </c>
      <c r="E23" s="45">
        <f>((E18+ E20*E18)*E22)+E19</f>
        <v>123.89384732019394</v>
      </c>
      <c r="F23" s="45">
        <f>((F18+ F20*F18)*F22)+F19</f>
        <v>56.110369502412084</v>
      </c>
      <c r="G23" s="45">
        <f>((G18+ G19*G18)*G22)</f>
        <v>1.460044312213435</v>
      </c>
      <c r="H23" s="45">
        <f>((H18+ H20*H18)*H22)+H19</f>
        <v>77.135007598285554</v>
      </c>
      <c r="I23" s="45">
        <f>((I18+ I20*I18)*I22)+I19</f>
        <v>56.110369502412084</v>
      </c>
      <c r="J23" s="45">
        <f>((J18+ J19*J18)*J22)</f>
        <v>4.179898288108177</v>
      </c>
      <c r="K23" s="45">
        <f>((K18+ K20*K18)*K22)+K19</f>
        <v>77.135007598285554</v>
      </c>
      <c r="L23" s="45">
        <f>((L18+ L19*L18)*L22)</f>
        <v>8.6017467765260083</v>
      </c>
      <c r="M23" s="45">
        <f>((M18+ M20*M18)*M22)+M19</f>
        <v>147.24093893074613</v>
      </c>
      <c r="N23" s="45">
        <f>((N18+ N19*N18)*N22)</f>
        <v>3.0952939418924821</v>
      </c>
      <c r="O23" s="45">
        <f>((O18+ O20*O18)*O22)+O19</f>
        <v>153.20194293693919</v>
      </c>
      <c r="P23" s="45">
        <f>((P18+ P20*P18)*P22)+P19</f>
        <v>152.63623624760439</v>
      </c>
      <c r="Q23" s="45">
        <f>((Q18+ Q19*Q18)*Q22)</f>
        <v>0.1635249629679047</v>
      </c>
      <c r="R23" s="45">
        <f>((R18+ R20*R18)*R22)+R19</f>
        <v>128.77494063085911</v>
      </c>
      <c r="S23" s="45">
        <f>((S18+ S19*S18)*S22)</f>
        <v>8.5139360916338891</v>
      </c>
      <c r="T23" s="45">
        <f>T18*T22+T19</f>
        <v>114.68284800618802</v>
      </c>
      <c r="U23" s="45">
        <f>((U18+ U19*U18)*U22)</f>
        <v>0.20549532895333353</v>
      </c>
      <c r="V23" s="45">
        <f>V18*V22+V19</f>
        <v>69.275398606797395</v>
      </c>
      <c r="X23" s="2">
        <f>X18*X22+X19+Y19/100</f>
        <v>1.877948070222224</v>
      </c>
    </row>
    <row r="24" spans="1:27" ht="31" customHeight="1" x14ac:dyDescent="0.35">
      <c r="A24" s="2" t="s">
        <v>83</v>
      </c>
      <c r="B24" s="45">
        <f>B23/HOURS_PER_YEAR</f>
        <v>3.1299847437582448E-3</v>
      </c>
      <c r="C24" s="45">
        <f>C23/'Storage Techs'!HOURS_PER_YEAR</f>
        <v>3.3093666066830074E-3</v>
      </c>
      <c r="D24" s="46">
        <f>D23/HOURS_PER_YEAR</f>
        <v>1.8667233215514235E-3</v>
      </c>
      <c r="E24" s="46">
        <f>E23/'Storage Techs'!HOURS_PER_YEAR</f>
        <v>1.4143133255729901E-2</v>
      </c>
      <c r="F24" s="46">
        <f>F23/'Storage Techs'!HOURS_PER_YEAR</f>
        <v>6.4052933221931604E-3</v>
      </c>
      <c r="G24" s="46">
        <f>G23/HOURS_PER_YEAR</f>
        <v>1.6667172513851997E-4</v>
      </c>
      <c r="H24" s="46">
        <f>H23/'Storage Techs'!HOURS_PER_YEAR</f>
        <v>8.8053661641878493E-3</v>
      </c>
      <c r="I24" s="46">
        <f>I23/'Storage Techs'!HOURS_PER_YEAR</f>
        <v>6.4052933221931604E-3</v>
      </c>
      <c r="J24" s="46">
        <f>J23/HOURS_PER_YEAR</f>
        <v>4.7715733882513437E-4</v>
      </c>
      <c r="K24" s="46">
        <f>K23/'Storage Techs'!HOURS_PER_YEAR</f>
        <v>8.8053661641878493E-3</v>
      </c>
      <c r="L24" s="46">
        <f>L23/HOURS_PER_YEAR</f>
        <v>9.8193456353036631E-4</v>
      </c>
      <c r="M24" s="46">
        <f>M23/'Storage Techs'!HOURS_PER_YEAR</f>
        <v>1.680832636195732E-2</v>
      </c>
      <c r="N24" s="46">
        <f>N23/HOURS_PER_YEAR</f>
        <v>3.5334405729366234E-4</v>
      </c>
      <c r="O24" s="46">
        <f>O23/'Storage Techs'!HOURS_PER_YEAR</f>
        <v>1.7488806271340092E-2</v>
      </c>
      <c r="P24" s="46">
        <f>P23/'Storage Techs'!HOURS_PER_YEAR</f>
        <v>1.742422788214662E-2</v>
      </c>
      <c r="Q24" s="46">
        <f>Q23/HOURS_PER_YEAR</f>
        <v>1.8667233215514235E-5</v>
      </c>
      <c r="R24" s="46">
        <f>R23/'Storage Techs'!HOURS_PER_YEAR</f>
        <v>1.4700335688454236E-2</v>
      </c>
      <c r="S24" s="46">
        <f>S23/'Storage Techs'!HOURS_PER_YEAR</f>
        <v>9.7191051274359464E-4</v>
      </c>
      <c r="T24" s="46">
        <f>T23/'Storage Techs'!HOURS_PER_YEAR</f>
        <v>1.3091649315774889E-2</v>
      </c>
      <c r="U24" s="46">
        <f>U23/'Storage Techs'!HOURS_PER_YEAR</f>
        <v>2.3458370885083738E-5</v>
      </c>
      <c r="V24" s="46">
        <f>V23/'Storage Techs'!HOURS_PER_YEAR</f>
        <v>7.9081505258901136E-3</v>
      </c>
      <c r="W24" s="2">
        <f>U24+V24/100</f>
        <v>1.0253987614398488E-4</v>
      </c>
      <c r="X24" s="46">
        <f>X23/'Storage Techs'!HOURS_PER_YEAR</f>
        <v>2.1437763358701187E-4</v>
      </c>
    </row>
    <row r="25" spans="1:27" ht="31" customHeight="1" x14ac:dyDescent="0.35">
      <c r="A25" s="2" t="s">
        <v>85</v>
      </c>
      <c r="B25" s="81">
        <f>B24+C24/4</f>
        <v>3.9573263954289966E-3</v>
      </c>
      <c r="C25" s="8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7" ht="31" customHeight="1" x14ac:dyDescent="0.35">
      <c r="A26" s="2" t="s">
        <v>0</v>
      </c>
      <c r="B26" s="41" t="s">
        <v>79</v>
      </c>
      <c r="C26" s="47">
        <v>3.0999999999999999E-3</v>
      </c>
      <c r="D26" s="47" t="s">
        <v>79</v>
      </c>
      <c r="E26" s="47">
        <v>2.6890000000000001E-2</v>
      </c>
      <c r="F26" s="47">
        <v>0</v>
      </c>
      <c r="G26" s="47" t="s">
        <v>79</v>
      </c>
      <c r="H26" s="47">
        <v>3.3E-3</v>
      </c>
      <c r="I26" s="47">
        <v>0</v>
      </c>
      <c r="J26" s="47" t="s">
        <v>79</v>
      </c>
      <c r="K26" s="47">
        <v>3.3E-3</v>
      </c>
      <c r="L26" s="47" t="s">
        <v>79</v>
      </c>
      <c r="M26" s="47">
        <v>2.9999999999999997E-4</v>
      </c>
      <c r="N26" s="47" t="s">
        <v>79</v>
      </c>
      <c r="O26" s="47">
        <v>3.3E-3</v>
      </c>
      <c r="P26" s="47">
        <v>1.2999999999999999E-3</v>
      </c>
      <c r="Q26" s="47" t="s">
        <v>79</v>
      </c>
      <c r="R26" s="47">
        <v>2.8E-3</v>
      </c>
      <c r="S26" s="47" t="s">
        <v>79</v>
      </c>
      <c r="T26" s="47">
        <v>0.51249999999999996</v>
      </c>
      <c r="U26" s="47" t="s">
        <v>79</v>
      </c>
      <c r="V26" s="47">
        <v>0</v>
      </c>
    </row>
    <row r="27" spans="1:27" ht="31" customHeight="1" x14ac:dyDescent="0.35">
      <c r="A27" s="2" t="s">
        <v>100</v>
      </c>
      <c r="B27" s="41" t="s">
        <v>79</v>
      </c>
      <c r="C27" s="47">
        <f>C26/1000</f>
        <v>3.1E-6</v>
      </c>
      <c r="D27" s="47" t="s">
        <v>79</v>
      </c>
      <c r="E27" s="47">
        <f>E26/1000</f>
        <v>2.6890000000000002E-5</v>
      </c>
      <c r="F27" s="47">
        <f>F26/1000</f>
        <v>0</v>
      </c>
      <c r="G27" s="47" t="s">
        <v>79</v>
      </c>
      <c r="H27" s="47">
        <f>H26/1000</f>
        <v>3.3000000000000002E-6</v>
      </c>
      <c r="I27" s="47">
        <f>I26/1000</f>
        <v>0</v>
      </c>
      <c r="J27" s="47" t="s">
        <v>79</v>
      </c>
      <c r="K27" s="47">
        <f>K26/1000</f>
        <v>3.3000000000000002E-6</v>
      </c>
      <c r="L27" s="47" t="s">
        <v>79</v>
      </c>
      <c r="M27" s="47">
        <f>M26/1000</f>
        <v>2.9999999999999999E-7</v>
      </c>
      <c r="N27" s="47" t="s">
        <v>79</v>
      </c>
      <c r="O27" s="47">
        <f>O26/1000</f>
        <v>3.3000000000000002E-6</v>
      </c>
      <c r="P27" s="47">
        <f>P26/1000</f>
        <v>1.2999999999999998E-6</v>
      </c>
      <c r="Q27" s="47" t="s">
        <v>79</v>
      </c>
      <c r="R27" s="47">
        <f>R26/1000</f>
        <v>2.7999999999999999E-6</v>
      </c>
      <c r="S27" s="47" t="s">
        <v>79</v>
      </c>
      <c r="T27" s="47">
        <f>T26/1000</f>
        <v>5.1249999999999993E-4</v>
      </c>
      <c r="U27" s="47" t="s">
        <v>79</v>
      </c>
      <c r="V27" s="47">
        <f>V26/1000</f>
        <v>0</v>
      </c>
    </row>
    <row r="28" spans="1:27" ht="25" customHeight="1" x14ac:dyDescent="0.35">
      <c r="A28" s="2" t="s">
        <v>21</v>
      </c>
      <c r="B28" s="41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41" t="s">
        <v>79</v>
      </c>
      <c r="H28" s="41" t="s">
        <v>79</v>
      </c>
      <c r="I28" s="41" t="s">
        <v>79</v>
      </c>
      <c r="J28" s="41" t="s">
        <v>79</v>
      </c>
      <c r="K28" s="41" t="s">
        <v>79</v>
      </c>
      <c r="L28" s="41" t="s">
        <v>79</v>
      </c>
      <c r="M28" s="41" t="s">
        <v>79</v>
      </c>
      <c r="N28" s="41">
        <f>1.5%/24</f>
        <v>6.2500000000000001E-4</v>
      </c>
      <c r="O28" s="41" t="s">
        <v>79</v>
      </c>
      <c r="P28" s="41" t="s">
        <v>79</v>
      </c>
      <c r="Q28" s="41">
        <f>0.1%/24</f>
        <v>4.1666666666666665E-5</v>
      </c>
      <c r="R28" s="41" t="s">
        <v>79</v>
      </c>
      <c r="S28" s="41" t="s">
        <v>79</v>
      </c>
      <c r="T28" s="41" t="s">
        <v>79</v>
      </c>
      <c r="U28" s="41" t="s">
        <v>79</v>
      </c>
      <c r="V28" s="41" t="s">
        <v>79</v>
      </c>
    </row>
    <row r="29" spans="1:27" ht="25" customHeight="1" x14ac:dyDescent="0.35">
      <c r="A29" s="2" t="s">
        <v>101</v>
      </c>
      <c r="B29" s="41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41" t="s">
        <v>79</v>
      </c>
      <c r="I29" s="41" t="s">
        <v>79</v>
      </c>
      <c r="J29" s="41" t="s">
        <v>79</v>
      </c>
      <c r="K29" s="41" t="s">
        <v>79</v>
      </c>
      <c r="L29" s="41" t="s">
        <v>79</v>
      </c>
      <c r="M29" s="41" t="s">
        <v>79</v>
      </c>
      <c r="N29" s="41" t="s">
        <v>79</v>
      </c>
      <c r="O29" s="41" t="s">
        <v>79</v>
      </c>
      <c r="P29" s="48">
        <v>0.5</v>
      </c>
      <c r="Q29" s="41" t="s">
        <v>79</v>
      </c>
      <c r="R29" s="48">
        <v>0.71</v>
      </c>
      <c r="S29" s="41" t="s">
        <v>79</v>
      </c>
      <c r="T29" s="41" t="s">
        <v>79</v>
      </c>
      <c r="U29" s="41" t="s">
        <v>79</v>
      </c>
      <c r="V29" s="41" t="s">
        <v>105</v>
      </c>
    </row>
    <row r="30" spans="1:27" ht="23.15" customHeight="1" x14ac:dyDescent="0.35">
      <c r="A30" s="2" t="s">
        <v>102</v>
      </c>
      <c r="B30" s="74">
        <v>0.86</v>
      </c>
      <c r="C30" s="75"/>
      <c r="D30" s="74">
        <v>0.75</v>
      </c>
      <c r="E30" s="75"/>
      <c r="F30" s="74">
        <v>0.55000000000000004</v>
      </c>
      <c r="G30" s="75"/>
      <c r="H30" s="75"/>
      <c r="I30" s="74">
        <v>0.65</v>
      </c>
      <c r="J30" s="75"/>
      <c r="K30" s="75"/>
      <c r="L30" s="74">
        <v>0.81</v>
      </c>
      <c r="M30" s="75"/>
      <c r="N30" s="76">
        <v>0.52</v>
      </c>
      <c r="O30" s="77"/>
      <c r="P30" s="74">
        <v>0.36</v>
      </c>
      <c r="Q30" s="75"/>
      <c r="R30" s="75"/>
      <c r="S30" s="74">
        <v>0.84</v>
      </c>
      <c r="T30" s="75"/>
      <c r="U30" s="74">
        <v>0.46</v>
      </c>
      <c r="V30" s="75"/>
    </row>
    <row r="31" spans="1:27" s="22" customFormat="1" ht="144" customHeight="1" x14ac:dyDescent="0.35">
      <c r="A31" s="22" t="s">
        <v>30</v>
      </c>
    </row>
    <row r="32" spans="1:27" ht="48" customHeight="1" x14ac:dyDescent="0.35"/>
    <row r="33" ht="17.149999999999999" customHeight="1" x14ac:dyDescent="0.35"/>
  </sheetData>
  <mergeCells count="36">
    <mergeCell ref="A3:A5"/>
    <mergeCell ref="U3:U5"/>
    <mergeCell ref="B5:P5"/>
    <mergeCell ref="S14:T14"/>
    <mergeCell ref="U14:V14"/>
    <mergeCell ref="D15:E15"/>
    <mergeCell ref="D16:E16"/>
    <mergeCell ref="B14:P14"/>
    <mergeCell ref="B3:P3"/>
    <mergeCell ref="B4:P4"/>
    <mergeCell ref="L15:M15"/>
    <mergeCell ref="P16:R16"/>
    <mergeCell ref="P15:R15"/>
    <mergeCell ref="N15:O15"/>
    <mergeCell ref="L16:M16"/>
    <mergeCell ref="S15:T15"/>
    <mergeCell ref="S16:T16"/>
    <mergeCell ref="U30:V30"/>
    <mergeCell ref="B16:C16"/>
    <mergeCell ref="B15:C15"/>
    <mergeCell ref="B25:C25"/>
    <mergeCell ref="B30:C30"/>
    <mergeCell ref="D30:E30"/>
    <mergeCell ref="F30:H30"/>
    <mergeCell ref="U15:V15"/>
    <mergeCell ref="U16:V16"/>
    <mergeCell ref="N16:O16"/>
    <mergeCell ref="F16:H16"/>
    <mergeCell ref="I16:K16"/>
    <mergeCell ref="I15:K15"/>
    <mergeCell ref="F15:H15"/>
    <mergeCell ref="I30:K30"/>
    <mergeCell ref="L30:M30"/>
    <mergeCell ref="N30:O30"/>
    <mergeCell ref="P30:R30"/>
    <mergeCell ref="S30:T30"/>
  </mergeCells>
  <hyperlinks>
    <hyperlink ref="W5" r:id="rId1" xr:uid="{62110117-C5C0-43BE-85AA-FF88E5A999C5}"/>
    <hyperlink ref="W4" r:id="rId2" xr:uid="{925FAD6E-8314-4032-87BC-7A73E37B34D2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4F01-65BA-483D-AC9A-706309232BDA}">
  <dimension ref="A1:S35"/>
  <sheetViews>
    <sheetView zoomScale="119" workbookViewId="0">
      <selection activeCell="A13" sqref="A13:K31"/>
    </sheetView>
  </sheetViews>
  <sheetFormatPr defaultRowHeight="15.5" x14ac:dyDescent="0.35"/>
  <sheetData>
    <row r="1" spans="1:19" x14ac:dyDescent="0.35">
      <c r="A1" t="s">
        <v>51</v>
      </c>
      <c r="B1" s="94" t="s">
        <v>52</v>
      </c>
      <c r="C1" s="94"/>
      <c r="D1" s="94" t="s">
        <v>53</v>
      </c>
      <c r="E1" s="94"/>
      <c r="F1" s="94" t="s">
        <v>73</v>
      </c>
      <c r="G1" s="94"/>
      <c r="H1" s="94" t="s">
        <v>56</v>
      </c>
      <c r="I1" s="94"/>
      <c r="J1" s="94" t="s">
        <v>116</v>
      </c>
      <c r="K1" s="94"/>
      <c r="L1" s="94" t="s">
        <v>115</v>
      </c>
      <c r="M1" s="94"/>
      <c r="N1" s="94"/>
      <c r="O1" s="94" t="s">
        <v>57</v>
      </c>
      <c r="P1" s="94"/>
      <c r="Q1" s="94" t="s">
        <v>113</v>
      </c>
      <c r="R1" s="94"/>
      <c r="S1" s="94"/>
    </row>
    <row r="2" spans="1:19" x14ac:dyDescent="0.35">
      <c r="B2" t="s">
        <v>66</v>
      </c>
      <c r="C2" t="s">
        <v>67</v>
      </c>
      <c r="D2" t="s">
        <v>66</v>
      </c>
      <c r="E2" t="s">
        <v>67</v>
      </c>
      <c r="F2" t="s">
        <v>66</v>
      </c>
      <c r="G2" t="s">
        <v>67</v>
      </c>
      <c r="H2" t="s">
        <v>66</v>
      </c>
      <c r="I2" t="s">
        <v>67</v>
      </c>
      <c r="J2" t="s">
        <v>66</v>
      </c>
      <c r="K2" t="s">
        <v>67</v>
      </c>
      <c r="L2" t="s">
        <v>68</v>
      </c>
      <c r="M2" t="s">
        <v>66</v>
      </c>
      <c r="N2" t="s">
        <v>69</v>
      </c>
      <c r="O2" t="s">
        <v>66</v>
      </c>
      <c r="P2" t="s">
        <v>67</v>
      </c>
      <c r="Q2" t="s">
        <v>68</v>
      </c>
      <c r="R2" t="s">
        <v>66</v>
      </c>
      <c r="S2" t="s">
        <v>69</v>
      </c>
    </row>
    <row r="3" spans="1:19" x14ac:dyDescent="0.35">
      <c r="A3" t="s">
        <v>65</v>
      </c>
      <c r="B3" s="69">
        <v>326.39999999999998</v>
      </c>
      <c r="C3" s="69">
        <v>250.92000000000002</v>
      </c>
      <c r="D3" s="69">
        <v>199.92000000000002</v>
      </c>
      <c r="E3" s="69">
        <v>1411.68</v>
      </c>
      <c r="F3" s="69">
        <v>105.16199999999999</v>
      </c>
      <c r="G3" s="69">
        <v>1644.24</v>
      </c>
      <c r="H3" s="69">
        <v>116.6334161268604</v>
      </c>
      <c r="I3" s="69">
        <v>1415.9138541591387</v>
      </c>
      <c r="J3" s="69">
        <v>37.841999999999999</v>
      </c>
      <c r="K3" s="69">
        <v>1703.4</v>
      </c>
      <c r="L3" s="69">
        <v>517.14</v>
      </c>
      <c r="M3" s="69">
        <v>51.102000000000004</v>
      </c>
      <c r="N3" s="69">
        <v>774.18000000000006</v>
      </c>
      <c r="O3" s="69">
        <v>2.448</v>
      </c>
      <c r="P3" s="69">
        <v>655.86</v>
      </c>
      <c r="Q3" s="69">
        <v>1706.46</v>
      </c>
      <c r="R3" s="69">
        <v>1.9992000000000001</v>
      </c>
      <c r="S3" s="69">
        <v>1414.74</v>
      </c>
    </row>
    <row r="4" spans="1:19" x14ac:dyDescent="0.35">
      <c r="A4" t="s">
        <v>104</v>
      </c>
      <c r="B4" s="66">
        <v>4.24E-2</v>
      </c>
      <c r="C4" s="68">
        <v>8.4660000000000011</v>
      </c>
      <c r="D4" s="66">
        <v>1.4999999999999999E-2</v>
      </c>
      <c r="E4" s="68">
        <v>8.4252000000000002</v>
      </c>
      <c r="F4" s="66">
        <v>1.4999999999999999E-2</v>
      </c>
      <c r="G4" s="68">
        <v>12.75</v>
      </c>
      <c r="H4" s="70">
        <v>0.57999999999999996</v>
      </c>
      <c r="I4" s="68">
        <v>11.832947893329504</v>
      </c>
      <c r="J4" s="66">
        <v>1.4999999999999999E-2</v>
      </c>
      <c r="K4" s="68">
        <v>13.872</v>
      </c>
      <c r="L4" s="68">
        <v>13.810799999999999</v>
      </c>
      <c r="M4" s="66">
        <v>1.4999999999999999E-2</v>
      </c>
      <c r="N4" s="68">
        <v>13.810799999999999</v>
      </c>
      <c r="O4" s="66">
        <v>0.10200000000000001</v>
      </c>
      <c r="P4" s="68">
        <v>16.422000000000001</v>
      </c>
      <c r="Q4" s="68">
        <v>13.056000000000001</v>
      </c>
      <c r="R4" s="66">
        <v>1.4999999999999999E-2</v>
      </c>
      <c r="S4" s="68">
        <v>13.056000000000001</v>
      </c>
    </row>
    <row r="5" spans="1:19" x14ac:dyDescent="0.35">
      <c r="A5" t="s">
        <v>81</v>
      </c>
      <c r="B5" t="s">
        <v>79</v>
      </c>
      <c r="C5">
        <v>1.4999999999999999E-2</v>
      </c>
      <c r="D5" t="s">
        <v>79</v>
      </c>
      <c r="E5">
        <v>1.4999999999999999E-2</v>
      </c>
      <c r="F5" t="s">
        <v>79</v>
      </c>
      <c r="G5">
        <v>1.4999999999999999E-2</v>
      </c>
      <c r="H5" t="s">
        <v>79</v>
      </c>
      <c r="I5" t="s">
        <v>79</v>
      </c>
      <c r="J5" t="s">
        <v>79</v>
      </c>
      <c r="K5">
        <v>1.4999999999999999E-2</v>
      </c>
      <c r="L5">
        <v>1.4999999999999999E-2</v>
      </c>
      <c r="M5" t="s">
        <v>79</v>
      </c>
      <c r="N5">
        <v>1.4999999999999999E-2</v>
      </c>
      <c r="O5" t="s">
        <v>79</v>
      </c>
      <c r="P5" t="s">
        <v>79</v>
      </c>
      <c r="Q5">
        <v>1.4999999999999999E-2</v>
      </c>
      <c r="R5" t="s">
        <v>79</v>
      </c>
      <c r="S5">
        <v>1.4999999999999999E-2</v>
      </c>
    </row>
    <row r="6" spans="1:19" x14ac:dyDescent="0.35">
      <c r="A6" t="s">
        <v>72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49</v>
      </c>
      <c r="I6">
        <v>49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</row>
    <row r="7" spans="1:19" x14ac:dyDescent="0.35">
      <c r="A7" t="s">
        <v>84</v>
      </c>
      <c r="B7" s="67">
        <v>8.0586403511111196E-2</v>
      </c>
      <c r="C7" s="67">
        <v>8.0586403511111196E-2</v>
      </c>
      <c r="D7" s="67">
        <v>8.0586403511111196E-2</v>
      </c>
      <c r="E7" s="67">
        <v>8.0586403511111196E-2</v>
      </c>
      <c r="F7" s="67">
        <v>8.0586403511111196E-2</v>
      </c>
      <c r="G7" s="67">
        <v>8.0586403511111196E-2</v>
      </c>
      <c r="H7" s="67">
        <v>7.2638529392692081E-2</v>
      </c>
      <c r="I7" s="67">
        <v>7.2638529392692081E-2</v>
      </c>
      <c r="J7" s="67">
        <v>8.0586403511111196E-2</v>
      </c>
      <c r="K7" s="67">
        <v>8.0586403511111196E-2</v>
      </c>
      <c r="L7" s="67">
        <v>8.0586403511111196E-2</v>
      </c>
      <c r="M7" s="67">
        <v>8.0586403511111196E-2</v>
      </c>
      <c r="N7" s="67">
        <v>8.0586403511111196E-2</v>
      </c>
      <c r="O7" s="67">
        <v>8.0586403511111196E-2</v>
      </c>
      <c r="P7" s="67">
        <v>8.0586403511111196E-2</v>
      </c>
      <c r="Q7" s="67">
        <v>8.0586403511111196E-2</v>
      </c>
      <c r="R7" s="67">
        <v>8.0586403511111196E-2</v>
      </c>
      <c r="S7" s="67">
        <v>8.0586403511111196E-2</v>
      </c>
    </row>
    <row r="8" spans="1:19" x14ac:dyDescent="0.35">
      <c r="A8" t="s">
        <v>83</v>
      </c>
      <c r="B8" s="96">
        <v>3.9573263954289966E-3</v>
      </c>
      <c r="C8" s="96"/>
      <c r="D8" s="64">
        <v>1.8667233215514235E-3</v>
      </c>
      <c r="E8" s="64">
        <v>1.4143133255729901E-2</v>
      </c>
      <c r="F8" s="64">
        <v>9.8193456353036631E-4</v>
      </c>
      <c r="G8" s="64">
        <v>1.680832636195732E-2</v>
      </c>
      <c r="H8" s="64">
        <v>1.0329117133291441E-3</v>
      </c>
      <c r="I8" s="64">
        <v>1.3091649315774889E-2</v>
      </c>
      <c r="J8" s="64">
        <v>3.5334405729366234E-4</v>
      </c>
      <c r="K8" s="64">
        <v>1.7488806271340092E-2</v>
      </c>
      <c r="L8" s="64">
        <v>6.4052933221931604E-3</v>
      </c>
      <c r="M8" s="64">
        <v>4.7715733882513437E-4</v>
      </c>
      <c r="N8" s="64">
        <v>8.8053661641878493E-3</v>
      </c>
      <c r="O8" s="64">
        <v>3.4163871666118738E-5</v>
      </c>
      <c r="P8" s="64">
        <v>7.9081505258901136E-3</v>
      </c>
      <c r="Q8" s="64">
        <v>1.742422788214662E-2</v>
      </c>
      <c r="R8" s="64">
        <v>1.8667233215514235E-5</v>
      </c>
      <c r="S8" s="64">
        <v>1.4700335688454236E-2</v>
      </c>
    </row>
    <row r="9" spans="1:19" x14ac:dyDescent="0.35">
      <c r="A9" t="s">
        <v>0</v>
      </c>
      <c r="B9" s="94">
        <v>3.0999999999999999E-3</v>
      </c>
      <c r="C9" s="94"/>
      <c r="D9" t="s">
        <v>79</v>
      </c>
      <c r="E9">
        <v>2.6890000000000001E-2</v>
      </c>
      <c r="F9" t="s">
        <v>79</v>
      </c>
      <c r="G9">
        <v>2.9999999999999997E-4</v>
      </c>
      <c r="H9" t="s">
        <v>79</v>
      </c>
      <c r="I9">
        <v>0.51249999999999996</v>
      </c>
      <c r="J9" t="s">
        <v>79</v>
      </c>
      <c r="K9">
        <v>3.3E-3</v>
      </c>
      <c r="L9">
        <v>0</v>
      </c>
      <c r="M9" t="s">
        <v>79</v>
      </c>
      <c r="N9">
        <v>3.3E-3</v>
      </c>
      <c r="O9" t="s">
        <v>79</v>
      </c>
      <c r="P9">
        <v>0</v>
      </c>
      <c r="Q9">
        <v>1.2999999999999999E-3</v>
      </c>
      <c r="R9" t="s">
        <v>79</v>
      </c>
      <c r="S9">
        <v>2.8E-3</v>
      </c>
    </row>
    <row r="10" spans="1:19" x14ac:dyDescent="0.35">
      <c r="A10" t="s">
        <v>21</v>
      </c>
      <c r="B10" s="94" t="s">
        <v>79</v>
      </c>
      <c r="C10" s="94"/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>
        <v>6.2500000000000001E-4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>
        <v>4.1666666666666665E-5</v>
      </c>
      <c r="S10" t="s">
        <v>79</v>
      </c>
    </row>
    <row r="11" spans="1:19" x14ac:dyDescent="0.35">
      <c r="A11" t="s">
        <v>102</v>
      </c>
      <c r="B11" s="95">
        <v>0.86</v>
      </c>
      <c r="C11" s="95"/>
      <c r="D11" s="95">
        <v>0.75</v>
      </c>
      <c r="E11" s="95"/>
      <c r="F11" s="95">
        <v>0.81</v>
      </c>
      <c r="G11" s="95"/>
      <c r="H11" s="95">
        <v>0.84</v>
      </c>
      <c r="I11" s="95"/>
      <c r="J11" s="95">
        <v>0.52</v>
      </c>
      <c r="K11" s="95"/>
      <c r="L11" s="95">
        <v>0.65</v>
      </c>
      <c r="M11" s="95"/>
      <c r="N11" s="95"/>
      <c r="O11" s="95">
        <v>0.46</v>
      </c>
      <c r="P11" s="95"/>
      <c r="Q11" s="95">
        <v>0.36</v>
      </c>
      <c r="R11" s="95"/>
      <c r="S11" s="95"/>
    </row>
    <row r="13" spans="1:19" x14ac:dyDescent="0.35">
      <c r="A13" t="str" cm="1">
        <f t="array" ref="A13:K31">TRANSPOSE(A1:S11)</f>
        <v>Technology</v>
      </c>
      <c r="B13">
        <v>0</v>
      </c>
      <c r="C13" t="str">
        <v>Total overnight cost ($/kWh for energy components and $/kW for power components)</v>
      </c>
      <c r="D13" t="str">
        <v>Fixed O&amp;M (% of capital cost or $/kWh/yr $/kW/yr)</v>
      </c>
      <c r="E13" t="str">
        <v>Fixed property tax, insurance, licensing, permiting (% of capital cost)</v>
      </c>
      <c r="F13" t="str">
        <v>Assumed Lifetime (yr)</v>
      </c>
      <c r="G13" t="str">
        <v>Capital recovery factor (%/yr)</v>
      </c>
      <c r="H13" t="str">
        <v>Fixed Hourly Costs ($/kWh/h, $/kW/h)</v>
      </c>
      <c r="I13" t="str">
        <v>Variable O&amp;M ($/MWh)</v>
      </c>
      <c r="J13" t="str">
        <v>Decay rate (% per hour)</v>
      </c>
      <c r="K13" t="str">
        <v>Round-Trip Efficiency (%)</v>
      </c>
    </row>
    <row r="14" spans="1:19" x14ac:dyDescent="0.35">
      <c r="A14" t="str">
        <v xml:space="preserve">Li-ion </v>
      </c>
      <c r="B14" t="str">
        <v>Energy</v>
      </c>
      <c r="C14" s="69">
        <v>326.39999999999998</v>
      </c>
      <c r="D14">
        <v>4.24E-2</v>
      </c>
      <c r="E14" s="66" t="str">
        <v>-</v>
      </c>
      <c r="F14" s="70">
        <v>30</v>
      </c>
      <c r="G14" s="67">
        <v>8.0586403511111196E-2</v>
      </c>
      <c r="H14">
        <v>3.9573263954289966E-3</v>
      </c>
      <c r="I14">
        <v>3.0999999999999999E-3</v>
      </c>
      <c r="J14" t="str">
        <v>-</v>
      </c>
      <c r="K14" s="65">
        <v>0.86</v>
      </c>
      <c r="N14" s="65"/>
    </row>
    <row r="15" spans="1:19" x14ac:dyDescent="0.35">
      <c r="A15">
        <v>0</v>
      </c>
      <c r="B15" t="str">
        <v>Power</v>
      </c>
      <c r="C15" s="69">
        <v>250.92000000000002</v>
      </c>
      <c r="D15">
        <v>8.4660000000000011</v>
      </c>
      <c r="E15" s="66">
        <v>1.4999999999999999E-2</v>
      </c>
      <c r="F15" s="70">
        <v>30</v>
      </c>
      <c r="G15" s="67">
        <v>8.0586403511111196E-2</v>
      </c>
      <c r="H15">
        <v>0</v>
      </c>
      <c r="I15">
        <v>0</v>
      </c>
      <c r="J15">
        <v>0</v>
      </c>
      <c r="K15" s="65">
        <v>0</v>
      </c>
      <c r="N15" s="65"/>
    </row>
    <row r="16" spans="1:19" x14ac:dyDescent="0.35">
      <c r="A16" t="str">
        <v>RFB</v>
      </c>
      <c r="B16" t="str">
        <v>Energy</v>
      </c>
      <c r="C16" s="69">
        <v>199.92000000000002</v>
      </c>
      <c r="D16">
        <v>1.4999999999999999E-2</v>
      </c>
      <c r="E16" s="66" t="str">
        <v>-</v>
      </c>
      <c r="F16" s="70">
        <v>30</v>
      </c>
      <c r="G16" s="67">
        <v>8.0586403511111196E-2</v>
      </c>
      <c r="H16">
        <v>1.8667233215514235E-3</v>
      </c>
      <c r="I16" t="str">
        <v>-</v>
      </c>
      <c r="J16" t="str">
        <v>-</v>
      </c>
      <c r="K16" s="65">
        <v>0.75</v>
      </c>
      <c r="N16" s="65"/>
    </row>
    <row r="17" spans="1:14" x14ac:dyDescent="0.35">
      <c r="A17">
        <v>0</v>
      </c>
      <c r="B17" t="str">
        <v>Power</v>
      </c>
      <c r="C17" s="69">
        <v>1411.68</v>
      </c>
      <c r="D17">
        <v>8.4252000000000002</v>
      </c>
      <c r="E17" s="66">
        <v>1.4999999999999999E-2</v>
      </c>
      <c r="F17" s="70">
        <v>30</v>
      </c>
      <c r="G17" s="67">
        <v>8.0586403511111196E-2</v>
      </c>
      <c r="H17">
        <v>1.4143133255729901E-2</v>
      </c>
      <c r="I17">
        <v>2.6890000000000001E-2</v>
      </c>
      <c r="J17" t="str">
        <v>-</v>
      </c>
      <c r="K17" s="65">
        <v>0</v>
      </c>
      <c r="N17" s="65"/>
    </row>
    <row r="18" spans="1:14" x14ac:dyDescent="0.35">
      <c r="A18" t="str">
        <v>PHS</v>
      </c>
      <c r="B18" t="str">
        <v>Energy</v>
      </c>
      <c r="C18" s="69">
        <v>105.16199999999999</v>
      </c>
      <c r="D18">
        <v>1.4999999999999999E-2</v>
      </c>
      <c r="E18" s="66" t="str">
        <v>-</v>
      </c>
      <c r="F18" s="70">
        <v>30</v>
      </c>
      <c r="G18" s="67">
        <v>8.0586403511111196E-2</v>
      </c>
      <c r="H18">
        <v>9.8193456353036631E-4</v>
      </c>
      <c r="I18" t="str">
        <v>-</v>
      </c>
      <c r="J18" t="str">
        <v>-</v>
      </c>
      <c r="K18" s="65">
        <v>0.81</v>
      </c>
      <c r="N18" s="65"/>
    </row>
    <row r="19" spans="1:14" x14ac:dyDescent="0.35">
      <c r="A19">
        <v>0</v>
      </c>
      <c r="B19" t="str">
        <v>Power</v>
      </c>
      <c r="C19" s="69">
        <v>1644.24</v>
      </c>
      <c r="D19">
        <v>12.75</v>
      </c>
      <c r="E19" s="66">
        <v>1.4999999999999999E-2</v>
      </c>
      <c r="F19" s="70">
        <v>30</v>
      </c>
      <c r="G19" s="67">
        <v>8.0586403511111196E-2</v>
      </c>
      <c r="H19">
        <v>1.680832636195732E-2</v>
      </c>
      <c r="I19">
        <v>2.9999999999999997E-4</v>
      </c>
      <c r="J19" t="str">
        <v>-</v>
      </c>
      <c r="K19" s="65">
        <v>0</v>
      </c>
      <c r="N19" s="65"/>
    </row>
    <row r="20" spans="1:14" x14ac:dyDescent="0.35">
      <c r="A20" t="str">
        <v>Gravitational</v>
      </c>
      <c r="B20" t="str">
        <v>Energy</v>
      </c>
      <c r="C20" s="69">
        <v>116.6334161268604</v>
      </c>
      <c r="D20">
        <v>0.57999999999999996</v>
      </c>
      <c r="E20" s="66" t="str">
        <v>-</v>
      </c>
      <c r="F20" s="70">
        <v>49</v>
      </c>
      <c r="G20" s="67">
        <v>7.2638529392692081E-2</v>
      </c>
      <c r="H20">
        <v>1.0329117133291441E-3</v>
      </c>
      <c r="I20" t="str">
        <v>-</v>
      </c>
      <c r="J20" t="str">
        <v>-</v>
      </c>
      <c r="K20" s="65">
        <v>0.84</v>
      </c>
      <c r="N20" s="65"/>
    </row>
    <row r="21" spans="1:14" x14ac:dyDescent="0.35">
      <c r="A21">
        <v>0</v>
      </c>
      <c r="B21" t="str">
        <v>Power</v>
      </c>
      <c r="C21" s="69">
        <v>1415.9138541591387</v>
      </c>
      <c r="D21">
        <v>11.832947893329504</v>
      </c>
      <c r="E21" s="66" t="str">
        <v>-</v>
      </c>
      <c r="F21" s="70">
        <v>49</v>
      </c>
      <c r="G21" s="67">
        <v>7.2638529392692081E-2</v>
      </c>
      <c r="H21">
        <v>1.3091649315774889E-2</v>
      </c>
      <c r="I21">
        <v>0.51249999999999996</v>
      </c>
      <c r="J21" t="str">
        <v>-</v>
      </c>
      <c r="K21" s="65">
        <v>0</v>
      </c>
      <c r="N21" s="65"/>
    </row>
    <row r="22" spans="1:14" x14ac:dyDescent="0.35">
      <c r="A22" t="str">
        <v>Thermal</v>
      </c>
      <c r="B22" t="str">
        <v>Energy</v>
      </c>
      <c r="C22" s="69">
        <v>37.841999999999999</v>
      </c>
      <c r="D22">
        <v>1.4999999999999999E-2</v>
      </c>
      <c r="E22" s="66" t="str">
        <v>-</v>
      </c>
      <c r="F22" s="70">
        <v>30</v>
      </c>
      <c r="G22" s="67">
        <v>8.0586403511111196E-2</v>
      </c>
      <c r="H22">
        <v>3.5334405729366234E-4</v>
      </c>
      <c r="I22" t="str">
        <v>-</v>
      </c>
      <c r="J22">
        <v>6.2500000000000001E-4</v>
      </c>
      <c r="K22" s="65">
        <v>0.52</v>
      </c>
      <c r="N22" s="65"/>
    </row>
    <row r="23" spans="1:14" x14ac:dyDescent="0.35">
      <c r="A23">
        <v>0</v>
      </c>
      <c r="B23" t="str">
        <v>Power</v>
      </c>
      <c r="C23" s="69">
        <v>1703.4</v>
      </c>
      <c r="D23">
        <v>13.872</v>
      </c>
      <c r="E23" s="66">
        <v>1.4999999999999999E-2</v>
      </c>
      <c r="F23" s="70">
        <v>30</v>
      </c>
      <c r="G23" s="67">
        <v>8.0586403511111196E-2</v>
      </c>
      <c r="H23">
        <v>1.7488806271340092E-2</v>
      </c>
      <c r="I23">
        <v>3.3E-3</v>
      </c>
      <c r="J23" t="str">
        <v>-</v>
      </c>
      <c r="K23" s="65">
        <v>0</v>
      </c>
      <c r="N23" s="65"/>
    </row>
    <row r="24" spans="1:14" x14ac:dyDescent="0.35">
      <c r="A24" t="str">
        <v>A-CAES</v>
      </c>
      <c r="B24" t="str">
        <v>Power In</v>
      </c>
      <c r="C24" s="69">
        <v>517.14</v>
      </c>
      <c r="D24">
        <v>13.810799999999999</v>
      </c>
      <c r="E24" s="66">
        <v>1.4999999999999999E-2</v>
      </c>
      <c r="F24" s="70">
        <v>30</v>
      </c>
      <c r="G24" s="67">
        <v>8.0586403511111196E-2</v>
      </c>
      <c r="H24">
        <v>6.4052933221931604E-3</v>
      </c>
      <c r="I24">
        <v>0</v>
      </c>
      <c r="J24" t="str">
        <v>-</v>
      </c>
      <c r="K24" s="65">
        <v>0.65</v>
      </c>
      <c r="N24" s="65"/>
    </row>
    <row r="25" spans="1:14" x14ac:dyDescent="0.35">
      <c r="A25">
        <v>0</v>
      </c>
      <c r="B25" t="str">
        <v>Energy</v>
      </c>
      <c r="C25" s="69">
        <v>51.102000000000004</v>
      </c>
      <c r="D25">
        <v>1.4999999999999999E-2</v>
      </c>
      <c r="E25" s="66" t="str">
        <v>-</v>
      </c>
      <c r="F25" s="70">
        <v>30</v>
      </c>
      <c r="G25" s="67">
        <v>8.0586403511111196E-2</v>
      </c>
      <c r="H25">
        <v>4.7715733882513437E-4</v>
      </c>
      <c r="I25" t="str">
        <v>-</v>
      </c>
      <c r="J25" t="str">
        <v>-</v>
      </c>
      <c r="K25" s="65">
        <v>0</v>
      </c>
      <c r="N25" s="65"/>
    </row>
    <row r="26" spans="1:14" x14ac:dyDescent="0.35">
      <c r="A26">
        <v>0</v>
      </c>
      <c r="B26" t="str">
        <v>Power Out</v>
      </c>
      <c r="C26" s="69">
        <v>774.18000000000006</v>
      </c>
      <c r="D26">
        <v>13.810799999999999</v>
      </c>
      <c r="E26" s="66">
        <v>1.4999999999999999E-2</v>
      </c>
      <c r="F26" s="70">
        <v>30</v>
      </c>
      <c r="G26" s="67">
        <v>8.0586403511111196E-2</v>
      </c>
      <c r="H26">
        <v>8.8053661641878493E-3</v>
      </c>
      <c r="I26">
        <v>3.3E-3</v>
      </c>
      <c r="J26" t="str">
        <v>-</v>
      </c>
      <c r="K26" s="65">
        <v>0</v>
      </c>
      <c r="N26" s="65"/>
    </row>
    <row r="27" spans="1:14" x14ac:dyDescent="0.35">
      <c r="A27" t="str">
        <v>Metal-air</v>
      </c>
      <c r="B27" t="str">
        <v>Energy</v>
      </c>
      <c r="C27" s="68">
        <v>2.448</v>
      </c>
      <c r="D27">
        <v>0.10200000000000001</v>
      </c>
      <c r="E27" s="66" t="str">
        <v>-</v>
      </c>
      <c r="F27" s="70">
        <v>30</v>
      </c>
      <c r="G27" s="67">
        <v>8.0586403511111196E-2</v>
      </c>
      <c r="H27">
        <v>3.4163871666118738E-5</v>
      </c>
      <c r="I27" t="str">
        <v>-</v>
      </c>
      <c r="J27" t="str">
        <v>-</v>
      </c>
      <c r="K27" s="65">
        <v>0.46</v>
      </c>
      <c r="N27" s="65"/>
    </row>
    <row r="28" spans="1:14" x14ac:dyDescent="0.35">
      <c r="A28">
        <v>0</v>
      </c>
      <c r="B28" t="str">
        <v>Power</v>
      </c>
      <c r="C28" s="69">
        <v>655.86</v>
      </c>
      <c r="D28">
        <v>16.422000000000001</v>
      </c>
      <c r="E28" s="66" t="str">
        <v>-</v>
      </c>
      <c r="F28" s="70">
        <v>30</v>
      </c>
      <c r="G28" s="67">
        <v>8.0586403511111196E-2</v>
      </c>
      <c r="H28">
        <v>7.9081505258901136E-3</v>
      </c>
      <c r="I28">
        <v>0</v>
      </c>
      <c r="J28" t="str">
        <v>-</v>
      </c>
      <c r="K28" s="65">
        <v>0</v>
      </c>
      <c r="N28" s="65"/>
    </row>
    <row r="29" spans="1:14" x14ac:dyDescent="0.35">
      <c r="A29" t="str">
        <v xml:space="preserve">Stat-PEM | Salt or PGP </v>
      </c>
      <c r="B29" t="str">
        <v>Power In</v>
      </c>
      <c r="C29" s="69">
        <v>1706.46</v>
      </c>
      <c r="D29">
        <v>13.056000000000001</v>
      </c>
      <c r="E29" s="66">
        <v>1.4999999999999999E-2</v>
      </c>
      <c r="F29" s="70">
        <v>30</v>
      </c>
      <c r="G29" s="67">
        <v>8.0586403511111196E-2</v>
      </c>
      <c r="H29">
        <v>1.742422788214662E-2</v>
      </c>
      <c r="I29">
        <v>1.2999999999999999E-3</v>
      </c>
      <c r="J29" t="str">
        <v>-</v>
      </c>
      <c r="K29" s="65">
        <v>0.36</v>
      </c>
      <c r="N29" s="65"/>
    </row>
    <row r="30" spans="1:14" x14ac:dyDescent="0.35">
      <c r="A30">
        <v>0</v>
      </c>
      <c r="B30" t="str">
        <v>Energy</v>
      </c>
      <c r="C30" s="68">
        <v>1.9992000000000001</v>
      </c>
      <c r="D30">
        <v>1.4999999999999999E-2</v>
      </c>
      <c r="E30" s="66" t="str">
        <v>-</v>
      </c>
      <c r="F30" s="70">
        <v>30</v>
      </c>
      <c r="G30" s="67">
        <v>8.0586403511111196E-2</v>
      </c>
      <c r="H30">
        <v>1.8667233215514235E-5</v>
      </c>
      <c r="I30" t="str">
        <v>-</v>
      </c>
      <c r="J30">
        <v>4.1666666666666665E-5</v>
      </c>
      <c r="K30" s="65">
        <v>0</v>
      </c>
      <c r="N30" s="65"/>
    </row>
    <row r="31" spans="1:14" x14ac:dyDescent="0.35">
      <c r="A31">
        <v>0</v>
      </c>
      <c r="B31" t="str">
        <v>Power Out</v>
      </c>
      <c r="C31" s="69">
        <v>1414.74</v>
      </c>
      <c r="D31">
        <v>13.056000000000001</v>
      </c>
      <c r="E31" s="66">
        <v>1.4999999999999999E-2</v>
      </c>
      <c r="F31" s="70">
        <v>30</v>
      </c>
      <c r="G31" s="67">
        <v>8.0586403511111196E-2</v>
      </c>
      <c r="H31">
        <v>1.4700335688454236E-2</v>
      </c>
      <c r="I31">
        <v>2.8E-3</v>
      </c>
      <c r="J31" t="str">
        <v>-</v>
      </c>
      <c r="K31" s="65">
        <v>0</v>
      </c>
      <c r="N31" s="65"/>
    </row>
    <row r="32" spans="1:14" x14ac:dyDescent="0.35">
      <c r="E32" s="66"/>
      <c r="F32" s="65"/>
      <c r="N32" s="65"/>
    </row>
    <row r="33" spans="5:14" x14ac:dyDescent="0.35">
      <c r="E33" s="66"/>
      <c r="F33" s="65"/>
      <c r="N33" s="65"/>
    </row>
    <row r="34" spans="5:14" x14ac:dyDescent="0.35">
      <c r="E34" s="66"/>
      <c r="F34" s="65"/>
      <c r="N34" s="65"/>
    </row>
    <row r="35" spans="5:14" x14ac:dyDescent="0.35">
      <c r="E35" s="65"/>
    </row>
  </sheetData>
  <mergeCells count="19">
    <mergeCell ref="J11:K11"/>
    <mergeCell ref="B8:C8"/>
    <mergeCell ref="L1:N1"/>
    <mergeCell ref="O1:P1"/>
    <mergeCell ref="Q1:S1"/>
    <mergeCell ref="B11:C11"/>
    <mergeCell ref="B1:C1"/>
    <mergeCell ref="D1:E1"/>
    <mergeCell ref="B9:C9"/>
    <mergeCell ref="B10:C10"/>
    <mergeCell ref="D11:E11"/>
    <mergeCell ref="F11:G11"/>
    <mergeCell ref="H11:I11"/>
    <mergeCell ref="L11:N11"/>
    <mergeCell ref="O11:P11"/>
    <mergeCell ref="Q11:S1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6CDD-557F-4A44-8259-E5369DD46444}">
  <dimension ref="A1:G25"/>
  <sheetViews>
    <sheetView showGridLines="0" zoomScale="55" zoomScaleNormal="55" workbookViewId="0">
      <selection activeCell="B24" sqref="B24"/>
    </sheetView>
  </sheetViews>
  <sheetFormatPr defaultColWidth="8.58203125" defaultRowHeight="14.5" x14ac:dyDescent="0.35"/>
  <cols>
    <col min="1" max="7" width="13" style="16" customWidth="1"/>
    <col min="8" max="16384" width="8.58203125" style="16"/>
  </cols>
  <sheetData>
    <row r="1" spans="1:7" x14ac:dyDescent="0.35">
      <c r="A1" s="14" t="s">
        <v>45</v>
      </c>
      <c r="B1" s="15" t="s">
        <v>86</v>
      </c>
    </row>
    <row r="2" spans="1:7" x14ac:dyDescent="0.35">
      <c r="A2" s="14" t="s">
        <v>47</v>
      </c>
      <c r="B2" s="17" t="s">
        <v>87</v>
      </c>
    </row>
    <row r="4" spans="1:7" x14ac:dyDescent="0.35">
      <c r="A4" s="16" t="s">
        <v>88</v>
      </c>
    </row>
    <row r="6" spans="1:7" x14ac:dyDescent="0.35">
      <c r="A6" s="16" t="s">
        <v>89</v>
      </c>
    </row>
    <row r="14" spans="1:7" ht="15.5" x14ac:dyDescent="0.35">
      <c r="A14" s="23"/>
      <c r="B14" s="97" t="s">
        <v>90</v>
      </c>
      <c r="C14" s="98"/>
      <c r="D14" s="97" t="s">
        <v>91</v>
      </c>
      <c r="E14" s="98"/>
      <c r="F14" s="97" t="s">
        <v>92</v>
      </c>
      <c r="G14" s="98"/>
    </row>
    <row r="15" spans="1:7" ht="46.5" x14ac:dyDescent="0.35">
      <c r="A15" s="24" t="s">
        <v>93</v>
      </c>
      <c r="B15" s="25" t="s">
        <v>94</v>
      </c>
      <c r="C15" s="26" t="s">
        <v>95</v>
      </c>
      <c r="D15" s="25" t="s">
        <v>94</v>
      </c>
      <c r="E15" s="26" t="s">
        <v>95</v>
      </c>
      <c r="F15" s="25" t="s">
        <v>94</v>
      </c>
      <c r="G15" s="26" t="s">
        <v>95</v>
      </c>
    </row>
    <row r="16" spans="1:7" ht="15.5" x14ac:dyDescent="0.35">
      <c r="A16" s="27">
        <v>2</v>
      </c>
      <c r="B16" s="28">
        <v>922</v>
      </c>
      <c r="C16" s="29">
        <v>8.15</v>
      </c>
      <c r="D16" s="28">
        <v>1326</v>
      </c>
      <c r="E16" s="29">
        <v>13.12</v>
      </c>
      <c r="F16" s="28">
        <v>1863</v>
      </c>
      <c r="G16" s="29">
        <v>15.6</v>
      </c>
    </row>
    <row r="17" spans="1:7" ht="15.5" x14ac:dyDescent="0.35">
      <c r="A17" s="27">
        <v>4</v>
      </c>
      <c r="B17" s="28">
        <v>1341</v>
      </c>
      <c r="C17" s="30">
        <v>11.64</v>
      </c>
      <c r="D17" s="27">
        <v>1706</v>
      </c>
      <c r="E17" s="30">
        <v>14.28</v>
      </c>
      <c r="F17" s="28">
        <v>2253</v>
      </c>
      <c r="G17" s="30">
        <v>15.6</v>
      </c>
    </row>
    <row r="18" spans="1:7" ht="15.5" x14ac:dyDescent="0.35">
      <c r="A18" s="27">
        <v>6</v>
      </c>
      <c r="B18" s="28">
        <v>1726</v>
      </c>
      <c r="C18" s="30">
        <v>15.13</v>
      </c>
      <c r="D18" s="27">
        <v>2045</v>
      </c>
      <c r="E18" s="30">
        <v>15.44</v>
      </c>
      <c r="F18" s="28">
        <v>2583</v>
      </c>
      <c r="G18" s="30">
        <v>15.6</v>
      </c>
    </row>
    <row r="19" spans="1:7" ht="15.5" x14ac:dyDescent="0.35">
      <c r="A19" s="27">
        <v>8</v>
      </c>
      <c r="B19" s="28">
        <v>1972</v>
      </c>
      <c r="C19" s="30">
        <v>15.6</v>
      </c>
      <c r="D19" s="27">
        <v>2362</v>
      </c>
      <c r="E19" s="30">
        <v>16.61</v>
      </c>
      <c r="F19" s="28">
        <v>2879</v>
      </c>
      <c r="G19" s="30">
        <v>18.62</v>
      </c>
    </row>
    <row r="20" spans="1:7" ht="15.5" x14ac:dyDescent="0.35">
      <c r="A20" s="27">
        <v>10</v>
      </c>
      <c r="B20" s="28">
        <v>2185</v>
      </c>
      <c r="C20" s="30">
        <v>15.6</v>
      </c>
      <c r="D20" s="27">
        <v>2664</v>
      </c>
      <c r="E20" s="30">
        <v>17.77</v>
      </c>
      <c r="F20" s="28">
        <v>3236</v>
      </c>
      <c r="G20" s="30">
        <v>22.12</v>
      </c>
    </row>
    <row r="21" spans="1:7" ht="15.5" x14ac:dyDescent="0.35">
      <c r="A21" s="27">
        <v>24</v>
      </c>
      <c r="B21" s="28">
        <v>3318</v>
      </c>
      <c r="C21" s="30">
        <v>15.6</v>
      </c>
      <c r="D21" s="27">
        <v>4564</v>
      </c>
      <c r="E21" s="30">
        <v>25.92</v>
      </c>
      <c r="F21" s="28">
        <v>6137</v>
      </c>
      <c r="G21" s="30">
        <v>46.56</v>
      </c>
    </row>
    <row r="22" spans="1:7" ht="15.5" x14ac:dyDescent="0.35">
      <c r="A22" s="27">
        <v>100</v>
      </c>
      <c r="B22" s="28">
        <v>6776</v>
      </c>
      <c r="C22" s="30">
        <v>15.6</v>
      </c>
      <c r="D22" s="27">
        <v>13145</v>
      </c>
      <c r="E22" s="30">
        <v>70.150000000000006</v>
      </c>
      <c r="F22" s="28">
        <v>22060</v>
      </c>
      <c r="G22" s="30">
        <v>179.26</v>
      </c>
    </row>
    <row r="23" spans="1:7" ht="15.5" x14ac:dyDescent="0.35">
      <c r="A23" s="31"/>
      <c r="B23" s="32" t="s">
        <v>96</v>
      </c>
      <c r="C23" s="33" t="s">
        <v>97</v>
      </c>
      <c r="D23" s="32" t="s">
        <v>96</v>
      </c>
      <c r="E23" s="33" t="s">
        <v>97</v>
      </c>
      <c r="F23" s="32" t="s">
        <v>96</v>
      </c>
      <c r="G23" s="33" t="s">
        <v>97</v>
      </c>
    </row>
    <row r="24" spans="1:7" ht="46.5" x14ac:dyDescent="0.35">
      <c r="A24" s="25" t="s">
        <v>98</v>
      </c>
      <c r="B24" s="34" cm="1">
        <f t="array" ref="B24:C24">LINEST(B17:B22,$A$17:$A$22)</f>
        <v>53.571167883211665</v>
      </c>
      <c r="C24" s="35">
        <v>1529.1970802919714</v>
      </c>
      <c r="D24" s="34" cm="1">
        <f t="array" ref="D24:E24">LINEST(D17:D22,$A$17:$A$22)</f>
        <v>117.79975028812909</v>
      </c>
      <c r="E24" s="35">
        <v>1430.0729927007296</v>
      </c>
      <c r="F24" s="34" cm="1">
        <f t="array" ref="F24:G24">LINEST(F17:F22,$A$17:$A$22)</f>
        <v>207.66048789857854</v>
      </c>
      <c r="G24" s="35">
        <v>1263.9343065693447</v>
      </c>
    </row>
    <row r="25" spans="1:7" ht="46.5" x14ac:dyDescent="0.35">
      <c r="A25" s="36" t="s">
        <v>99</v>
      </c>
      <c r="B25" s="37" cm="1">
        <f t="array" ref="B25:C25">LINEST(C17:C22,$A$17:$A$22)</f>
        <v>1.3479638878217435E-2</v>
      </c>
      <c r="C25" s="38">
        <v>14.520182481751824</v>
      </c>
      <c r="D25" s="37" cm="1">
        <f t="array" ref="D25:E25">LINEST(E17:E22,$A$17:$A$22)</f>
        <v>0.58198905109489052</v>
      </c>
      <c r="E25" s="38">
        <v>11.951277372262778</v>
      </c>
      <c r="F25" s="37" cm="1">
        <f t="array" ref="F25:G25">LINEST(G17:G22,$A$17:$A$22)</f>
        <v>1.7325701114099117</v>
      </c>
      <c r="G25" s="38">
        <v>5.734890510948901</v>
      </c>
    </row>
  </sheetData>
  <mergeCells count="3">
    <mergeCell ref="B14:C14"/>
    <mergeCell ref="D14:E14"/>
    <mergeCell ref="F14:G14"/>
  </mergeCells>
  <hyperlinks>
    <hyperlink ref="B1" r:id="rId1" xr:uid="{9F983BD1-BF0C-44B1-A72B-0435251ECCE9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A18E-FD9A-CB4E-839A-E52887B70E1F}">
  <dimension ref="A1:O30"/>
  <sheetViews>
    <sheetView showGridLines="0" zoomScale="70" zoomScaleNormal="70" workbookViewId="0">
      <selection activeCell="E13" sqref="E13"/>
    </sheetView>
  </sheetViews>
  <sheetFormatPr defaultColWidth="10.83203125" defaultRowHeight="15.5" x14ac:dyDescent="0.35"/>
  <cols>
    <col min="1" max="1" width="39.33203125" style="2" customWidth="1"/>
    <col min="2" max="3" width="13.58203125" style="2" customWidth="1"/>
    <col min="4" max="7" width="14.58203125" style="2" customWidth="1"/>
    <col min="8" max="9" width="16" style="2" customWidth="1"/>
    <col min="10" max="11" width="18" style="2" customWidth="1"/>
    <col min="12" max="15" width="17.5" style="2" customWidth="1"/>
    <col min="16" max="16384" width="10.83203125" style="2"/>
  </cols>
  <sheetData>
    <row r="1" spans="1:15" ht="73" customHeight="1" x14ac:dyDescent="0.35">
      <c r="A1" s="9" t="s">
        <v>44</v>
      </c>
    </row>
    <row r="2" spans="1:15" ht="32.5" customHeight="1" x14ac:dyDescent="0.35">
      <c r="A2" s="9" t="s">
        <v>45</v>
      </c>
      <c r="B2" s="13" t="s">
        <v>50</v>
      </c>
    </row>
    <row r="3" spans="1:15" ht="39" customHeight="1" x14ac:dyDescent="0.35">
      <c r="A3" s="9" t="s">
        <v>47</v>
      </c>
      <c r="B3" s="12" t="s">
        <v>46</v>
      </c>
    </row>
    <row r="4" spans="1:15" ht="55" customHeight="1" x14ac:dyDescent="0.35">
      <c r="A4" s="1" t="s">
        <v>16</v>
      </c>
    </row>
    <row r="5" spans="1:15" ht="43" customHeight="1" x14ac:dyDescent="0.35">
      <c r="A5" s="3" t="s">
        <v>19</v>
      </c>
    </row>
    <row r="6" spans="1:15" ht="32.15" customHeight="1" x14ac:dyDescent="0.35">
      <c r="A6" s="4" t="s">
        <v>20</v>
      </c>
    </row>
    <row r="7" spans="1:15" ht="75" customHeight="1" x14ac:dyDescent="0.35">
      <c r="A7" s="5" t="s">
        <v>14</v>
      </c>
      <c r="B7" s="6">
        <f>1055.05585262/3600</f>
        <v>0.29307107017222223</v>
      </c>
      <c r="C7" s="7" t="s">
        <v>15</v>
      </c>
      <c r="D7" s="7"/>
      <c r="E7" s="7"/>
      <c r="F7" s="7"/>
      <c r="G7" s="7"/>
      <c r="H7" s="7"/>
      <c r="I7" s="7"/>
    </row>
    <row r="8" spans="1:15" ht="30" customHeight="1" x14ac:dyDescent="0.35"/>
    <row r="9" spans="1:15" ht="33" customHeight="1" x14ac:dyDescent="0.35">
      <c r="A9" s="8" t="s">
        <v>12</v>
      </c>
    </row>
    <row r="10" spans="1:15" ht="24" customHeight="1" x14ac:dyDescent="0.35">
      <c r="A10" s="8" t="s">
        <v>4</v>
      </c>
      <c r="B10" s="41">
        <v>7.0000000000000007E-2</v>
      </c>
      <c r="D10" s="79" t="s">
        <v>37</v>
      </c>
      <c r="E10" s="79"/>
      <c r="F10" s="79"/>
      <c r="G10" s="79"/>
    </row>
    <row r="11" spans="1:15" ht="25" customHeight="1" x14ac:dyDescent="0.35">
      <c r="A11" s="8" t="s">
        <v>6</v>
      </c>
      <c r="B11" s="41">
        <v>8760</v>
      </c>
      <c r="D11" s="2" t="s">
        <v>35</v>
      </c>
      <c r="E11" s="2" t="s">
        <v>33</v>
      </c>
      <c r="F11" s="2" t="s">
        <v>34</v>
      </c>
      <c r="G11" s="2" t="s">
        <v>36</v>
      </c>
    </row>
    <row r="12" spans="1:15" ht="26.15" customHeight="1" x14ac:dyDescent="0.35">
      <c r="A12" s="8" t="s">
        <v>8</v>
      </c>
      <c r="B12" s="54">
        <v>3412.141633127942</v>
      </c>
      <c r="C12" s="39"/>
      <c r="D12" s="55">
        <v>118.6248423283573</v>
      </c>
      <c r="E12" s="54">
        <f>D12/1000000</f>
        <v>1.186248423283573E-4</v>
      </c>
      <c r="F12" s="54">
        <f>E12*Btu_per_kWh</f>
        <v>0.4047647632318257</v>
      </c>
      <c r="G12" s="54">
        <f>F12*0.453592</f>
        <v>0.18359805848385027</v>
      </c>
    </row>
    <row r="13" spans="1:15" ht="72" customHeight="1" x14ac:dyDescent="0.35">
      <c r="A13" s="8" t="s">
        <v>17</v>
      </c>
      <c r="B13" s="56" t="s">
        <v>41</v>
      </c>
      <c r="C13" s="57" t="s">
        <v>42</v>
      </c>
      <c r="D13" s="58" t="s">
        <v>43</v>
      </c>
      <c r="E13" s="59" t="s">
        <v>22</v>
      </c>
      <c r="F13" s="60" t="s">
        <v>24</v>
      </c>
      <c r="G13" s="60" t="s">
        <v>25</v>
      </c>
      <c r="H13" s="61" t="s">
        <v>29</v>
      </c>
      <c r="I13" s="62" t="s">
        <v>32</v>
      </c>
      <c r="J13" s="63" t="s">
        <v>26</v>
      </c>
      <c r="K13" s="63" t="s">
        <v>27</v>
      </c>
      <c r="L13" s="63" t="s">
        <v>28</v>
      </c>
      <c r="M13" s="63" t="s">
        <v>38</v>
      </c>
      <c r="N13" s="63" t="s">
        <v>39</v>
      </c>
      <c r="O13" s="63" t="s">
        <v>40</v>
      </c>
    </row>
    <row r="14" spans="1:15" ht="46" customHeight="1" x14ac:dyDescent="0.35">
      <c r="A14" s="8" t="s">
        <v>18</v>
      </c>
      <c r="B14" s="41">
        <v>1391</v>
      </c>
      <c r="C14" s="41">
        <v>1436</v>
      </c>
      <c r="D14" s="41">
        <v>7388</v>
      </c>
      <c r="E14" s="41">
        <v>290</v>
      </c>
      <c r="F14" s="41">
        <v>1054</v>
      </c>
      <c r="G14" s="41">
        <v>2670</v>
      </c>
      <c r="H14" s="41">
        <v>4346</v>
      </c>
      <c r="I14" s="41">
        <v>19977</v>
      </c>
      <c r="J14" s="41">
        <v>5002</v>
      </c>
      <c r="K14" s="41">
        <v>5183</v>
      </c>
      <c r="L14" s="41">
        <v>5469</v>
      </c>
      <c r="M14" s="41">
        <v>3534</v>
      </c>
      <c r="N14" s="41">
        <v>3668</v>
      </c>
      <c r="O14" s="41">
        <v>3885</v>
      </c>
    </row>
    <row r="15" spans="1:15" ht="31" customHeight="1" x14ac:dyDescent="0.35">
      <c r="A15" s="2" t="s">
        <v>1</v>
      </c>
      <c r="B15" s="41">
        <v>23</v>
      </c>
      <c r="C15" s="41">
        <v>43</v>
      </c>
      <c r="D15" s="41">
        <v>145</v>
      </c>
      <c r="E15" s="41">
        <v>36</v>
      </c>
      <c r="F15" s="41">
        <v>27</v>
      </c>
      <c r="G15" s="41">
        <v>65</v>
      </c>
      <c r="H15" s="41">
        <v>150</v>
      </c>
      <c r="I15" s="41">
        <v>268</v>
      </c>
      <c r="J15" s="41">
        <v>80</v>
      </c>
      <c r="K15" s="41">
        <v>83</v>
      </c>
      <c r="L15" s="41">
        <v>88</v>
      </c>
      <c r="M15" s="41">
        <v>110</v>
      </c>
      <c r="N15" s="41">
        <v>114</v>
      </c>
      <c r="O15" s="41">
        <v>121</v>
      </c>
    </row>
    <row r="16" spans="1:15" ht="31" customHeight="1" x14ac:dyDescent="0.35">
      <c r="A16" s="2" t="s">
        <v>2</v>
      </c>
      <c r="B16" s="41">
        <v>30</v>
      </c>
      <c r="C16" s="41">
        <v>30</v>
      </c>
      <c r="D16" s="41">
        <v>30</v>
      </c>
      <c r="E16" s="41">
        <v>15</v>
      </c>
      <c r="F16" s="41">
        <v>30</v>
      </c>
      <c r="G16" s="41">
        <v>30</v>
      </c>
      <c r="H16" s="41">
        <v>30</v>
      </c>
      <c r="I16" s="41">
        <v>30</v>
      </c>
      <c r="J16" s="41">
        <v>30</v>
      </c>
      <c r="K16" s="41">
        <v>30</v>
      </c>
      <c r="L16" s="41">
        <v>30</v>
      </c>
      <c r="M16" s="41">
        <v>30</v>
      </c>
      <c r="N16" s="41">
        <v>30</v>
      </c>
      <c r="O16" s="41">
        <v>30</v>
      </c>
    </row>
    <row r="17" spans="1:15" ht="31" customHeight="1" x14ac:dyDescent="0.35">
      <c r="A17" s="2" t="s">
        <v>13</v>
      </c>
      <c r="B17" s="44">
        <f t="shared" ref="B17:O17" si="0">Discount_rate*(1+Discount_rate)^B16/((1+Discount_rate)^B16-1)</f>
        <v>8.0586403511111196E-2</v>
      </c>
      <c r="C17" s="44">
        <f t="shared" ref="C17:I17" si="1">Discount_rate*(1+Discount_rate)^C16/((1+Discount_rate)^C16-1)</f>
        <v>8.0586403511111196E-2</v>
      </c>
      <c r="D17" s="44">
        <f t="shared" si="1"/>
        <v>8.0586403511111196E-2</v>
      </c>
      <c r="E17" s="44">
        <f t="shared" si="1"/>
        <v>0.10979462470100652</v>
      </c>
      <c r="F17" s="44">
        <f t="shared" si="1"/>
        <v>8.0586403511111196E-2</v>
      </c>
      <c r="G17" s="44">
        <f t="shared" si="1"/>
        <v>8.0586403511111196E-2</v>
      </c>
      <c r="H17" s="44">
        <f t="shared" si="1"/>
        <v>8.0586403511111196E-2</v>
      </c>
      <c r="I17" s="44">
        <f t="shared" si="1"/>
        <v>8.0586403511111196E-2</v>
      </c>
      <c r="J17" s="44">
        <f t="shared" si="0"/>
        <v>8.0586403511111196E-2</v>
      </c>
      <c r="K17" s="44">
        <f t="shared" si="0"/>
        <v>8.0586403511111196E-2</v>
      </c>
      <c r="L17" s="44">
        <f t="shared" si="0"/>
        <v>8.0586403511111196E-2</v>
      </c>
      <c r="M17" s="44">
        <f t="shared" si="0"/>
        <v>8.0586403511111196E-2</v>
      </c>
      <c r="N17" s="44">
        <f t="shared" si="0"/>
        <v>8.0586403511111196E-2</v>
      </c>
      <c r="O17" s="44">
        <f t="shared" si="0"/>
        <v>8.0586403511111196E-2</v>
      </c>
    </row>
    <row r="18" spans="1:15" ht="31" customHeight="1" x14ac:dyDescent="0.35">
      <c r="A18" s="2" t="s">
        <v>3</v>
      </c>
      <c r="B18" s="49">
        <f t="shared" ref="B18:O18" si="2">B14*B17+B15</f>
        <v>135.09568728395567</v>
      </c>
      <c r="C18" s="49">
        <f t="shared" ref="C18:I18" si="3">C14*C17+C15</f>
        <v>158.72207544195567</v>
      </c>
      <c r="D18" s="49">
        <f t="shared" si="3"/>
        <v>740.37234914008957</v>
      </c>
      <c r="E18" s="49">
        <f t="shared" si="3"/>
        <v>67.840441163291899</v>
      </c>
      <c r="F18" s="49">
        <f t="shared" si="3"/>
        <v>111.93806930071121</v>
      </c>
      <c r="G18" s="49">
        <f t="shared" si="3"/>
        <v>280.16569737466693</v>
      </c>
      <c r="H18" s="49">
        <f t="shared" si="3"/>
        <v>500.22850965928927</v>
      </c>
      <c r="I18" s="49">
        <f t="shared" si="3"/>
        <v>1877.8745829414684</v>
      </c>
      <c r="J18" s="49">
        <f t="shared" si="2"/>
        <v>483.09319036257818</v>
      </c>
      <c r="K18" s="49">
        <f t="shared" si="2"/>
        <v>500.67932939808935</v>
      </c>
      <c r="L18" s="49">
        <f t="shared" si="2"/>
        <v>528.72704080226708</v>
      </c>
      <c r="M18" s="49">
        <f t="shared" si="2"/>
        <v>394.79235000826696</v>
      </c>
      <c r="N18" s="49">
        <f t="shared" si="2"/>
        <v>409.59092807875589</v>
      </c>
      <c r="O18" s="49">
        <f t="shared" si="2"/>
        <v>434.07817764066698</v>
      </c>
    </row>
    <row r="19" spans="1:15" ht="31" customHeight="1" x14ac:dyDescent="0.35">
      <c r="A19" s="2" t="s">
        <v>5</v>
      </c>
      <c r="B19" s="50">
        <f t="shared" ref="B19:O19" si="4">B18/HOURS_PER_YEAR</f>
        <v>1.5421882110040601E-2</v>
      </c>
      <c r="C19" s="50">
        <f t="shared" si="4"/>
        <v>1.8118958383784894E-2</v>
      </c>
      <c r="D19" s="50">
        <f t="shared" si="4"/>
        <v>8.4517391454348126E-2</v>
      </c>
      <c r="E19" s="50">
        <f t="shared" si="4"/>
        <v>7.7443425985493034E-3</v>
      </c>
      <c r="F19" s="50">
        <f t="shared" si="4"/>
        <v>1.2778318413323197E-2</v>
      </c>
      <c r="G19" s="50">
        <f t="shared" si="4"/>
        <v>3.1982385545053303E-2</v>
      </c>
      <c r="H19" s="50">
        <f t="shared" si="4"/>
        <v>5.7103711148320691E-2</v>
      </c>
      <c r="I19" s="50">
        <f t="shared" si="4"/>
        <v>0.21436924462802151</v>
      </c>
      <c r="J19" s="50">
        <f t="shared" si="4"/>
        <v>5.514762447061395E-2</v>
      </c>
      <c r="K19" s="50">
        <f t="shared" si="4"/>
        <v>5.7155174588822986E-2</v>
      </c>
      <c r="L19" s="50">
        <f t="shared" si="4"/>
        <v>6.0356968128112684E-2</v>
      </c>
      <c r="M19" s="50">
        <f t="shared" si="4"/>
        <v>4.5067619863957416E-2</v>
      </c>
      <c r="N19" s="50">
        <f t="shared" si="4"/>
        <v>4.6756955260131954E-2</v>
      </c>
      <c r="O19" s="50">
        <f t="shared" si="4"/>
        <v>4.955230338363778E-2</v>
      </c>
    </row>
    <row r="20" spans="1:15" ht="31" customHeight="1" x14ac:dyDescent="0.35">
      <c r="A20" s="2" t="s">
        <v>0</v>
      </c>
      <c r="D20" s="42">
        <v>2</v>
      </c>
      <c r="E20" s="42"/>
      <c r="F20" s="52">
        <v>2</v>
      </c>
      <c r="G20" s="42">
        <v>6</v>
      </c>
      <c r="H20" s="42">
        <v>5</v>
      </c>
      <c r="I20" s="42"/>
    </row>
    <row r="21" spans="1:15" ht="31" customHeight="1" x14ac:dyDescent="0.35">
      <c r="A21" s="2" t="s">
        <v>7</v>
      </c>
      <c r="D21" s="42">
        <v>10460</v>
      </c>
      <c r="E21" s="42"/>
      <c r="F21" s="52">
        <v>6360</v>
      </c>
      <c r="G21" s="42">
        <v>5180</v>
      </c>
      <c r="H21" s="42">
        <v>13500</v>
      </c>
      <c r="I21" s="42"/>
    </row>
    <row r="22" spans="1:15" ht="31" customHeight="1" x14ac:dyDescent="0.35">
      <c r="A22" s="2" t="s">
        <v>9</v>
      </c>
      <c r="D22" s="42">
        <f>Btu_per_kWh/D21</f>
        <v>0.32620856913269042</v>
      </c>
      <c r="E22" s="42"/>
      <c r="F22" s="52">
        <f>Btu_per_kWh/F21</f>
        <v>0.53650025678112301</v>
      </c>
      <c r="G22" s="42">
        <f>Btu_per_kWh/G21</f>
        <v>0.65871460098995016</v>
      </c>
      <c r="H22" s="42">
        <f>Btu_per_kWh/H21</f>
        <v>0.25275123208355127</v>
      </c>
      <c r="I22" s="42"/>
    </row>
    <row r="23" spans="1:15" ht="31" customHeight="1" x14ac:dyDescent="0.35">
      <c r="A23" s="2" t="s">
        <v>10</v>
      </c>
      <c r="D23" s="42">
        <v>7</v>
      </c>
      <c r="E23" s="42"/>
      <c r="F23" s="52">
        <v>8</v>
      </c>
      <c r="G23" s="42">
        <v>8</v>
      </c>
      <c r="H23" s="42">
        <v>43</v>
      </c>
      <c r="I23" s="42"/>
    </row>
    <row r="24" spans="1:15" ht="31" customHeight="1" x14ac:dyDescent="0.35">
      <c r="A24" s="2" t="s">
        <v>11</v>
      </c>
      <c r="D24" s="51">
        <f>D20+D23</f>
        <v>9</v>
      </c>
      <c r="E24" s="42"/>
      <c r="F24" s="53">
        <f>F20+F23</f>
        <v>10</v>
      </c>
      <c r="G24" s="51">
        <f>G20+G23</f>
        <v>14</v>
      </c>
      <c r="H24" s="51">
        <f>H20+H23</f>
        <v>48</v>
      </c>
      <c r="I24" s="51"/>
    </row>
    <row r="25" spans="1:15" ht="25" customHeight="1" x14ac:dyDescent="0.35">
      <c r="A25" s="2" t="s">
        <v>21</v>
      </c>
      <c r="D25" s="42"/>
      <c r="E25" s="42"/>
      <c r="F25" s="21"/>
      <c r="G25" s="21"/>
      <c r="H25" s="21"/>
      <c r="I25" s="21"/>
    </row>
    <row r="26" spans="1:15" ht="23.15" customHeight="1" x14ac:dyDescent="0.35">
      <c r="A26" s="2" t="s">
        <v>23</v>
      </c>
      <c r="D26" s="42"/>
      <c r="E26" s="42">
        <v>0.85</v>
      </c>
      <c r="F26" s="21"/>
      <c r="G26" s="21"/>
      <c r="H26" s="21"/>
      <c r="I26" s="21"/>
    </row>
    <row r="27" spans="1:15" ht="23.15" customHeight="1" x14ac:dyDescent="0.35">
      <c r="A27" s="2" t="s">
        <v>31</v>
      </c>
      <c r="D27" s="51">
        <f>D19+D24</f>
        <v>9.084517391454348</v>
      </c>
      <c r="E27" s="42"/>
      <c r="F27" s="21"/>
      <c r="G27" s="21"/>
      <c r="H27" s="21"/>
      <c r="I27" s="21"/>
    </row>
    <row r="28" spans="1:15" s="11" customFormat="1" ht="144" customHeight="1" x14ac:dyDescent="0.35">
      <c r="A28" s="22" t="s">
        <v>30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48" customHeight="1" x14ac:dyDescent="0.35"/>
    <row r="30" spans="1:15" ht="17.149999999999999" customHeight="1" x14ac:dyDescent="0.35"/>
  </sheetData>
  <mergeCells count="1">
    <mergeCell ref="D10:G10"/>
  </mergeCells>
  <hyperlinks>
    <hyperlink ref="B2" r:id="rId1" display="https://atb.nrel.gov/" xr:uid="{555DB43A-419C-45C5-B2BA-5C3028F1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Storage Techs</vt:lpstr>
      <vt:lpstr>Sheet2</vt:lpstr>
      <vt:lpstr>Gravitational</vt:lpstr>
      <vt:lpstr>Generation Techs</vt:lpstr>
      <vt:lpstr>_2018_USD_to__2019_USD</vt:lpstr>
      <vt:lpstr>_2020_USD_to__2019_USD</vt:lpstr>
      <vt:lpstr>Btu_per_kWh</vt:lpstr>
      <vt:lpstr>'Storage Techs'!Discount_rate</vt:lpstr>
      <vt:lpstr>Discount_rate</vt:lpstr>
      <vt:lpstr>'Storage Techs'!HOURS_PER_YEAR</vt:lpstr>
      <vt:lpstr>HOURS_PER_YEAR</vt:lpstr>
      <vt:lpstr>MWh_per_MMBtu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Ruggles</dc:creator>
  <cp:lastModifiedBy>Li, Anna X. (Anna)</cp:lastModifiedBy>
  <dcterms:created xsi:type="dcterms:W3CDTF">2020-05-05T04:59:04Z</dcterms:created>
  <dcterms:modified xsi:type="dcterms:W3CDTF">2023-01-20T09:13:58Z</dcterms:modified>
</cp:coreProperties>
</file>