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axli_caltech_edu/Documents/MEM-master-most-recent/Cost_Assumptions/"/>
    </mc:Choice>
  </mc:AlternateContent>
  <xr:revisionPtr revIDLastSave="9" documentId="13_ncr:1_{85C24CD8-DA5C-49D8-86EB-970996A6083F}" xr6:coauthVersionLast="47" xr6:coauthVersionMax="47" xr10:uidLastSave="{974AB334-CC25-D24D-8DE6-84616F9D9985}"/>
  <bookViews>
    <workbookView xWindow="0" yWindow="500" windowWidth="27840" windowHeight="15540" activeTab="4" xr2:uid="{648FC614-9F67-4EC5-BEAD-D799B42C32B9}"/>
  </bookViews>
  <sheets>
    <sheet name="Li-ion" sheetId="8" state="hidden" r:id="rId1"/>
    <sheet name="Li-ion (regression)" sheetId="9" r:id="rId2"/>
    <sheet name="RFB" sheetId="7" r:id="rId3"/>
    <sheet name="CAES" sheetId="5" r:id="rId4"/>
    <sheet name="PSH" sheetId="6" r:id="rId5"/>
    <sheet name="Gravitational" sheetId="4" r:id="rId6"/>
    <sheet name="Thermal" sheetId="1" r:id="rId7"/>
    <sheet name="PGP" sheetId="3" r:id="rId8"/>
    <sheet name="Total Installed Costs" sheetId="10" r:id="rId9"/>
    <sheet name="Fixed Hourly Costs" sheetId="12" r:id="rId10"/>
    <sheet name="RTEs" sheetId="13" r:id="rId11"/>
    <sheet name="Constants, Abbrevs, Equations" sheetId="2" r:id="rId12"/>
  </sheets>
  <definedNames>
    <definedName name="Discount_Rate">'Constants, Abbrevs, Equations'!$B$10</definedName>
    <definedName name="Hours_per_year">'Constants, Abbrevs, Equations'!$B$9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0" l="1"/>
  <c r="F3" i="10"/>
  <c r="E3" i="10"/>
  <c r="D3" i="10"/>
  <c r="C3" i="10"/>
  <c r="B3" i="10"/>
  <c r="F3" i="12" l="1"/>
  <c r="C3" i="12"/>
  <c r="F9" i="12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B3" i="13" a="1"/>
  <c r="B3" i="13" s="1"/>
  <c r="B7" i="10"/>
  <c r="C7" i="10"/>
  <c r="D7" i="10"/>
  <c r="E7" i="10"/>
  <c r="F7" i="10"/>
  <c r="G7" i="10"/>
  <c r="B8" i="10"/>
  <c r="C8" i="10"/>
  <c r="D8" i="10"/>
  <c r="E8" i="10"/>
  <c r="F8" i="10"/>
  <c r="G8" i="10"/>
  <c r="D9" i="10"/>
  <c r="C9" i="10"/>
  <c r="B9" i="10"/>
  <c r="G9" i="10"/>
  <c r="F9" i="10"/>
  <c r="E9" i="10"/>
  <c r="D6" i="10"/>
  <c r="C6" i="10"/>
  <c r="B6" i="10"/>
  <c r="G6" i="10"/>
  <c r="F6" i="10"/>
  <c r="E6" i="10"/>
  <c r="D5" i="10"/>
  <c r="C5" i="10"/>
  <c r="B5" i="10"/>
  <c r="G5" i="10"/>
  <c r="F5" i="10"/>
  <c r="E5" i="10"/>
  <c r="D4" i="10"/>
  <c r="C4" i="10"/>
  <c r="B4" i="10"/>
  <c r="G4" i="10"/>
  <c r="F4" i="10"/>
  <c r="E4" i="10"/>
  <c r="G32" i="9"/>
  <c r="F32" i="9"/>
  <c r="E32" i="9"/>
  <c r="D32" i="9"/>
  <c r="C32" i="9"/>
  <c r="B32" i="9"/>
  <c r="G28" i="9"/>
  <c r="F28" i="9"/>
  <c r="E28" i="9"/>
  <c r="D28" i="9"/>
  <c r="C28" i="9"/>
  <c r="B28" i="9" a="1"/>
  <c r="B28" i="9" s="1"/>
  <c r="F25" i="9" a="1"/>
  <c r="F25" i="9" s="1"/>
  <c r="D25" i="9" a="1"/>
  <c r="D25" i="9" s="1"/>
  <c r="B25" i="9" a="1"/>
  <c r="B25" i="9" s="1"/>
  <c r="F24" i="9" a="1"/>
  <c r="D24" i="9" a="1"/>
  <c r="B24" i="9" a="1"/>
  <c r="L16" i="8"/>
  <c r="K16" i="8"/>
  <c r="J16" i="8"/>
  <c r="L12" i="8"/>
  <c r="L13" i="8" s="1"/>
  <c r="L14" i="8" s="1"/>
  <c r="K12" i="8"/>
  <c r="K13" i="8" s="1"/>
  <c r="K14" i="8" s="1"/>
  <c r="J12" i="8"/>
  <c r="J13" i="8" s="1"/>
  <c r="J14" i="8" s="1"/>
  <c r="H16" i="8"/>
  <c r="G16" i="8"/>
  <c r="F16" i="8"/>
  <c r="H13" i="8"/>
  <c r="H14" i="8" s="1"/>
  <c r="D3" i="12" s="1"/>
  <c r="G3" i="12" s="1"/>
  <c r="H12" i="8"/>
  <c r="G12" i="8"/>
  <c r="G13" i="8" s="1"/>
  <c r="G14" i="8" s="1"/>
  <c r="F12" i="8"/>
  <c r="F13" i="8" s="1"/>
  <c r="F14" i="8" s="1"/>
  <c r="L28" i="8"/>
  <c r="K28" i="8"/>
  <c r="J28" i="8"/>
  <c r="H28" i="8"/>
  <c r="G28" i="8"/>
  <c r="F28" i="8"/>
  <c r="D28" i="8"/>
  <c r="C28" i="8"/>
  <c r="B28" i="8"/>
  <c r="L24" i="8"/>
  <c r="L25" i="8" s="1"/>
  <c r="L26" i="8" s="1"/>
  <c r="K24" i="8"/>
  <c r="K25" i="8" s="1"/>
  <c r="K26" i="8" s="1"/>
  <c r="J24" i="8"/>
  <c r="J25" i="8" s="1"/>
  <c r="J26" i="8" s="1"/>
  <c r="H24" i="8"/>
  <c r="H25" i="8" s="1"/>
  <c r="H26" i="8" s="1"/>
  <c r="G24" i="8"/>
  <c r="G25" i="8" s="1"/>
  <c r="G26" i="8" s="1"/>
  <c r="F24" i="8"/>
  <c r="F25" i="8" s="1"/>
  <c r="F26" i="8" s="1"/>
  <c r="D24" i="8"/>
  <c r="D25" i="8" s="1"/>
  <c r="D26" i="8" s="1"/>
  <c r="C24" i="8"/>
  <c r="C25" i="8" s="1"/>
  <c r="C26" i="8" s="1"/>
  <c r="B24" i="8"/>
  <c r="B25" i="8" s="1"/>
  <c r="B26" i="8" s="1"/>
  <c r="B12" i="8"/>
  <c r="B13" i="8" s="1"/>
  <c r="B14" i="8" s="1"/>
  <c r="C12" i="8"/>
  <c r="C13" i="8" s="1"/>
  <c r="C14" i="8" s="1"/>
  <c r="D12" i="8"/>
  <c r="D13" i="8" s="1"/>
  <c r="D14" i="8" s="1"/>
  <c r="B16" i="8"/>
  <c r="C16" i="8"/>
  <c r="D16" i="8"/>
  <c r="P16" i="8"/>
  <c r="O16" i="8"/>
  <c r="N16" i="8"/>
  <c r="P12" i="8"/>
  <c r="P13" i="8" s="1"/>
  <c r="P14" i="8" s="1"/>
  <c r="O12" i="8"/>
  <c r="O13" i="8" s="1"/>
  <c r="O14" i="8" s="1"/>
  <c r="N12" i="8"/>
  <c r="N13" i="8" s="1"/>
  <c r="N14" i="8" s="1"/>
  <c r="C23" i="1"/>
  <c r="G32" i="7"/>
  <c r="F32" i="7"/>
  <c r="E32" i="7"/>
  <c r="D32" i="7"/>
  <c r="C32" i="7"/>
  <c r="B32" i="7"/>
  <c r="G28" i="7"/>
  <c r="F28" i="7"/>
  <c r="E28" i="7"/>
  <c r="D28" i="7"/>
  <c r="C28" i="7"/>
  <c r="B28" i="7" a="1"/>
  <c r="B28" i="7" s="1"/>
  <c r="F25" i="7" a="1"/>
  <c r="F25" i="7" s="1"/>
  <c r="D25" i="7" a="1"/>
  <c r="D25" i="7" s="1"/>
  <c r="B25" i="7" a="1"/>
  <c r="B25" i="7" s="1"/>
  <c r="F24" i="7" a="1"/>
  <c r="D24" i="7" a="1"/>
  <c r="D24" i="7" s="1"/>
  <c r="B24" i="7" a="1"/>
  <c r="G29" i="6"/>
  <c r="F29" i="6"/>
  <c r="E29" i="6"/>
  <c r="D29" i="6"/>
  <c r="C29" i="6"/>
  <c r="B29" i="6"/>
  <c r="G25" i="6"/>
  <c r="F25" i="6"/>
  <c r="E25" i="6"/>
  <c r="D25" i="6"/>
  <c r="C25" i="6"/>
  <c r="B25" i="6" a="1"/>
  <c r="B25" i="6" s="1"/>
  <c r="F22" i="6" a="1"/>
  <c r="F22" i="6" s="1"/>
  <c r="D22" i="6" a="1"/>
  <c r="D22" i="6" s="1"/>
  <c r="B22" i="6" a="1"/>
  <c r="B22" i="6" s="1"/>
  <c r="F21" i="6" a="1"/>
  <c r="D21" i="6" a="1"/>
  <c r="D21" i="6" s="1"/>
  <c r="B21" i="6" a="1"/>
  <c r="G29" i="5"/>
  <c r="F29" i="5"/>
  <c r="E29" i="5"/>
  <c r="D29" i="5"/>
  <c r="C29" i="5"/>
  <c r="B29" i="5"/>
  <c r="G25" i="5"/>
  <c r="F25" i="5"/>
  <c r="E25" i="5"/>
  <c r="D25" i="5"/>
  <c r="C25" i="5"/>
  <c r="B25" i="5" a="1"/>
  <c r="B25" i="5" s="1"/>
  <c r="F22" i="5" a="1"/>
  <c r="F22" i="5" s="1"/>
  <c r="D22" i="5" a="1"/>
  <c r="D22" i="5" s="1"/>
  <c r="B22" i="5" a="1"/>
  <c r="B22" i="5" s="1"/>
  <c r="F21" i="5" a="1"/>
  <c r="D21" i="5" a="1"/>
  <c r="D21" i="5" s="1"/>
  <c r="B21" i="5" a="1"/>
  <c r="G32" i="4"/>
  <c r="F32" i="4"/>
  <c r="E32" i="4"/>
  <c r="D32" i="4"/>
  <c r="C32" i="4"/>
  <c r="B32" i="4"/>
  <c r="G28" i="4"/>
  <c r="F28" i="4"/>
  <c r="E28" i="4"/>
  <c r="D28" i="4"/>
  <c r="C28" i="4"/>
  <c r="B28" i="4" a="1"/>
  <c r="B28" i="4" s="1"/>
  <c r="F25" i="4" a="1"/>
  <c r="F25" i="4" s="1"/>
  <c r="D25" i="4" a="1"/>
  <c r="D25" i="4" s="1"/>
  <c r="B25" i="4" a="1"/>
  <c r="B25" i="4" s="1"/>
  <c r="F24" i="4" a="1"/>
  <c r="D24" i="4" a="1"/>
  <c r="D24" i="4" s="1"/>
  <c r="B24" i="4" a="1"/>
  <c r="G28" i="3"/>
  <c r="F28" i="3"/>
  <c r="E28" i="3"/>
  <c r="D28" i="3"/>
  <c r="C28" i="3"/>
  <c r="B28" i="3"/>
  <c r="G24" i="3"/>
  <c r="F24" i="3"/>
  <c r="E24" i="3"/>
  <c r="D24" i="3"/>
  <c r="C24" i="3"/>
  <c r="B24" i="3" a="1"/>
  <c r="B24" i="3" s="1"/>
  <c r="F21" i="3" a="1"/>
  <c r="F21" i="3" s="1"/>
  <c r="D21" i="3" a="1"/>
  <c r="D21" i="3" s="1"/>
  <c r="B21" i="3" a="1"/>
  <c r="B21" i="3" s="1"/>
  <c r="F20" i="3" a="1"/>
  <c r="D20" i="3" a="1"/>
  <c r="D20" i="3" s="1"/>
  <c r="B20" i="3" a="1"/>
  <c r="B27" i="1" a="1"/>
  <c r="B27" i="1" s="1"/>
  <c r="B3" i="12" l="1"/>
  <c r="E3" i="12" s="1"/>
  <c r="C29" i="9"/>
  <c r="C30" i="9" s="1"/>
  <c r="D24" i="9"/>
  <c r="D29" i="9" s="1"/>
  <c r="D30" i="9" s="1"/>
  <c r="E29" i="9"/>
  <c r="E30" i="9" s="1"/>
  <c r="G29" i="9"/>
  <c r="G30" i="9" s="1"/>
  <c r="F24" i="9"/>
  <c r="F29" i="9" s="1"/>
  <c r="F30" i="9" s="1"/>
  <c r="B24" i="9"/>
  <c r="B29" i="9" s="1"/>
  <c r="B30" i="9" s="1"/>
  <c r="G26" i="6"/>
  <c r="G27" i="6" s="1"/>
  <c r="C26" i="6"/>
  <c r="C27" i="6" s="1"/>
  <c r="G29" i="4"/>
  <c r="G30" i="4" s="1"/>
  <c r="C29" i="7"/>
  <c r="C30" i="7" s="1"/>
  <c r="G29" i="7"/>
  <c r="G30" i="7" s="1"/>
  <c r="F24" i="7"/>
  <c r="F29" i="7" s="1"/>
  <c r="F30" i="7" s="1"/>
  <c r="D29" i="7"/>
  <c r="D30" i="7" s="1"/>
  <c r="E29" i="7"/>
  <c r="E30" i="7" s="1"/>
  <c r="B24" i="7"/>
  <c r="B29" i="7" s="1"/>
  <c r="B30" i="7" s="1"/>
  <c r="G26" i="5"/>
  <c r="G27" i="5" s="1"/>
  <c r="E26" i="6"/>
  <c r="E27" i="6" s="1"/>
  <c r="F21" i="6"/>
  <c r="F26" i="6" s="1"/>
  <c r="F27" i="6" s="1"/>
  <c r="D26" i="6"/>
  <c r="D27" i="6" s="1"/>
  <c r="B21" i="6"/>
  <c r="B26" i="6" s="1"/>
  <c r="B27" i="6" s="1"/>
  <c r="C26" i="5"/>
  <c r="C27" i="5" s="1"/>
  <c r="D26" i="5"/>
  <c r="D27" i="5" s="1"/>
  <c r="E26" i="5"/>
  <c r="E27" i="5" s="1"/>
  <c r="F21" i="5"/>
  <c r="F26" i="5" s="1"/>
  <c r="F27" i="5" s="1"/>
  <c r="B21" i="5"/>
  <c r="B26" i="5" s="1"/>
  <c r="B27" i="5" s="1"/>
  <c r="F24" i="4"/>
  <c r="F29" i="4" s="1"/>
  <c r="F30" i="4" s="1"/>
  <c r="C29" i="4"/>
  <c r="C30" i="4" s="1"/>
  <c r="D29" i="4"/>
  <c r="D30" i="4" s="1"/>
  <c r="E29" i="4"/>
  <c r="E30" i="4" s="1"/>
  <c r="B24" i="4"/>
  <c r="B29" i="4" s="1"/>
  <c r="B30" i="4" s="1"/>
  <c r="D25" i="3"/>
  <c r="D26" i="3" s="1"/>
  <c r="G25" i="3"/>
  <c r="G26" i="3" s="1"/>
  <c r="C25" i="3"/>
  <c r="C26" i="3" s="1"/>
  <c r="E25" i="3"/>
  <c r="E26" i="3" s="1"/>
  <c r="F20" i="3"/>
  <c r="F25" i="3" s="1"/>
  <c r="F26" i="3" s="1"/>
  <c r="B20" i="3"/>
  <c r="B25" i="3" s="1"/>
  <c r="B26" i="3" s="1"/>
  <c r="F7" i="12" l="1"/>
  <c r="C4" i="12"/>
  <c r="B6" i="12"/>
  <c r="D9" i="12"/>
  <c r="E7" i="12"/>
  <c r="C6" i="12"/>
  <c r="G4" i="12"/>
  <c r="E5" i="12"/>
  <c r="B9" i="12"/>
  <c r="C7" i="12"/>
  <c r="D4" i="12"/>
  <c r="D7" i="12"/>
  <c r="D6" i="12"/>
  <c r="E4" i="12"/>
  <c r="E9" i="12"/>
  <c r="F6" i="12"/>
  <c r="G7" i="12"/>
  <c r="G9" i="12"/>
  <c r="D5" i="12"/>
  <c r="G5" i="12"/>
  <c r="E6" i="12"/>
  <c r="B5" i="12"/>
  <c r="C9" i="12"/>
  <c r="F5" i="12"/>
  <c r="B4" i="12"/>
  <c r="G6" i="12"/>
  <c r="B7" i="12"/>
  <c r="C5" i="12"/>
  <c r="F4" i="12"/>
  <c r="B24" i="1" a="1"/>
  <c r="B24" i="1" s="1"/>
  <c r="F24" i="1" a="1"/>
  <c r="F24" i="1" s="1"/>
  <c r="F23" i="1" a="1"/>
  <c r="F23" i="1" s="1"/>
  <c r="D24" i="1" a="1"/>
  <c r="D24" i="1" s="1"/>
  <c r="D23" i="1" a="1"/>
  <c r="D23" i="1" s="1"/>
  <c r="G31" i="1"/>
  <c r="F31" i="1"/>
  <c r="E31" i="1"/>
  <c r="D31" i="1"/>
  <c r="C31" i="1"/>
  <c r="B31" i="1"/>
  <c r="G27" i="1"/>
  <c r="F27" i="1"/>
  <c r="E27" i="1"/>
  <c r="D27" i="1"/>
  <c r="C27" i="1"/>
  <c r="B28" i="1" l="1"/>
  <c r="B29" i="1" s="1"/>
  <c r="C28" i="1"/>
  <c r="C29" i="1" s="1"/>
  <c r="F28" i="1"/>
  <c r="F29" i="1" s="1"/>
  <c r="G28" i="1"/>
  <c r="G29" i="1" s="1"/>
  <c r="E28" i="1"/>
  <c r="E29" i="1" s="1"/>
  <c r="D28" i="1"/>
  <c r="D29" i="1" s="1"/>
  <c r="D8" i="12" l="1"/>
  <c r="E8" i="12"/>
  <c r="C8" i="12"/>
  <c r="F8" i="12"/>
  <c r="G8" i="12"/>
  <c r="B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tc={6C270E47-2591-4D80-BC2A-675280DA9288}</author>
  </authors>
  <commentList>
    <comment ref="C23" authorId="0" shapeId="0" xr:uid="{6C270E47-2591-4D80-BC2A-675280DA9288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 linear regression gives a negative energy capacity cost, so we assign a 0 energy capacity cost and find the power capacity cost using a weighted mean.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<sst xmlns="http://schemas.openxmlformats.org/spreadsheetml/2006/main" count="330" uniqueCount="83">
  <si>
    <t>Source:</t>
  </si>
  <si>
    <t>https://www.pnnl.gov/thermal</t>
  </si>
  <si>
    <t>Data:</t>
  </si>
  <si>
    <t>Equations we assume:</t>
  </si>
  <si>
    <t>We use the 1000 MW plant as the reference plant, and estimate energy and power capacity costs using linear regression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</si>
  <si>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</si>
  <si>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</si>
  <si>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</si>
  <si>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</si>
  <si>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</si>
  <si>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</si>
  <si>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</si>
  <si>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</si>
  <si>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RTE (%)</t>
  </si>
  <si>
    <t>Assumed Lifetime</t>
  </si>
  <si>
    <t>Capital Recovery Factor (%/year)</t>
  </si>
  <si>
    <t>Variable O&amp;M ($/MWh)</t>
  </si>
  <si>
    <t>Variable Cost ($/kWh)</t>
  </si>
  <si>
    <t>All costs referenced to kW delivered</t>
  </si>
  <si>
    <t>Color Code</t>
  </si>
  <si>
    <t>Assumptions</t>
  </si>
  <si>
    <t>Values we calculated</t>
  </si>
  <si>
    <t>Values used in MEM</t>
  </si>
  <si>
    <t>Constants</t>
  </si>
  <si>
    <t>Hours per year</t>
  </si>
  <si>
    <t>Discount Rate</t>
  </si>
  <si>
    <t>Abbreviations</t>
  </si>
  <si>
    <t>ESS</t>
  </si>
  <si>
    <t>Energy Storage System</t>
  </si>
  <si>
    <t>O&amp;M</t>
  </si>
  <si>
    <t>Operations and Maintenance</t>
  </si>
  <si>
    <t>RTE</t>
  </si>
  <si>
    <t>Round Trip Efficiency</t>
  </si>
  <si>
    <t>CAES</t>
  </si>
  <si>
    <t>Compressed Air Energy Storage</t>
  </si>
  <si>
    <t>RFB</t>
  </si>
  <si>
    <t>Redox Flow Battery</t>
  </si>
  <si>
    <t>PSH</t>
  </si>
  <si>
    <t>Pumped Storage Hydro</t>
  </si>
  <si>
    <t>PGP</t>
  </si>
  <si>
    <t>Power-to-gas-to-power</t>
  </si>
  <si>
    <t>Total Installed Cost ($/kWh, $/kW)</t>
  </si>
  <si>
    <t>Fixed O&amp;M ($/kWh/yr, $/kW/yr)</t>
  </si>
  <si>
    <t>Fixed Annual Costs ($/kWh/yr, $/kW/yr)</t>
  </si>
  <si>
    <t>Fixed Hourly Costs ($/kWh/h, $/kW/h)</t>
  </si>
  <si>
    <t>Total Installed Cost ($/kW)</t>
  </si>
  <si>
    <t>Fixed O&amp;M ($/kW-yr)</t>
  </si>
  <si>
    <t>Fixed Annual Costs ($/kWh/yr)</t>
  </si>
  <si>
    <t>Fixed Hourly Costs ($/kWh/h)</t>
  </si>
  <si>
    <t>We use the 1000 MW plant as the reference plant and use LFP costs</t>
  </si>
  <si>
    <t>https://www.pnnl.gov/lithium-ion-battery-lfp-and-nmc</t>
  </si>
  <si>
    <t>Lithium-ion Battery (LFP and NMC) Costs &amp; Performance Parameters (obtained 7-18-2022)</t>
  </si>
  <si>
    <t>Vanadium Redox Flow Costs &amp; Performance Parameters (obtained 7-18-2022)</t>
  </si>
  <si>
    <t>Compressed Air Energy Storage (CAES) Costs &amp; Performance Parameters (obtained 7-18-2022)</t>
  </si>
  <si>
    <t>Pumped Storage Hydropower (PSH) Costs &amp; Performance Parameters (obtained 7-18-2022)</t>
  </si>
  <si>
    <t>Gravitational Costs &amp; Performance Parameters (obtained 7-18-2022)</t>
  </si>
  <si>
    <t>Thermal Costs &amp; Performance Parameters (obtained 7-18-2022)</t>
  </si>
  <si>
    <t>https://www.pnnl.gov/gravitational</t>
  </si>
  <si>
    <t>https://www.pnnl.gov/pumped-storage-hydropower-psh</t>
  </si>
  <si>
    <t>https://www.pnnl.gov/compressed-air-energy-storage-caes</t>
  </si>
  <si>
    <t>https://www.pnnl.gov/vanadium-redox-flow-battery</t>
  </si>
  <si>
    <t>https://www.pnnl.gov/hydrogen-bi-directional</t>
  </si>
  <si>
    <t>Hydrogen Costs &amp; Performance Parameters (obtained 7-18-2022)</t>
  </si>
  <si>
    <t>We use the 1000 MW plant as the reference plant and use LFP costs, and estimate energy and power capacity costs using linear regression</t>
  </si>
  <si>
    <t>Technology</t>
  </si>
  <si>
    <t>Li-ion</t>
  </si>
  <si>
    <t>Vanadium RFB</t>
  </si>
  <si>
    <t>Gravitational</t>
  </si>
  <si>
    <t>Thermal</t>
  </si>
  <si>
    <t>Energy Capacity Total Installed Cost ($/kW)</t>
  </si>
  <si>
    <t>Power Capacity Total Installed Costs ($/kW)</t>
  </si>
  <si>
    <t>Energy Capacity Hourly Fixed Cost ($/kW/h)</t>
  </si>
  <si>
    <t>Power Capacity Hourly Fixed Costs ($/kW/h)</t>
  </si>
  <si>
    <t>Energy Low</t>
  </si>
  <si>
    <t>Energy Midpoint</t>
  </si>
  <si>
    <t>Energy High</t>
  </si>
  <si>
    <t>Power Low</t>
  </si>
  <si>
    <t>Power High</t>
  </si>
  <si>
    <t>Round Trip Efficiences (%)</t>
  </si>
  <si>
    <t>RTE Low</t>
  </si>
  <si>
    <t>RTE Midpoint</t>
  </si>
  <si>
    <t>RTE High</t>
  </si>
  <si>
    <t>Power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</si>
</sst>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 wrapText="1"/>
    </xf>
    <xf numFmtId="10" fontId="0" fillId="0" borderId="4" xfId="1" applyNumberFormat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4" xfId="0" applyBorder="1" applyAlignment="1">
      <alignment horizontal="center" vertical="center" wrapText="1"/>
    </xf>
    <xf numFmtId="165" fontId="0" fillId="3" borderId="3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 wrapText="1"/>
    </xf>
    <xf numFmtId="0" fontId="3" fillId="0" borderId="0" xfId="2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90A7CC-F2B2-4261-AD83-ED917B8AE0F3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90A7CC-F2B2-4261-AD83-ED917B8AE0F3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C423D0A-07F4-4FC3-A98C-BAAC16083032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C423D0A-07F4-4FC3-A98C-BAAC16083032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FDFF65C-77B3-4C5A-9BF1-122EBD600163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FDFF65C-77B3-4C5A-9BF1-122EBD600163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33C7631-FB64-4077-ADA1-A53DE300B301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33C7631-FB64-4077-ADA1-A53DE300B301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A33307-555E-4AF1-83DB-388AA94C91FF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A33307-555E-4AF1-83DB-388AA94C91FF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4659D48-ED0C-4D54-A0B2-66296F6DF0A0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4659D48-ED0C-4D54-A0B2-66296F6DF0A0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8030CD-5511-4263-8E2D-359A7E9301CE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8030CD-5511-4263-8E2D-359A7E9301CE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B0CEE0-DCA2-4ABE-BD83-C0AC4D69621A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B0CEE0-DCA2-4ABE-BD83-C0AC4D69621A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1ADFEB3-DBBC-4D8D-BD92-6CE0A05A27D4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1ADFEB3-DBBC-4D8D-BD92-6CE0A05A27D4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471366-309E-4EFD-A156-DF130AC57E18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471366-309E-4EFD-A156-DF130AC57E18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5A855B-795D-40FA-86BB-D687628D32FF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5A855B-795D-40FA-86BB-D687628D32FF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B5BCEB4-1DB7-4985-8A97-174064BC7A70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B5BCEB4-1DB7-4985-8A97-174064BC7A70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8F3832-F4DA-4853-BA6A-A705B83D49DD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8F3832-F4DA-4853-BA6A-A705B83D49DD}"/>
                </a:ext>
              </a:extLst>
            </xdr:cNvPr>
            <xdr:cNvSpPr txBox="1"/>
          </xdr:nvSpPr>
          <xdr:spPr>
            <a:xfrm>
              <a:off x="200025" y="1289050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97E975-FAEB-46AC-BC5B-61BB28113C55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97E975-FAEB-46AC-BC5B-61BB28113C55}"/>
                </a:ext>
              </a:extLst>
            </xdr:cNvPr>
            <xdr:cNvSpPr txBox="1"/>
          </xdr:nvSpPr>
          <xdr:spPr>
            <a:xfrm>
              <a:off x="0" y="1826932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EE69C3F3-7561-404C-B462-B91ABFDE55A7}" userId="S::axli@caltech.edu::3c421528-08c5-48e8-be0d-0f1df8e38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2-07-19T00:06:31.44" personId="{EE69C3F3-7561-404C-B462-B91ABFDE55A7}" id="{6C270E47-2591-4D80-BC2A-675280DA9288}">
    <text>Using a linear regression gives a negative energy capacity cost, so we assign a 0 energy capacity cost and find the power capacity cost using a weighted mean.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nnl.gov/vanadium-redox-flow-batter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nnl.gov/compressed-air-energy-storage-ca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pnnl.gov/pumped-storage-hydropower-ps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pnnl.gov/gravitationa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pnnl.gov/hydrogen-bi-direction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1E52-B0B8-4AF9-9B62-AE31A0D7CB46}">
  <dimension ref="A1:P28"/>
  <sheetViews>
    <sheetView topLeftCell="A3" zoomScale="77" zoomScaleNormal="55" workbookViewId="0">
      <selection activeCell="F16" sqref="F16"/>
    </sheetView>
  </sheetViews>
  <sheetFormatPr baseColWidth="10" defaultColWidth="8.83203125" defaultRowHeight="15" x14ac:dyDescent="0.2"/>
  <cols>
    <col min="1" max="1" width="14" customWidth="1"/>
    <col min="2" max="16" width="10.33203125" customWidth="1"/>
  </cols>
  <sheetData>
    <row r="1" spans="1:16" x14ac:dyDescent="0.2">
      <c r="A1" s="2" t="s">
        <v>0</v>
      </c>
      <c r="B1" t="s">
        <v>50</v>
      </c>
    </row>
    <row r="2" spans="1:16" x14ac:dyDescent="0.2">
      <c r="A2" s="2" t="s">
        <v>2</v>
      </c>
      <c r="B2" s="1" t="s">
        <v>51</v>
      </c>
    </row>
    <row r="4" spans="1:16" x14ac:dyDescent="0.2">
      <c r="A4" t="s">
        <v>49</v>
      </c>
    </row>
    <row r="6" spans="1:16" x14ac:dyDescent="0.2">
      <c r="A6" s="37" t="s">
        <v>8</v>
      </c>
      <c r="B6" s="71">
        <v>2</v>
      </c>
      <c r="C6" s="72"/>
      <c r="D6" s="73"/>
      <c r="F6" s="71">
        <v>4</v>
      </c>
      <c r="G6" s="72"/>
      <c r="H6" s="73"/>
      <c r="J6" s="71">
        <v>6</v>
      </c>
      <c r="K6" s="72"/>
      <c r="L6" s="73"/>
      <c r="N6" s="71">
        <v>8</v>
      </c>
      <c r="O6" s="72"/>
      <c r="P6" s="73"/>
    </row>
    <row r="7" spans="1:16" x14ac:dyDescent="0.2">
      <c r="A7" s="3"/>
      <c r="B7" s="12" t="s">
        <v>5</v>
      </c>
      <c r="C7" s="12" t="s">
        <v>6</v>
      </c>
      <c r="D7" s="11" t="s">
        <v>7</v>
      </c>
      <c r="F7" s="12" t="s">
        <v>5</v>
      </c>
      <c r="G7" s="12" t="s">
        <v>6</v>
      </c>
      <c r="H7" s="11" t="s">
        <v>7</v>
      </c>
      <c r="J7" s="12" t="s">
        <v>5</v>
      </c>
      <c r="K7" s="12" t="s">
        <v>6</v>
      </c>
      <c r="L7" s="11" t="s">
        <v>7</v>
      </c>
      <c r="N7" s="12" t="s">
        <v>5</v>
      </c>
      <c r="O7" s="12" t="s">
        <v>6</v>
      </c>
      <c r="P7" s="11" t="s">
        <v>7</v>
      </c>
    </row>
    <row r="8" spans="1:16" ht="32" x14ac:dyDescent="0.2">
      <c r="A8" s="5" t="s">
        <v>45</v>
      </c>
      <c r="B8" s="38">
        <v>719</v>
      </c>
      <c r="C8" s="38">
        <v>799</v>
      </c>
      <c r="D8" s="39">
        <v>879</v>
      </c>
      <c r="F8" s="38">
        <v>1308</v>
      </c>
      <c r="G8" s="38">
        <v>1454</v>
      </c>
      <c r="H8" s="39">
        <v>1599</v>
      </c>
      <c r="J8" s="38">
        <v>1890</v>
      </c>
      <c r="K8" s="38">
        <v>2100</v>
      </c>
      <c r="L8" s="39">
        <v>2310</v>
      </c>
      <c r="N8" s="38">
        <v>2468</v>
      </c>
      <c r="O8" s="38">
        <v>2743</v>
      </c>
      <c r="P8" s="39">
        <v>3017</v>
      </c>
    </row>
    <row r="9" spans="1:16" ht="32" x14ac:dyDescent="0.2">
      <c r="A9" s="5" t="s">
        <v>46</v>
      </c>
      <c r="B9" s="32">
        <v>2.13</v>
      </c>
      <c r="C9" s="32">
        <v>2.37</v>
      </c>
      <c r="D9" s="40">
        <v>2.6</v>
      </c>
      <c r="F9" s="32">
        <v>3.59</v>
      </c>
      <c r="G9" s="32">
        <v>3.99</v>
      </c>
      <c r="H9" s="40">
        <v>4.3899999999999997</v>
      </c>
      <c r="J9" s="32">
        <v>5.04</v>
      </c>
      <c r="K9" s="32">
        <v>5.6</v>
      </c>
      <c r="L9" s="40">
        <v>6.16</v>
      </c>
      <c r="N9" s="32">
        <v>6.48</v>
      </c>
      <c r="O9" s="32">
        <v>7.2</v>
      </c>
      <c r="P9" s="40">
        <v>7.92</v>
      </c>
    </row>
    <row r="10" spans="1:16" ht="16" x14ac:dyDescent="0.2">
      <c r="A10" s="5" t="s">
        <v>13</v>
      </c>
      <c r="B10" s="15">
        <v>0.83</v>
      </c>
      <c r="C10" s="15">
        <v>0.83</v>
      </c>
      <c r="D10" s="41">
        <v>0.83</v>
      </c>
      <c r="F10" s="15">
        <v>0.83</v>
      </c>
      <c r="G10" s="15">
        <v>0.83</v>
      </c>
      <c r="H10" s="41">
        <v>0.83</v>
      </c>
      <c r="J10" s="15">
        <v>0.83</v>
      </c>
      <c r="K10" s="15">
        <v>0.83</v>
      </c>
      <c r="L10" s="41">
        <v>0.83</v>
      </c>
      <c r="N10" s="15">
        <v>0.83</v>
      </c>
      <c r="O10" s="15">
        <v>0.83</v>
      </c>
      <c r="P10" s="41">
        <v>0.83</v>
      </c>
    </row>
    <row r="11" spans="1:16" ht="32" x14ac:dyDescent="0.2">
      <c r="A11" s="5" t="s">
        <v>14</v>
      </c>
      <c r="B11" s="7">
        <v>16</v>
      </c>
      <c r="C11" s="7">
        <v>16</v>
      </c>
      <c r="D11" s="42">
        <v>16</v>
      </c>
      <c r="F11" s="7">
        <v>16</v>
      </c>
      <c r="G11" s="7">
        <v>16</v>
      </c>
      <c r="H11" s="42">
        <v>16</v>
      </c>
      <c r="J11" s="7">
        <v>16</v>
      </c>
      <c r="K11" s="7">
        <v>16</v>
      </c>
      <c r="L11" s="42">
        <v>16</v>
      </c>
      <c r="N11" s="7">
        <v>16</v>
      </c>
      <c r="O11" s="7">
        <v>16</v>
      </c>
      <c r="P11" s="42">
        <v>16</v>
      </c>
    </row>
    <row r="12" spans="1:16" ht="48" x14ac:dyDescent="0.2">
      <c r="A12" s="5" t="s">
        <v>15</v>
      </c>
      <c r="B12" s="17">
        <f>((Discount_Rate*((1+Discount_Rate))^B11))/(((1+Discount_Rate)^B11)-1)</f>
        <v>0.11010416336125531</v>
      </c>
      <c r="C12" s="17">
        <f>((Discount_Rate*((1+Discount_Rate))^C11))/(((1+Discount_Rate)^C11)-1)</f>
        <v>0.11010416336125531</v>
      </c>
      <c r="D12" s="43">
        <f>((Discount_Rate*((1+Discount_Rate))^D11))/(((1+Discount_Rate)^D11)-1)</f>
        <v>0.11010416336125531</v>
      </c>
      <c r="F12" s="17">
        <f>((Discount_Rate*((1+Discount_Rate))^F11))/(((1+Discount_Rate)^F11)-1)</f>
        <v>0.11010416336125531</v>
      </c>
      <c r="G12" s="17">
        <f>((Discount_Rate*((1+Discount_Rate))^G11))/(((1+Discount_Rate)^G11)-1)</f>
        <v>0.11010416336125531</v>
      </c>
      <c r="H12" s="43">
        <f>((Discount_Rate*((1+Discount_Rate))^H11))/(((1+Discount_Rate)^H11)-1)</f>
        <v>0.11010416336125531</v>
      </c>
      <c r="J12" s="17">
        <f>((Discount_Rate*((1+Discount_Rate))^J11))/(((1+Discount_Rate)^J11)-1)</f>
        <v>0.11010416336125531</v>
      </c>
      <c r="K12" s="17">
        <f>((Discount_Rate*((1+Discount_Rate))^K11))/(((1+Discount_Rate)^K11)-1)</f>
        <v>0.11010416336125531</v>
      </c>
      <c r="L12" s="43">
        <f>((Discount_Rate*((1+Discount_Rate))^L11))/(((1+Discount_Rate)^L11)-1)</f>
        <v>0.11010416336125531</v>
      </c>
      <c r="N12" s="17">
        <f>((Discount_Rate*((1+Discount_Rate))^N11))/(((1+Discount_Rate)^N11)-1)</f>
        <v>0.11010416336125531</v>
      </c>
      <c r="O12" s="17">
        <f>((Discount_Rate*((1+Discount_Rate))^O11))/(((1+Discount_Rate)^O11)-1)</f>
        <v>0.11010416336125531</v>
      </c>
      <c r="P12" s="43">
        <f>((Discount_Rate*((1+Discount_Rate))^P11))/(((1+Discount_Rate)^P11)-1)</f>
        <v>0.11010416336125531</v>
      </c>
    </row>
    <row r="13" spans="1:16" ht="48" x14ac:dyDescent="0.2">
      <c r="A13" s="5" t="s">
        <v>47</v>
      </c>
      <c r="B13" s="7">
        <f>(B8*B12+B9)/4</f>
        <v>20.323723364185639</v>
      </c>
      <c r="C13" s="7">
        <f t="shared" ref="C13:D13" si="0">(C8*C12+C9)/4</f>
        <v>22.585806631410748</v>
      </c>
      <c r="D13" s="42">
        <f t="shared" si="0"/>
        <v>24.845389898635851</v>
      </c>
      <c r="F13" s="7">
        <f>(F8*F12+F9)/4</f>
        <v>36.901561419130488</v>
      </c>
      <c r="G13" s="7">
        <f t="shared" ref="G13:H13" si="1">(G8*G12+G9)/4</f>
        <v>41.02036338181631</v>
      </c>
      <c r="H13" s="42">
        <f t="shared" si="1"/>
        <v>45.111639303661804</v>
      </c>
      <c r="J13" s="7">
        <f>(J8*J12+J9)/4</f>
        <v>53.284217188193132</v>
      </c>
      <c r="K13" s="7">
        <f t="shared" ref="K13:L13" si="2">(K8*K12+K9)/4</f>
        <v>59.204685764659033</v>
      </c>
      <c r="L13" s="42">
        <f t="shared" si="2"/>
        <v>65.12515434112494</v>
      </c>
      <c r="N13" s="7">
        <f>(N8*N12+N9)/4</f>
        <v>69.554268793894536</v>
      </c>
      <c r="O13" s="7">
        <f t="shared" ref="O13:P13" si="3">(O8*O12+O9)/4</f>
        <v>77.303930024980829</v>
      </c>
      <c r="P13" s="42">
        <f t="shared" si="3"/>
        <v>85.026065215226822</v>
      </c>
    </row>
    <row r="14" spans="1:16" ht="32" x14ac:dyDescent="0.2">
      <c r="A14" s="5" t="s">
        <v>48</v>
      </c>
      <c r="B14" s="19">
        <f>B13/Hours_per_year</f>
        <v>2.3200597447700501E-3</v>
      </c>
      <c r="C14" s="19">
        <f>C13/Hours_per_year</f>
        <v>2.5782884282432362E-3</v>
      </c>
      <c r="D14" s="44">
        <f>D13/Hours_per_year</f>
        <v>2.8362317235885674E-3</v>
      </c>
      <c r="F14" s="19">
        <f>F13/Hours_per_year</f>
        <v>4.2125070113162655E-3</v>
      </c>
      <c r="G14" s="19">
        <f>G13/Hours_per_year</f>
        <v>4.6826898837689854E-3</v>
      </c>
      <c r="H14" s="44">
        <f>H13/Hours_per_year</f>
        <v>5.1497305141166442E-3</v>
      </c>
      <c r="J14" s="19">
        <f>J13/Hours_per_year</f>
        <v>6.0826731949992158E-3</v>
      </c>
      <c r="K14" s="19">
        <f>K13/Hours_per_year</f>
        <v>6.7585257722213507E-3</v>
      </c>
      <c r="L14" s="44">
        <f>L13/Hours_per_year</f>
        <v>7.4343783494434865E-3</v>
      </c>
      <c r="N14" s="19">
        <f>N13/Hours_per_year</f>
        <v>7.9399850221340794E-3</v>
      </c>
      <c r="O14" s="19">
        <f>O13/Hours_per_year</f>
        <v>8.8246495462306878E-3</v>
      </c>
      <c r="P14" s="44">
        <f>P13/Hours_per_year</f>
        <v>9.7061718282222403E-3</v>
      </c>
    </row>
    <row r="15" spans="1:16" ht="32" x14ac:dyDescent="0.2">
      <c r="A15" s="5" t="s">
        <v>16</v>
      </c>
      <c r="B15" s="7">
        <v>0.51524999999999999</v>
      </c>
      <c r="C15" s="7">
        <v>0.51524999999999999</v>
      </c>
      <c r="D15" s="42">
        <v>0.51524999999999999</v>
      </c>
      <c r="F15" s="7">
        <v>0.51524999999999999</v>
      </c>
      <c r="G15" s="7">
        <v>0.51524999999999999</v>
      </c>
      <c r="H15" s="42">
        <v>0.51524999999999999</v>
      </c>
      <c r="J15" s="7">
        <v>0.51524999999999999</v>
      </c>
      <c r="K15" s="7">
        <v>0.51524999999999999</v>
      </c>
      <c r="L15" s="42">
        <v>0.51524999999999999</v>
      </c>
      <c r="N15" s="7">
        <v>0.51524999999999999</v>
      </c>
      <c r="O15" s="7">
        <v>0.51524999999999999</v>
      </c>
      <c r="P15" s="42">
        <v>0.51524999999999999</v>
      </c>
    </row>
    <row r="16" spans="1:16" ht="32" x14ac:dyDescent="0.2">
      <c r="A16" s="21" t="s">
        <v>17</v>
      </c>
      <c r="B16" s="22">
        <f>B15/1000</f>
        <v>5.1524999999999997E-4</v>
      </c>
      <c r="C16" s="22">
        <f t="shared" ref="C16:D16" si="4">C15/1000</f>
        <v>5.1524999999999997E-4</v>
      </c>
      <c r="D16" s="45">
        <f t="shared" si="4"/>
        <v>5.1524999999999997E-4</v>
      </c>
      <c r="F16" s="22">
        <f>F15/1000</f>
        <v>5.1524999999999997E-4</v>
      </c>
      <c r="G16" s="22">
        <f t="shared" ref="G16:H16" si="5">G15/1000</f>
        <v>5.1524999999999997E-4</v>
      </c>
      <c r="H16" s="45">
        <f t="shared" si="5"/>
        <v>5.1524999999999997E-4</v>
      </c>
      <c r="J16" s="22">
        <f>J15/1000</f>
        <v>5.1524999999999997E-4</v>
      </c>
      <c r="K16" s="22">
        <f t="shared" ref="K16:L16" si="6">K15/1000</f>
        <v>5.1524999999999997E-4</v>
      </c>
      <c r="L16" s="45">
        <f t="shared" si="6"/>
        <v>5.1524999999999997E-4</v>
      </c>
      <c r="N16" s="22">
        <f>N15/1000</f>
        <v>5.1524999999999997E-4</v>
      </c>
      <c r="O16" s="22">
        <f t="shared" ref="O16:P16" si="7">O15/1000</f>
        <v>5.1524999999999997E-4</v>
      </c>
      <c r="P16" s="45">
        <f t="shared" si="7"/>
        <v>5.1524999999999997E-4</v>
      </c>
    </row>
    <row r="18" spans="1:16" x14ac:dyDescent="0.2">
      <c r="A18" s="37" t="s">
        <v>8</v>
      </c>
      <c r="B18" s="71">
        <v>10</v>
      </c>
      <c r="C18" s="72"/>
      <c r="D18" s="73"/>
      <c r="F18" s="71">
        <v>24</v>
      </c>
      <c r="G18" s="72"/>
      <c r="H18" s="73"/>
      <c r="J18" s="71">
        <v>100</v>
      </c>
      <c r="K18" s="72"/>
      <c r="L18" s="73"/>
      <c r="N18" s="70"/>
      <c r="O18" s="70"/>
      <c r="P18" s="70"/>
    </row>
    <row r="19" spans="1:16" x14ac:dyDescent="0.2">
      <c r="A19" s="3"/>
      <c r="B19" s="12" t="s">
        <v>5</v>
      </c>
      <c r="C19" s="12" t="s">
        <v>6</v>
      </c>
      <c r="D19" s="11" t="s">
        <v>7</v>
      </c>
      <c r="F19" s="12" t="s">
        <v>5</v>
      </c>
      <c r="G19" s="12" t="s">
        <v>6</v>
      </c>
      <c r="H19" s="11" t="s">
        <v>7</v>
      </c>
      <c r="J19" s="12" t="s">
        <v>5</v>
      </c>
      <c r="K19" s="12" t="s">
        <v>6</v>
      </c>
      <c r="L19" s="11" t="s">
        <v>7</v>
      </c>
      <c r="N19" s="46"/>
      <c r="O19" s="46"/>
      <c r="P19" s="46"/>
    </row>
    <row r="20" spans="1:16" ht="32" x14ac:dyDescent="0.2">
      <c r="A20" s="5" t="s">
        <v>45</v>
      </c>
      <c r="B20" s="38">
        <v>3043</v>
      </c>
      <c r="C20" s="38">
        <v>3382</v>
      </c>
      <c r="D20" s="39">
        <v>3720</v>
      </c>
      <c r="F20" s="38">
        <v>7018</v>
      </c>
      <c r="G20" s="38">
        <v>7797</v>
      </c>
      <c r="H20" s="39">
        <v>8577</v>
      </c>
      <c r="J20" s="38">
        <v>28032</v>
      </c>
      <c r="K20" s="38">
        <v>31147</v>
      </c>
      <c r="L20" s="39">
        <v>34261</v>
      </c>
      <c r="N20" s="47"/>
      <c r="O20" s="47"/>
      <c r="P20" s="47"/>
    </row>
    <row r="21" spans="1:16" ht="32" x14ac:dyDescent="0.2">
      <c r="A21" s="5" t="s">
        <v>46</v>
      </c>
      <c r="B21" s="32">
        <v>7.91</v>
      </c>
      <c r="C21" s="32">
        <v>8.7899999999999991</v>
      </c>
      <c r="D21" s="40">
        <v>9.67</v>
      </c>
      <c r="F21" s="32">
        <v>17.8</v>
      </c>
      <c r="G21" s="32">
        <v>19.78</v>
      </c>
      <c r="H21" s="40">
        <v>21.76</v>
      </c>
      <c r="J21" s="32">
        <v>70.09</v>
      </c>
      <c r="K21" s="32">
        <v>77.88</v>
      </c>
      <c r="L21" s="40">
        <v>85.67</v>
      </c>
      <c r="N21" s="47"/>
      <c r="O21" s="47"/>
      <c r="P21" s="47"/>
    </row>
    <row r="22" spans="1:16" ht="16" x14ac:dyDescent="0.2">
      <c r="A22" s="5" t="s">
        <v>13</v>
      </c>
      <c r="B22" s="15">
        <v>0.83</v>
      </c>
      <c r="C22" s="15">
        <v>0.83</v>
      </c>
      <c r="D22" s="41">
        <v>0.83</v>
      </c>
      <c r="F22" s="15">
        <v>0.83</v>
      </c>
      <c r="G22" s="15">
        <v>0.83</v>
      </c>
      <c r="H22" s="41">
        <v>0.83</v>
      </c>
      <c r="J22" s="15">
        <v>0.83</v>
      </c>
      <c r="K22" s="15">
        <v>0.83</v>
      </c>
      <c r="L22" s="41">
        <v>0.83</v>
      </c>
      <c r="N22" s="48"/>
      <c r="O22" s="48"/>
      <c r="P22" s="48"/>
    </row>
    <row r="23" spans="1:16" ht="32" x14ac:dyDescent="0.2">
      <c r="A23" s="5" t="s">
        <v>14</v>
      </c>
      <c r="B23" s="7">
        <v>16</v>
      </c>
      <c r="C23" s="7">
        <v>16</v>
      </c>
      <c r="D23" s="42">
        <v>16</v>
      </c>
      <c r="F23" s="7">
        <v>16</v>
      </c>
      <c r="G23" s="7">
        <v>16</v>
      </c>
      <c r="H23" s="42">
        <v>16</v>
      </c>
      <c r="I23" s="42"/>
      <c r="J23" s="7">
        <v>16</v>
      </c>
      <c r="K23" s="7">
        <v>16</v>
      </c>
      <c r="L23" s="42">
        <v>16</v>
      </c>
      <c r="N23" s="49"/>
      <c r="O23" s="49"/>
      <c r="P23" s="49"/>
    </row>
    <row r="24" spans="1:16" ht="32" x14ac:dyDescent="0.2">
      <c r="A24" s="5" t="s">
        <v>15</v>
      </c>
      <c r="B24" s="17">
        <f>((Discount_Rate*((1+Discount_Rate))^B23))/(((1+Discount_Rate)^B23)-1)</f>
        <v>0.11010416336125531</v>
      </c>
      <c r="C24" s="17">
        <f>((Discount_Rate*((1+Discount_Rate))^C23))/(((1+Discount_Rate)^C23)-1)</f>
        <v>0.11010416336125531</v>
      </c>
      <c r="D24" s="43">
        <f>((Discount_Rate*((1+Discount_Rate))^D23))/(((1+Discount_Rate)^D23)-1)</f>
        <v>0.11010416336125531</v>
      </c>
      <c r="F24" s="17">
        <f>((Discount_Rate*((1+Discount_Rate))^F23))/(((1+Discount_Rate)^F23)-1)</f>
        <v>0.11010416336125531</v>
      </c>
      <c r="G24" s="17">
        <f>((Discount_Rate*((1+Discount_Rate))^G23))/(((1+Discount_Rate)^G23)-1)</f>
        <v>0.11010416336125531</v>
      </c>
      <c r="H24" s="43">
        <f>((Discount_Rate*((1+Discount_Rate))^H23))/(((1+Discount_Rate)^H23)-1)</f>
        <v>0.11010416336125531</v>
      </c>
      <c r="J24" s="17">
        <f>((Discount_Rate*((1+Discount_Rate))^J23))/(((1+Discount_Rate)^J23)-1)</f>
        <v>0.11010416336125531</v>
      </c>
      <c r="K24" s="17">
        <f>((Discount_Rate*((1+Discount_Rate))^K23))/(((1+Discount_Rate)^K23)-1)</f>
        <v>0.11010416336125531</v>
      </c>
      <c r="L24" s="43">
        <f>((Discount_Rate*((1+Discount_Rate))^L23))/(((1+Discount_Rate)^L23)-1)</f>
        <v>0.11010416336125531</v>
      </c>
      <c r="N24" s="50"/>
      <c r="O24" s="50"/>
      <c r="P24" s="50"/>
    </row>
    <row r="25" spans="1:16" ht="48" x14ac:dyDescent="0.2">
      <c r="A25" s="5" t="s">
        <v>47</v>
      </c>
      <c r="B25" s="7">
        <f>(B20*B24+B21)/4</f>
        <v>85.739242277074979</v>
      </c>
      <c r="C25" s="7">
        <f t="shared" ref="C25:D25" si="8">(C20*C24+C21)/4</f>
        <v>95.290570121941371</v>
      </c>
      <c r="D25" s="42">
        <f t="shared" si="8"/>
        <v>104.81437192596744</v>
      </c>
      <c r="F25" s="7">
        <f>(F20*F24+F21)/4</f>
        <v>197.62775461732244</v>
      </c>
      <c r="G25" s="7">
        <f t="shared" ref="G25:H25" si="9">(G20*G24+G21)/4</f>
        <v>219.56554043192691</v>
      </c>
      <c r="H25" s="42">
        <f t="shared" si="9"/>
        <v>241.53085228737169</v>
      </c>
      <c r="J25" s="7">
        <f>(J20*J24+J21)/4</f>
        <v>789.13247683567727</v>
      </c>
      <c r="K25" s="7">
        <f t="shared" ref="K25:L25" si="10">(K20*K24+K21)/4</f>
        <v>876.82359405325485</v>
      </c>
      <c r="L25" s="42">
        <f t="shared" si="10"/>
        <v>964.48718522999206</v>
      </c>
      <c r="N25" s="49"/>
      <c r="O25" s="49"/>
      <c r="P25" s="49"/>
    </row>
    <row r="26" spans="1:16" ht="32" x14ac:dyDescent="0.2">
      <c r="A26" s="5" t="s">
        <v>48</v>
      </c>
      <c r="B26" s="19">
        <f>B25/Hours_per_year</f>
        <v>9.7875847348259104E-3</v>
      </c>
      <c r="C26" s="19">
        <f>C25/Hours_per_year</f>
        <v>1.0877918963691937E-2</v>
      </c>
      <c r="D26" s="44">
        <f>D25/Hours_per_year</f>
        <v>1.1965110950452903E-2</v>
      </c>
      <c r="F26" s="19">
        <f>F25/Hours_per_year</f>
        <v>2.2560245960881558E-2</v>
      </c>
      <c r="G26" s="19">
        <f>G25/Hours_per_year</f>
        <v>2.5064559410037317E-2</v>
      </c>
      <c r="H26" s="44">
        <f>H25/Hours_per_year</f>
        <v>2.7572015101298138E-2</v>
      </c>
      <c r="J26" s="19">
        <f>J25/Hours_per_year</f>
        <v>9.0083616077132111E-2</v>
      </c>
      <c r="K26" s="19">
        <f>K25/Hours_per_year</f>
        <v>0.100094017585988</v>
      </c>
      <c r="L26" s="44">
        <f>L25/Hours_per_year</f>
        <v>0.11010127685273882</v>
      </c>
      <c r="N26" s="49"/>
      <c r="O26" s="49"/>
      <c r="P26" s="49"/>
    </row>
    <row r="27" spans="1:16" ht="32" x14ac:dyDescent="0.2">
      <c r="A27" s="5" t="s">
        <v>16</v>
      </c>
      <c r="B27" s="7">
        <v>0.51524999999999999</v>
      </c>
      <c r="C27" s="7">
        <v>0.51524999999999999</v>
      </c>
      <c r="D27" s="42">
        <v>0.51524999999999999</v>
      </c>
      <c r="F27" s="7">
        <v>0.51524999999999999</v>
      </c>
      <c r="G27" s="7">
        <v>0.51524999999999999</v>
      </c>
      <c r="H27" s="42">
        <v>0.51524999999999999</v>
      </c>
      <c r="J27" s="7">
        <v>0.51524999999999999</v>
      </c>
      <c r="K27" s="7">
        <v>0.51524999999999999</v>
      </c>
      <c r="L27" s="42">
        <v>0.51524999999999999</v>
      </c>
      <c r="N27" s="49"/>
      <c r="O27" s="49"/>
      <c r="P27" s="49"/>
    </row>
    <row r="28" spans="1:16" ht="32" x14ac:dyDescent="0.2">
      <c r="A28" s="21" t="s">
        <v>17</v>
      </c>
      <c r="B28" s="22">
        <f>B27/1000</f>
        <v>5.1524999999999997E-4</v>
      </c>
      <c r="C28" s="22">
        <f t="shared" ref="C28:D28" si="11">C27/1000</f>
        <v>5.1524999999999997E-4</v>
      </c>
      <c r="D28" s="45">
        <f t="shared" si="11"/>
        <v>5.1524999999999997E-4</v>
      </c>
      <c r="F28" s="22">
        <f>F27/1000</f>
        <v>5.1524999999999997E-4</v>
      </c>
      <c r="G28" s="22">
        <f t="shared" ref="G28:H28" si="12">G27/1000</f>
        <v>5.1524999999999997E-4</v>
      </c>
      <c r="H28" s="45">
        <f t="shared" si="12"/>
        <v>5.1524999999999997E-4</v>
      </c>
      <c r="J28" s="22">
        <f>J27/1000</f>
        <v>5.1524999999999997E-4</v>
      </c>
      <c r="K28" s="22">
        <f t="shared" ref="K28:L28" si="13">K27/1000</f>
        <v>5.1524999999999997E-4</v>
      </c>
      <c r="L28" s="45">
        <f t="shared" si="13"/>
        <v>5.1524999999999997E-4</v>
      </c>
      <c r="N28" s="49"/>
      <c r="O28" s="49"/>
      <c r="P28" s="49"/>
    </row>
  </sheetData>
  <mergeCells count="8">
    <mergeCell ref="N18:P18"/>
    <mergeCell ref="B6:D6"/>
    <mergeCell ref="N6:P6"/>
    <mergeCell ref="F6:H6"/>
    <mergeCell ref="J6:L6"/>
    <mergeCell ref="B18:D18"/>
    <mergeCell ref="F18:H18"/>
    <mergeCell ref="J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243C-A1D8-4D96-B476-2D4A4532B598}">
  <dimension ref="A1:G32"/>
  <sheetViews>
    <sheetView zoomScaleNormal="85" workbookViewId="0">
      <selection activeCell="K26" sqref="K26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t="s">
        <v>50</v>
      </c>
    </row>
    <row r="2" spans="1:7" x14ac:dyDescent="0.2">
      <c r="A2" s="2" t="s">
        <v>2</v>
      </c>
      <c r="B2" s="1" t="s">
        <v>51</v>
      </c>
    </row>
    <row r="4" spans="1:7" x14ac:dyDescent="0.2">
      <c r="A4" t="s">
        <v>63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2</v>
      </c>
      <c r="B16" s="38">
        <v>719</v>
      </c>
      <c r="C16" s="54">
        <v>2.13</v>
      </c>
      <c r="D16" s="38">
        <v>799</v>
      </c>
      <c r="E16" s="55">
        <v>2.37</v>
      </c>
      <c r="F16" s="54">
        <v>879</v>
      </c>
      <c r="G16" s="55">
        <v>2.6</v>
      </c>
    </row>
    <row r="17" spans="1:7" x14ac:dyDescent="0.2">
      <c r="A17" s="7">
        <v>4</v>
      </c>
      <c r="B17" s="32">
        <v>1308</v>
      </c>
      <c r="C17" s="47">
        <v>3.59</v>
      </c>
      <c r="D17" s="32">
        <v>1454</v>
      </c>
      <c r="E17" s="33">
        <v>3.99</v>
      </c>
      <c r="F17" s="47">
        <v>1599</v>
      </c>
      <c r="G17" s="33">
        <v>4.3899999999999997</v>
      </c>
    </row>
    <row r="18" spans="1:7" x14ac:dyDescent="0.2">
      <c r="A18" s="7">
        <v>6</v>
      </c>
      <c r="B18" s="32">
        <v>1890</v>
      </c>
      <c r="C18" s="47">
        <v>5.04</v>
      </c>
      <c r="D18" s="32">
        <v>2100</v>
      </c>
      <c r="E18" s="33">
        <v>5.6</v>
      </c>
      <c r="F18" s="47">
        <v>2310</v>
      </c>
      <c r="G18" s="33">
        <v>6.16</v>
      </c>
    </row>
    <row r="19" spans="1:7" x14ac:dyDescent="0.2">
      <c r="A19" s="7">
        <v>8</v>
      </c>
      <c r="B19" s="32">
        <v>2468</v>
      </c>
      <c r="C19" s="47">
        <v>6.48</v>
      </c>
      <c r="D19" s="32">
        <v>2743</v>
      </c>
      <c r="E19" s="33">
        <v>7.2</v>
      </c>
      <c r="F19" s="47">
        <v>3017</v>
      </c>
      <c r="G19" s="33">
        <v>7.92</v>
      </c>
    </row>
    <row r="20" spans="1:7" x14ac:dyDescent="0.2">
      <c r="A20" s="7">
        <v>10</v>
      </c>
      <c r="B20" s="32">
        <v>3043</v>
      </c>
      <c r="C20" s="47">
        <v>7.91</v>
      </c>
      <c r="D20" s="32">
        <v>3382</v>
      </c>
      <c r="E20" s="33">
        <v>8.7899999999999991</v>
      </c>
      <c r="F20" s="47">
        <v>3720</v>
      </c>
      <c r="G20" s="33">
        <v>9.67</v>
      </c>
    </row>
    <row r="21" spans="1:7" x14ac:dyDescent="0.2">
      <c r="A21" s="7">
        <v>24</v>
      </c>
      <c r="B21" s="32">
        <v>7018</v>
      </c>
      <c r="C21" s="47">
        <v>17.8</v>
      </c>
      <c r="D21" s="32">
        <v>7797</v>
      </c>
      <c r="E21" s="33">
        <v>19.78</v>
      </c>
      <c r="F21" s="47">
        <v>8577</v>
      </c>
      <c r="G21" s="33">
        <v>21.76</v>
      </c>
    </row>
    <row r="22" spans="1:7" x14ac:dyDescent="0.2">
      <c r="A22" s="7">
        <v>100</v>
      </c>
      <c r="B22" s="56">
        <v>28032</v>
      </c>
      <c r="C22" s="57">
        <v>70.09</v>
      </c>
      <c r="D22" s="56">
        <v>31147</v>
      </c>
      <c r="E22" s="58">
        <v>77.88</v>
      </c>
      <c r="F22" s="57">
        <v>34261</v>
      </c>
      <c r="G22" s="58">
        <v>85.67</v>
      </c>
    </row>
    <row r="23" spans="1:7" x14ac:dyDescent="0.2">
      <c r="A23" s="10"/>
      <c r="B23" s="52" t="s">
        <v>11</v>
      </c>
      <c r="C23" s="53" t="s">
        <v>12</v>
      </c>
      <c r="D23" s="52" t="s">
        <v>11</v>
      </c>
      <c r="E23" s="53" t="s">
        <v>12</v>
      </c>
      <c r="F23" s="52" t="s">
        <v>11</v>
      </c>
      <c r="G23" s="53" t="s">
        <v>12</v>
      </c>
    </row>
    <row r="24" spans="1:7" ht="48" x14ac:dyDescent="0.2">
      <c r="A24" s="5" t="s">
        <v>41</v>
      </c>
      <c r="B24" s="13" cm="1">
        <f t="array" ref="B24:C24">LINEST(B17:B22,$A$17:$A$22)</f>
        <v>278.01815213215514</v>
      </c>
      <c r="C24" s="14">
        <v>250.0401459854038</v>
      </c>
      <c r="D24" s="13" cm="1">
        <f t="array" ref="D24:E24">LINEST(D17:D22,$A$17:$A$22)</f>
        <v>308.906838263542</v>
      </c>
      <c r="E24" s="14">
        <v>278.19343065693647</v>
      </c>
      <c r="F24" s="13" cm="1">
        <f t="array" ref="F24:G24">LINEST(F17:F22,$A$17:$A$22)</f>
        <v>339.79235497502873</v>
      </c>
      <c r="G24" s="14">
        <v>305.9270072992731</v>
      </c>
    </row>
    <row r="25" spans="1:7" ht="48" x14ac:dyDescent="0.2">
      <c r="A25" s="5" t="s">
        <v>42</v>
      </c>
      <c r="B25" s="13" cm="1">
        <f t="array" ref="B25:C25">LINEST(C17:C22,$A$17:$A$22)</f>
        <v>0.69180080676142897</v>
      </c>
      <c r="C25" s="14">
        <v>0.95937956204380015</v>
      </c>
      <c r="D25" s="13" cm="1">
        <f t="array" ref="D25:E25">LINEST(E17:E22,$A$17:$A$22)</f>
        <v>0.76868517095658839</v>
      </c>
      <c r="E25" s="14">
        <v>1.0666423357664279</v>
      </c>
      <c r="F25" s="13" cm="1">
        <f t="array" ref="F25:G25">LINEST(G17:G22,$A$17:$A$22)</f>
        <v>0.84556953515174793</v>
      </c>
      <c r="G25" s="14">
        <v>1.173905109489052</v>
      </c>
    </row>
    <row r="26" spans="1:7" ht="16" x14ac:dyDescent="0.2">
      <c r="A26" s="5" t="s">
        <v>13</v>
      </c>
      <c r="B26" s="15">
        <v>0.83</v>
      </c>
      <c r="C26" s="16">
        <v>0.83</v>
      </c>
      <c r="D26" s="15">
        <v>0.83</v>
      </c>
      <c r="E26" s="16">
        <v>0.83</v>
      </c>
      <c r="F26" s="15">
        <v>0.83</v>
      </c>
      <c r="G26" s="16">
        <v>0.83</v>
      </c>
    </row>
    <row r="27" spans="1:7" ht="32" x14ac:dyDescent="0.2">
      <c r="A27" s="5" t="s">
        <v>14</v>
      </c>
      <c r="B27" s="7">
        <v>16</v>
      </c>
      <c r="C27" s="9">
        <v>16</v>
      </c>
      <c r="D27" s="7">
        <v>16</v>
      </c>
      <c r="E27" s="9">
        <v>16</v>
      </c>
      <c r="F27" s="7">
        <v>16</v>
      </c>
      <c r="G27" s="9">
        <v>16</v>
      </c>
    </row>
    <row r="28" spans="1:7" ht="58" customHeight="1" x14ac:dyDescent="0.2">
      <c r="A28" s="5" t="s">
        <v>15</v>
      </c>
      <c r="B28" s="17" cm="1">
        <f t="array" ref="B28">((Discount_Rate*((1+Discount_Rate))^B27))/(((1+Discount_Rate)^B27)-1)</f>
        <v>0.11010416336125531</v>
      </c>
      <c r="C28" s="18">
        <f t="shared" ref="C28:G28" si="0">((Discount_Rate*((1+Discount_Rate))^C27))/(((1+Discount_Rate)^C27)-1)</f>
        <v>0.11010416336125531</v>
      </c>
      <c r="D28" s="17">
        <f t="shared" si="0"/>
        <v>0.11010416336125531</v>
      </c>
      <c r="E28" s="18">
        <f t="shared" si="0"/>
        <v>0.11010416336125531</v>
      </c>
      <c r="F28" s="17">
        <f t="shared" si="0"/>
        <v>0.11010416336125531</v>
      </c>
      <c r="G28" s="18">
        <f t="shared" si="0"/>
        <v>0.11010416336125531</v>
      </c>
    </row>
    <row r="29" spans="1:7" ht="48" x14ac:dyDescent="0.2">
      <c r="A29" s="5" t="s">
        <v>43</v>
      </c>
      <c r="B29" s="31">
        <f t="shared" ref="B29:G29" si="1">B24*B28+B25</f>
        <v>31.302756846514569</v>
      </c>
      <c r="C29" s="34">
        <f t="shared" si="1"/>
        <v>28.489840642492826</v>
      </c>
      <c r="D29" s="31">
        <f t="shared" si="1"/>
        <v>34.78061415453449</v>
      </c>
      <c r="E29" s="34">
        <f t="shared" si="1"/>
        <v>31.696897270845813</v>
      </c>
      <c r="F29" s="31">
        <f t="shared" si="1"/>
        <v>38.258122496227962</v>
      </c>
      <c r="G29" s="34">
        <f t="shared" si="1"/>
        <v>34.857742297788164</v>
      </c>
    </row>
    <row r="30" spans="1:7" ht="48" x14ac:dyDescent="0.2">
      <c r="A30" s="5" t="s">
        <v>44</v>
      </c>
      <c r="B30" s="35">
        <f t="shared" ref="B30:G30" si="2">B29/Hours_per_year</f>
        <v>3.5733740692368231E-3</v>
      </c>
      <c r="C30" s="36">
        <f t="shared" si="2"/>
        <v>3.2522649135265785E-3</v>
      </c>
      <c r="D30" s="35">
        <f t="shared" si="2"/>
        <v>3.9703897436683209E-3</v>
      </c>
      <c r="E30" s="36">
        <f t="shared" si="2"/>
        <v>3.6183672683613942E-3</v>
      </c>
      <c r="F30" s="35">
        <f t="shared" si="2"/>
        <v>4.3673655817611833E-3</v>
      </c>
      <c r="G30" s="36">
        <f t="shared" si="2"/>
        <v>3.9791943262315254E-3</v>
      </c>
    </row>
    <row r="31" spans="1:7" ht="32" x14ac:dyDescent="0.2">
      <c r="A31" s="5" t="s">
        <v>16</v>
      </c>
      <c r="B31" s="7">
        <v>0.51524999999999999</v>
      </c>
      <c r="C31" s="9">
        <v>0.51524999999999999</v>
      </c>
      <c r="D31" s="7">
        <v>0.51524999999999999</v>
      </c>
      <c r="E31" s="9">
        <v>0.51524999999999999</v>
      </c>
      <c r="F31" s="7">
        <v>0.51524999999999999</v>
      </c>
      <c r="G31" s="9">
        <v>0.51524999999999999</v>
      </c>
    </row>
    <row r="32" spans="1:7" ht="32" x14ac:dyDescent="0.2">
      <c r="A32" s="21" t="s">
        <v>17</v>
      </c>
      <c r="B32" s="22">
        <f>B31/1000</f>
        <v>5.1524999999999997E-4</v>
      </c>
      <c r="C32" s="23">
        <f t="shared" ref="C32:G32" si="3">C31/1000</f>
        <v>5.1524999999999997E-4</v>
      </c>
      <c r="D32" s="22">
        <f t="shared" si="3"/>
        <v>5.1524999999999997E-4</v>
      </c>
      <c r="E32" s="23">
        <f t="shared" si="3"/>
        <v>5.1524999999999997E-4</v>
      </c>
      <c r="F32" s="22">
        <f t="shared" si="3"/>
        <v>5.1524999999999997E-4</v>
      </c>
      <c r="G32" s="23">
        <f t="shared" si="3"/>
        <v>5.1524999999999997E-4</v>
      </c>
    </row>
  </sheetData>
  <mergeCells count="3">
    <mergeCell ref="B14:C14"/>
    <mergeCell ref="D14:E14"/>
    <mergeCell ref="F14:G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3B2C-3784-420C-87B7-D3A1008BDD76}">
  <dimension ref="A1:G32"/>
  <sheetViews>
    <sheetView topLeftCell="A4" zoomScale="62" zoomScaleNormal="70" workbookViewId="0">
      <selection activeCell="F26" sqref="F26:G26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s="51" t="s">
        <v>60</v>
      </c>
    </row>
    <row r="2" spans="1:7" x14ac:dyDescent="0.2">
      <c r="A2" s="2" t="s">
        <v>2</v>
      </c>
      <c r="B2" s="1" t="s">
        <v>52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2</v>
      </c>
      <c r="B16" s="8">
        <v>1002</v>
      </c>
      <c r="C16" s="28">
        <v>2.91</v>
      </c>
      <c r="D16" s="8">
        <v>1345</v>
      </c>
      <c r="E16" s="28">
        <v>4.24</v>
      </c>
      <c r="F16" s="8">
        <v>1513</v>
      </c>
      <c r="G16" s="28">
        <v>5.17</v>
      </c>
    </row>
    <row r="17" spans="1:7" x14ac:dyDescent="0.2">
      <c r="A17" s="7">
        <v>4</v>
      </c>
      <c r="B17" s="8">
        <v>1393</v>
      </c>
      <c r="C17" s="9">
        <v>3.83</v>
      </c>
      <c r="D17" s="7">
        <v>1921</v>
      </c>
      <c r="E17" s="9">
        <v>5.87</v>
      </c>
      <c r="F17" s="8">
        <v>2168</v>
      </c>
      <c r="G17" s="9">
        <v>7.05</v>
      </c>
    </row>
    <row r="18" spans="1:7" x14ac:dyDescent="0.2">
      <c r="A18" s="7">
        <v>6</v>
      </c>
      <c r="B18" s="8">
        <v>1784</v>
      </c>
      <c r="C18" s="9">
        <v>4.74</v>
      </c>
      <c r="D18" s="7">
        <v>2498</v>
      </c>
      <c r="E18" s="9">
        <v>7.5</v>
      </c>
      <c r="F18" s="8">
        <v>2823</v>
      </c>
      <c r="G18" s="9">
        <v>8.94</v>
      </c>
    </row>
    <row r="19" spans="1:7" x14ac:dyDescent="0.2">
      <c r="A19" s="7">
        <v>8</v>
      </c>
      <c r="B19" s="8">
        <v>2175</v>
      </c>
      <c r="C19" s="9">
        <v>5.66</v>
      </c>
      <c r="D19" s="7">
        <v>3075</v>
      </c>
      <c r="E19" s="9">
        <v>9.1300000000000008</v>
      </c>
      <c r="F19" s="8">
        <v>3479</v>
      </c>
      <c r="G19" s="9">
        <v>10.82</v>
      </c>
    </row>
    <row r="20" spans="1:7" x14ac:dyDescent="0.2">
      <c r="A20" s="7">
        <v>10</v>
      </c>
      <c r="B20" s="8">
        <v>2566</v>
      </c>
      <c r="C20" s="9">
        <v>6.58</v>
      </c>
      <c r="D20" s="7">
        <v>3652</v>
      </c>
      <c r="E20" s="9">
        <v>10.76</v>
      </c>
      <c r="F20" s="8">
        <v>4134</v>
      </c>
      <c r="G20" s="9">
        <v>12.71</v>
      </c>
    </row>
    <row r="21" spans="1:7" x14ac:dyDescent="0.2">
      <c r="A21" s="7">
        <v>24</v>
      </c>
      <c r="B21" s="8">
        <v>5303</v>
      </c>
      <c r="C21" s="9">
        <v>12.99</v>
      </c>
      <c r="D21" s="7">
        <v>7690</v>
      </c>
      <c r="E21" s="9">
        <v>22.18</v>
      </c>
      <c r="F21" s="8">
        <v>8723</v>
      </c>
      <c r="G21" s="9">
        <v>25.89</v>
      </c>
    </row>
    <row r="22" spans="1:7" x14ac:dyDescent="0.2">
      <c r="A22" s="7">
        <v>100</v>
      </c>
      <c r="B22" s="8">
        <v>20162</v>
      </c>
      <c r="C22" s="9">
        <v>47.83</v>
      </c>
      <c r="D22" s="7">
        <v>29611</v>
      </c>
      <c r="E22" s="9">
        <v>84.16</v>
      </c>
      <c r="F22" s="8">
        <v>33630</v>
      </c>
      <c r="G22" s="9">
        <v>97.48</v>
      </c>
    </row>
    <row r="23" spans="1:7" x14ac:dyDescent="0.2">
      <c r="A23" s="10"/>
      <c r="B23" s="12" t="s">
        <v>11</v>
      </c>
      <c r="C23" s="11" t="s">
        <v>12</v>
      </c>
      <c r="D23" s="12" t="s">
        <v>11</v>
      </c>
      <c r="E23" s="11" t="s">
        <v>12</v>
      </c>
      <c r="F23" s="12" t="s">
        <v>11</v>
      </c>
      <c r="G23" s="11" t="s">
        <v>12</v>
      </c>
    </row>
    <row r="24" spans="1:7" ht="48" x14ac:dyDescent="0.2">
      <c r="A24" s="5" t="s">
        <v>41</v>
      </c>
      <c r="B24" s="13" cm="1">
        <f t="array" ref="B24:C24">LINEST(B17:B22,$A$17:$A$22)</f>
        <v>195.51075681905493</v>
      </c>
      <c r="C24" s="14">
        <v>610.89416058394181</v>
      </c>
      <c r="D24" s="13" cm="1">
        <f t="array" ref="D24:E24">LINEST(D17:D22,$A$17:$A$22)</f>
        <v>288.43565117172488</v>
      </c>
      <c r="E24" s="14">
        <v>767.46350364963655</v>
      </c>
      <c r="F24" s="13" cm="1">
        <f t="array" ref="F24:G24">LINEST(F17:F22,$A$17:$A$22)</f>
        <v>327.73098348059926</v>
      </c>
      <c r="G24" s="14">
        <v>856.98175182481828</v>
      </c>
    </row>
    <row r="25" spans="1:7" ht="48" x14ac:dyDescent="0.2">
      <c r="A25" s="5" t="s">
        <v>42</v>
      </c>
      <c r="B25" s="13" cm="1">
        <f t="array" ref="B25:C25">LINEST(C17:C22,$A$17:$A$22)</f>
        <v>0.45836150595466779</v>
      </c>
      <c r="C25" s="14">
        <v>1.9931751824817479</v>
      </c>
      <c r="D25" s="13" cm="1">
        <f t="array" ref="D25:E25">LINEST(E17:E22,$A$17:$A$22)</f>
        <v>0.81553592009220133</v>
      </c>
      <c r="E25" s="14">
        <v>2.6064233576642337</v>
      </c>
      <c r="F25" s="13" cm="1">
        <f t="array" ref="F25:G25">LINEST(G17:G22,$A$17:$A$22)</f>
        <v>0.94193910872070707</v>
      </c>
      <c r="G25" s="14">
        <v>3.285875912408752</v>
      </c>
    </row>
    <row r="26" spans="1:7" ht="16" x14ac:dyDescent="0.2">
      <c r="A26" s="5" t="s">
        <v>13</v>
      </c>
      <c r="B26" s="76">
        <v>0.65</v>
      </c>
      <c r="C26" s="77"/>
      <c r="D26" s="76">
        <v>0.65</v>
      </c>
      <c r="E26" s="77"/>
      <c r="F26" s="76">
        <v>0.65</v>
      </c>
      <c r="G26" s="77"/>
    </row>
    <row r="27" spans="1:7" ht="32" x14ac:dyDescent="0.2">
      <c r="A27" s="5" t="s">
        <v>14</v>
      </c>
      <c r="B27" s="7">
        <v>12</v>
      </c>
      <c r="C27" s="9">
        <v>12</v>
      </c>
      <c r="D27" s="7">
        <v>12</v>
      </c>
      <c r="E27" s="9">
        <v>12</v>
      </c>
      <c r="F27" s="7">
        <v>12</v>
      </c>
      <c r="G27" s="9">
        <v>12</v>
      </c>
    </row>
    <row r="28" spans="1:7" ht="58" customHeight="1" x14ac:dyDescent="0.2">
      <c r="A28" s="5" t="s">
        <v>15</v>
      </c>
      <c r="B28" s="17" cm="1">
        <f t="array" ref="B28">((Discount_Rate*((1+Discount_Rate))^B27))/(((1+Discount_Rate)^B27)-1)</f>
        <v>0.12995798286573129</v>
      </c>
      <c r="C28" s="18">
        <f t="shared" ref="C28:G28" si="0">((Discount_Rate*((1+Discount_Rate))^C27))/(((1+Discount_Rate)^C27)-1)</f>
        <v>0.12995798286573129</v>
      </c>
      <c r="D28" s="17">
        <f t="shared" si="0"/>
        <v>0.12995798286573129</v>
      </c>
      <c r="E28" s="18">
        <f t="shared" si="0"/>
        <v>0.12995798286573129</v>
      </c>
      <c r="F28" s="17">
        <f t="shared" si="0"/>
        <v>0.12995798286573129</v>
      </c>
      <c r="G28" s="18">
        <f t="shared" si="0"/>
        <v>0.12995798286573129</v>
      </c>
    </row>
    <row r="29" spans="1:7" ht="48" x14ac:dyDescent="0.2">
      <c r="A29" s="5" t="s">
        <v>43</v>
      </c>
      <c r="B29" s="31">
        <f t="shared" ref="B29:G29" si="1">B24*B28+B25</f>
        <v>25.866545090711565</v>
      </c>
      <c r="C29" s="34">
        <f t="shared" si="1"/>
        <v>81.383748036424961</v>
      </c>
      <c r="D29" s="31">
        <f t="shared" si="1"/>
        <v>38.300051332933272</v>
      </c>
      <c r="E29" s="34">
        <f t="shared" si="1"/>
        <v>102.34443221503781</v>
      </c>
      <c r="F29" s="31">
        <f t="shared" si="1"/>
        <v>43.533196644461697</v>
      </c>
      <c r="G29" s="34">
        <f t="shared" si="1"/>
        <v>114.65749573230288</v>
      </c>
    </row>
    <row r="30" spans="1:7" ht="48" x14ac:dyDescent="0.2">
      <c r="A30" s="5" t="s">
        <v>44</v>
      </c>
      <c r="B30" s="35">
        <f t="shared" ref="B30:G30" si="2">B29/Hours_per_year</f>
        <v>2.9528019509944708E-3</v>
      </c>
      <c r="C30" s="36">
        <f t="shared" si="2"/>
        <v>9.2903821959389229E-3</v>
      </c>
      <c r="D30" s="35">
        <f t="shared" si="2"/>
        <v>4.3721519786453509E-3</v>
      </c>
      <c r="E30" s="36">
        <f t="shared" si="2"/>
        <v>1.1683154362447238E-2</v>
      </c>
      <c r="F30" s="35">
        <f t="shared" si="2"/>
        <v>4.9695429959431157E-3</v>
      </c>
      <c r="G30" s="36">
        <f t="shared" si="2"/>
        <v>1.308875522058252E-2</v>
      </c>
    </row>
    <row r="31" spans="1:7" ht="32" x14ac:dyDescent="0.2">
      <c r="A31" s="5" t="s">
        <v>16</v>
      </c>
      <c r="B31" s="7">
        <v>0.51524999999999999</v>
      </c>
      <c r="C31" s="9">
        <v>0.51524999999999999</v>
      </c>
      <c r="D31" s="7">
        <v>0.51524999999999999</v>
      </c>
      <c r="E31" s="9">
        <v>0.51524999999999999</v>
      </c>
      <c r="F31" s="7">
        <v>0.51524999999999999</v>
      </c>
      <c r="G31" s="9">
        <v>0.51524999999999999</v>
      </c>
    </row>
    <row r="32" spans="1:7" ht="32" x14ac:dyDescent="0.2">
      <c r="A32" s="21" t="s">
        <v>17</v>
      </c>
      <c r="B32" s="22">
        <f>B31/1000</f>
        <v>5.1524999999999997E-4</v>
      </c>
      <c r="C32" s="23">
        <f t="shared" ref="C32:G32" si="3">C31/1000</f>
        <v>5.1524999999999997E-4</v>
      </c>
      <c r="D32" s="22">
        <f t="shared" si="3"/>
        <v>5.1524999999999997E-4</v>
      </c>
      <c r="E32" s="23">
        <f t="shared" si="3"/>
        <v>5.1524999999999997E-4</v>
      </c>
      <c r="F32" s="22">
        <f t="shared" si="3"/>
        <v>5.1524999999999997E-4</v>
      </c>
      <c r="G32" s="23">
        <f t="shared" si="3"/>
        <v>5.1524999999999997E-4</v>
      </c>
    </row>
  </sheetData>
  <mergeCells count="6">
    <mergeCell ref="B14:C14"/>
    <mergeCell ref="D14:E14"/>
    <mergeCell ref="F14:G14"/>
    <mergeCell ref="B26:C26"/>
    <mergeCell ref="D26:E26"/>
    <mergeCell ref="F26:G26"/>
  </mergeCells>
  <hyperlinks>
    <hyperlink ref="B1" r:id="rId1" xr:uid="{9A8092D3-3598-4C6F-9F05-34A37A0A944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E36-15A4-4818-AC86-57E34C42452C}">
  <dimension ref="A1:G29"/>
  <sheetViews>
    <sheetView topLeftCell="A15" zoomScale="66" zoomScaleNormal="55" workbookViewId="0">
      <selection activeCell="F23" sqref="F23:G23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s="51" t="s">
        <v>59</v>
      </c>
    </row>
    <row r="2" spans="1:7" x14ac:dyDescent="0.2">
      <c r="A2" s="2" t="s">
        <v>2</v>
      </c>
      <c r="B2" s="1" t="s">
        <v>53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4</v>
      </c>
      <c r="B16" s="8">
        <v>965</v>
      </c>
      <c r="C16" s="9">
        <v>8.84</v>
      </c>
      <c r="D16" s="7">
        <v>1087</v>
      </c>
      <c r="E16" s="9">
        <v>9.82</v>
      </c>
      <c r="F16" s="8">
        <v>1233</v>
      </c>
      <c r="G16" s="9">
        <v>10.8</v>
      </c>
    </row>
    <row r="17" spans="1:7" x14ac:dyDescent="0.2">
      <c r="A17" s="7">
        <v>10</v>
      </c>
      <c r="B17" s="8">
        <v>980</v>
      </c>
      <c r="C17" s="9">
        <v>8.84</v>
      </c>
      <c r="D17" s="7">
        <v>1124</v>
      </c>
      <c r="E17" s="9">
        <v>9.82</v>
      </c>
      <c r="F17" s="8">
        <v>1331</v>
      </c>
      <c r="G17" s="9">
        <v>10.8</v>
      </c>
    </row>
    <row r="18" spans="1:7" x14ac:dyDescent="0.2">
      <c r="A18" s="7">
        <v>24</v>
      </c>
      <c r="B18" s="8">
        <v>1012</v>
      </c>
      <c r="C18" s="9">
        <v>8.84</v>
      </c>
      <c r="D18" s="7">
        <v>1208</v>
      </c>
      <c r="E18" s="9">
        <v>9.83</v>
      </c>
      <c r="F18" s="8">
        <v>1561</v>
      </c>
      <c r="G18" s="9">
        <v>10.82</v>
      </c>
    </row>
    <row r="19" spans="1:7" x14ac:dyDescent="0.2">
      <c r="A19" s="7">
        <v>100</v>
      </c>
      <c r="B19" s="8">
        <v>1181</v>
      </c>
      <c r="C19" s="9">
        <v>8.93</v>
      </c>
      <c r="D19" s="7">
        <v>1639</v>
      </c>
      <c r="E19" s="9">
        <v>10.039999999999999</v>
      </c>
      <c r="F19" s="8">
        <v>2800</v>
      </c>
      <c r="G19" s="9">
        <v>11.43</v>
      </c>
    </row>
    <row r="20" spans="1:7" x14ac:dyDescent="0.2">
      <c r="A20" s="10"/>
      <c r="B20" s="12" t="s">
        <v>11</v>
      </c>
      <c r="C20" s="11" t="s">
        <v>12</v>
      </c>
      <c r="D20" s="12" t="s">
        <v>11</v>
      </c>
      <c r="E20" s="11" t="s">
        <v>12</v>
      </c>
      <c r="F20" s="12" t="s">
        <v>11</v>
      </c>
      <c r="G20" s="11" t="s">
        <v>12</v>
      </c>
    </row>
    <row r="21" spans="1:7" ht="48" x14ac:dyDescent="0.2">
      <c r="A21" s="5" t="s">
        <v>41</v>
      </c>
      <c r="B21" s="13" cm="1">
        <f t="array" ref="B21:C21">LINEST(B16:B19,$A$16:$A$19)</f>
        <v>2.2402630247850275</v>
      </c>
      <c r="C21" s="14">
        <v>957.21092564491653</v>
      </c>
      <c r="D21" s="13" cm="1">
        <f t="array" ref="D21:E21">LINEST(D16:D19,$A$16:$A$19)</f>
        <v>5.7290507502950589</v>
      </c>
      <c r="E21" s="14">
        <v>1066.8477491148205</v>
      </c>
      <c r="F21" s="13" cm="1">
        <f t="array" ref="F21:G21">LINEST(F16:F19,$A$16:$A$19)</f>
        <v>16.319929185634795</v>
      </c>
      <c r="G21" s="14">
        <v>1168.2124430955996</v>
      </c>
    </row>
    <row r="22" spans="1:7" ht="48" x14ac:dyDescent="0.2">
      <c r="A22" s="5" t="s">
        <v>42</v>
      </c>
      <c r="B22" s="13" cm="1">
        <f t="array" ref="B22:C22">LINEST(C16:C19,$A$16:$A$19)</f>
        <v>9.9393019726858717E-4</v>
      </c>
      <c r="C22" s="14">
        <v>8.8282094081942351</v>
      </c>
      <c r="D22" s="13" cm="1">
        <f t="array" ref="D22:E22">LINEST(E16:E19,$A$16:$A$19)</f>
        <v>2.4119035575788108E-3</v>
      </c>
      <c r="E22" s="14">
        <v>9.794289327263531</v>
      </c>
      <c r="F22" s="13" cm="1">
        <f t="array" ref="F22:G22">LINEST(G16:G19,$A$16:$A$19)</f>
        <v>6.9221041982802127E-3</v>
      </c>
      <c r="G22" s="14">
        <v>10.723687405159334</v>
      </c>
    </row>
    <row r="23" spans="1:7" ht="16" x14ac:dyDescent="0.2">
      <c r="A23" s="5" t="s">
        <v>13</v>
      </c>
      <c r="B23" s="76">
        <v>0.52</v>
      </c>
      <c r="C23" s="77"/>
      <c r="D23" s="76">
        <v>0.52</v>
      </c>
      <c r="E23" s="77"/>
      <c r="F23" s="76">
        <v>0.52</v>
      </c>
      <c r="G23" s="77"/>
    </row>
    <row r="24" spans="1:7" ht="32" x14ac:dyDescent="0.2">
      <c r="A24" s="5" t="s">
        <v>14</v>
      </c>
      <c r="B24" s="7">
        <v>60</v>
      </c>
      <c r="C24" s="9">
        <v>60</v>
      </c>
      <c r="D24" s="7">
        <v>60</v>
      </c>
      <c r="E24" s="9">
        <v>60</v>
      </c>
      <c r="F24" s="7">
        <v>60</v>
      </c>
      <c r="G24" s="9">
        <v>60</v>
      </c>
    </row>
    <row r="25" spans="1:7" ht="58" customHeight="1" x14ac:dyDescent="0.2">
      <c r="A25" s="5" t="s">
        <v>15</v>
      </c>
      <c r="B25" s="17" cm="1">
        <f t="array" ref="B25">((Discount_Rate*((1+Discount_Rate))^B24))/(((1+Discount_Rate)^B24)-1)</f>
        <v>7.6949443672474679E-2</v>
      </c>
      <c r="C25" s="18">
        <f t="shared" ref="C25:G25" si="0">((Discount_Rate*((1+Discount_Rate))^C24))/(((1+Discount_Rate)^C24)-1)</f>
        <v>7.6949443672474679E-2</v>
      </c>
      <c r="D25" s="17">
        <f t="shared" si="0"/>
        <v>7.6949443672474679E-2</v>
      </c>
      <c r="E25" s="18">
        <f t="shared" si="0"/>
        <v>7.6949443672474679E-2</v>
      </c>
      <c r="F25" s="17">
        <f t="shared" si="0"/>
        <v>7.6949443672474679E-2</v>
      </c>
      <c r="G25" s="18">
        <f t="shared" si="0"/>
        <v>7.6949443672474679E-2</v>
      </c>
    </row>
    <row r="26" spans="1:7" ht="48" x14ac:dyDescent="0.2">
      <c r="A26" s="5" t="s">
        <v>43</v>
      </c>
      <c r="B26" s="32">
        <f t="shared" ref="B26:G26" si="1">B21*B25+B22</f>
        <v>0.17338092363449181</v>
      </c>
      <c r="C26" s="33">
        <f t="shared" si="1"/>
        <v>82.485057613785088</v>
      </c>
      <c r="D26" s="32">
        <f t="shared" si="1"/>
        <v>0.44325917156415723</v>
      </c>
      <c r="E26" s="33">
        <f t="shared" si="1"/>
        <v>91.887630104880813</v>
      </c>
      <c r="F26" s="32">
        <f t="shared" si="1"/>
        <v>1.2627315758070605</v>
      </c>
      <c r="G26" s="33">
        <f t="shared" si="1"/>
        <v>100.61698499262822</v>
      </c>
    </row>
    <row r="27" spans="1:7" ht="48" x14ac:dyDescent="0.2">
      <c r="A27" s="5" t="s">
        <v>44</v>
      </c>
      <c r="B27" s="29">
        <f t="shared" ref="B27:G27" si="2">B26/Hours_per_year</f>
        <v>1.9792342880649749E-5</v>
      </c>
      <c r="C27" s="30">
        <f t="shared" si="2"/>
        <v>9.416102467327065E-3</v>
      </c>
      <c r="D27" s="29">
        <f t="shared" si="2"/>
        <v>5.0600362050702878E-5</v>
      </c>
      <c r="E27" s="30">
        <f t="shared" si="2"/>
        <v>1.048945549142475E-2</v>
      </c>
      <c r="F27" s="29">
        <f t="shared" si="2"/>
        <v>1.4414744016062335E-4</v>
      </c>
      <c r="G27" s="30">
        <f t="shared" si="2"/>
        <v>1.1485957190939294E-2</v>
      </c>
    </row>
    <row r="28" spans="1:7" ht="32" x14ac:dyDescent="0.2">
      <c r="A28" s="5" t="s">
        <v>16</v>
      </c>
      <c r="B28" s="7">
        <v>0.51524999999999999</v>
      </c>
      <c r="C28" s="9">
        <v>0.51524999999999999</v>
      </c>
      <c r="D28" s="7">
        <v>0.51524999999999999</v>
      </c>
      <c r="E28" s="9">
        <v>0.51524999999999999</v>
      </c>
      <c r="F28" s="7">
        <v>0.51524999999999999</v>
      </c>
      <c r="G28" s="9">
        <v>0.51524999999999999</v>
      </c>
    </row>
    <row r="29" spans="1:7" ht="32" x14ac:dyDescent="0.2">
      <c r="A29" s="21" t="s">
        <v>17</v>
      </c>
      <c r="B29" s="22">
        <f>B28/1000</f>
        <v>5.1524999999999997E-4</v>
      </c>
      <c r="C29" s="23">
        <f t="shared" ref="C29:G29" si="3">C28/1000</f>
        <v>5.1524999999999997E-4</v>
      </c>
      <c r="D29" s="22">
        <f t="shared" si="3"/>
        <v>5.1524999999999997E-4</v>
      </c>
      <c r="E29" s="23">
        <f t="shared" si="3"/>
        <v>5.1524999999999997E-4</v>
      </c>
      <c r="F29" s="22">
        <f t="shared" si="3"/>
        <v>5.1524999999999997E-4</v>
      </c>
      <c r="G29" s="23">
        <f t="shared" si="3"/>
        <v>5.1524999999999997E-4</v>
      </c>
    </row>
  </sheetData>
  <mergeCells count="6">
    <mergeCell ref="B14:C14"/>
    <mergeCell ref="D14:E14"/>
    <mergeCell ref="F14:G14"/>
    <mergeCell ref="B23:C23"/>
    <mergeCell ref="D23:E23"/>
    <mergeCell ref="F23:G23"/>
  </mergeCells>
  <hyperlinks>
    <hyperlink ref="B1" r:id="rId1" xr:uid="{439BDB7E-A929-404F-A1A6-4EC1FC7F885D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D5F-FDC7-4974-8EEB-8339C07BD485}">
  <dimension ref="A1:G29"/>
  <sheetViews>
    <sheetView tabSelected="1" zoomScale="69" zoomScaleNormal="85" workbookViewId="0">
      <selection activeCell="F23" sqref="F23:G23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s="51" t="s">
        <v>58</v>
      </c>
    </row>
    <row r="2" spans="1:7" x14ac:dyDescent="0.2">
      <c r="A2" s="2" t="s">
        <v>2</v>
      </c>
      <c r="B2" s="1" t="s">
        <v>54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4</v>
      </c>
      <c r="B16" s="8">
        <v>1156</v>
      </c>
      <c r="C16" s="9">
        <v>14.02</v>
      </c>
      <c r="D16" s="7">
        <v>1716</v>
      </c>
      <c r="E16" s="9">
        <v>15.58</v>
      </c>
      <c r="F16" s="8">
        <v>1889</v>
      </c>
      <c r="G16" s="9">
        <v>17.14</v>
      </c>
    </row>
    <row r="17" spans="1:7" x14ac:dyDescent="0.2">
      <c r="A17" s="7">
        <v>10</v>
      </c>
      <c r="B17" s="8">
        <v>1591</v>
      </c>
      <c r="C17" s="9">
        <v>14.03</v>
      </c>
      <c r="D17" s="7">
        <v>2207</v>
      </c>
      <c r="E17" s="9">
        <v>15.59</v>
      </c>
      <c r="F17" s="8">
        <v>2423</v>
      </c>
      <c r="G17" s="9">
        <v>17.149999999999999</v>
      </c>
    </row>
    <row r="18" spans="1:7" x14ac:dyDescent="0.2">
      <c r="A18" s="7">
        <v>24</v>
      </c>
      <c r="B18" s="8">
        <v>2208</v>
      </c>
      <c r="C18" s="9">
        <v>14.11</v>
      </c>
      <c r="D18" s="7">
        <v>2884</v>
      </c>
      <c r="E18" s="9">
        <v>15.67</v>
      </c>
      <c r="F18" s="8">
        <v>3173</v>
      </c>
      <c r="G18" s="9">
        <v>17.239999999999998</v>
      </c>
    </row>
    <row r="19" spans="1:7" x14ac:dyDescent="0.2">
      <c r="A19" s="7">
        <v>100</v>
      </c>
      <c r="B19" s="8">
        <v>5821</v>
      </c>
      <c r="C19" s="9">
        <v>15.89</v>
      </c>
      <c r="D19" s="7">
        <v>6867</v>
      </c>
      <c r="E19" s="9">
        <v>17.64</v>
      </c>
      <c r="F19" s="8">
        <v>7523</v>
      </c>
      <c r="G19" s="9">
        <v>19.39</v>
      </c>
    </row>
    <row r="20" spans="1:7" x14ac:dyDescent="0.2">
      <c r="A20" s="10"/>
      <c r="B20" s="12" t="s">
        <v>11</v>
      </c>
      <c r="C20" s="11" t="s">
        <v>12</v>
      </c>
      <c r="D20" s="12" t="s">
        <v>11</v>
      </c>
      <c r="E20" s="11" t="s">
        <v>12</v>
      </c>
      <c r="F20" s="12" t="s">
        <v>11</v>
      </c>
      <c r="G20" s="11" t="s">
        <v>12</v>
      </c>
    </row>
    <row r="21" spans="1:7" ht="48" x14ac:dyDescent="0.2">
      <c r="A21" s="5" t="s">
        <v>41</v>
      </c>
      <c r="B21" s="13" cm="1">
        <f t="array" ref="B21:C21">LINEST(B16:B19,$A$16:$A$19)</f>
        <v>47.859382903388962</v>
      </c>
      <c r="C21" s="14">
        <v>1042.8512898330807</v>
      </c>
      <c r="D21" s="13" cm="1">
        <f t="array" ref="D21:E21">LINEST(D16:D19,$A$16:$A$19)</f>
        <v>52.789917383240606</v>
      </c>
      <c r="E21" s="14">
        <v>1597.2478502781992</v>
      </c>
      <c r="F21" s="13" cm="1">
        <f t="array" ref="F21:G21">LINEST(F16:F19,$A$16:$A$19)</f>
        <v>57.74102175012645</v>
      </c>
      <c r="G21" s="14">
        <v>1759.9347496206374</v>
      </c>
    </row>
    <row r="22" spans="1:7" ht="48" x14ac:dyDescent="0.2">
      <c r="A22" s="5" t="s">
        <v>42</v>
      </c>
      <c r="B22" s="13" cm="1">
        <f t="array" ref="B22:C22">LINEST(C16:C19,$A$16:$A$19)</f>
        <v>2.0451020064070149E-2</v>
      </c>
      <c r="C22" s="14">
        <v>13.806939807789579</v>
      </c>
      <c r="D22" s="13" cm="1">
        <f t="array" ref="D22:E22">LINEST(E16:E19,$A$16:$A$19)</f>
        <v>2.2549317147192719E-2</v>
      </c>
      <c r="E22" s="14">
        <v>15.342048558421853</v>
      </c>
      <c r="F22" s="13" cm="1">
        <f t="array" ref="F22:G22">LINEST(G16:G19,$A$16:$A$19)</f>
        <v>2.4629910639015352E-2</v>
      </c>
      <c r="G22" s="14">
        <v>16.880268082953972</v>
      </c>
    </row>
    <row r="23" spans="1:7" ht="16" x14ac:dyDescent="0.2">
      <c r="A23" s="5" t="s">
        <v>13</v>
      </c>
      <c r="B23" s="76">
        <v>0.8</v>
      </c>
      <c r="C23" s="77"/>
      <c r="D23" s="76">
        <v>0.8</v>
      </c>
      <c r="E23" s="77"/>
      <c r="F23" s="76">
        <v>0.8</v>
      </c>
      <c r="G23" s="77"/>
    </row>
    <row r="24" spans="1:7" ht="32" x14ac:dyDescent="0.2">
      <c r="A24" s="5" t="s">
        <v>14</v>
      </c>
      <c r="B24" s="7">
        <v>60</v>
      </c>
      <c r="C24" s="9">
        <v>60</v>
      </c>
      <c r="D24" s="7">
        <v>60</v>
      </c>
      <c r="E24" s="9">
        <v>60</v>
      </c>
      <c r="F24" s="7">
        <v>60</v>
      </c>
      <c r="G24" s="9">
        <v>60</v>
      </c>
    </row>
    <row r="25" spans="1:7" ht="58" customHeight="1" x14ac:dyDescent="0.2">
      <c r="A25" s="5" t="s">
        <v>15</v>
      </c>
      <c r="B25" s="17" cm="1">
        <f t="array" ref="B25">((Discount_Rate*((1+Discount_Rate))^B24))/(((1+Discount_Rate)^B24)-1)</f>
        <v>7.6949443672474679E-2</v>
      </c>
      <c r="C25" s="18">
        <f t="shared" ref="C25:G25" si="0">((Discount_Rate*((1+Discount_Rate))^C24))/(((1+Discount_Rate)^C24)-1)</f>
        <v>7.6949443672474679E-2</v>
      </c>
      <c r="D25" s="17">
        <f t="shared" si="0"/>
        <v>7.6949443672474679E-2</v>
      </c>
      <c r="E25" s="18">
        <f t="shared" si="0"/>
        <v>7.6949443672474679E-2</v>
      </c>
      <c r="F25" s="17">
        <f t="shared" si="0"/>
        <v>7.6949443672474679E-2</v>
      </c>
      <c r="G25" s="18">
        <f t="shared" si="0"/>
        <v>7.6949443672474679E-2</v>
      </c>
    </row>
    <row r="26" spans="1:7" ht="48" x14ac:dyDescent="0.2">
      <c r="A26" s="5" t="s">
        <v>43</v>
      </c>
      <c r="B26" s="32">
        <f t="shared" ref="B26:G26" si="1">B21*B25+B22</f>
        <v>3.7032039089877964</v>
      </c>
      <c r="C26" s="33">
        <f t="shared" si="1"/>
        <v>94.053766393567784</v>
      </c>
      <c r="D26" s="32">
        <f t="shared" si="1"/>
        <v>4.0847040913034576</v>
      </c>
      <c r="E26" s="33">
        <f t="shared" si="1"/>
        <v>138.24938204438541</v>
      </c>
      <c r="F26" s="32">
        <f t="shared" si="1"/>
        <v>4.4677694113915063</v>
      </c>
      <c r="G26" s="33">
        <f t="shared" si="1"/>
        <v>152.30626796611801</v>
      </c>
    </row>
    <row r="27" spans="1:7" ht="48" x14ac:dyDescent="0.2">
      <c r="A27" s="5" t="s">
        <v>44</v>
      </c>
      <c r="B27" s="29">
        <f t="shared" ref="B27:G27" si="2">B26/Hours_per_year</f>
        <v>4.2274017225888089E-4</v>
      </c>
      <c r="C27" s="30">
        <f t="shared" si="2"/>
        <v>1.0736731323466642E-2</v>
      </c>
      <c r="D27" s="29">
        <f t="shared" si="2"/>
        <v>4.6629042138167322E-4</v>
      </c>
      <c r="E27" s="30">
        <f t="shared" si="2"/>
        <v>1.5781892927441258E-2</v>
      </c>
      <c r="F27" s="29">
        <f t="shared" si="2"/>
        <v>5.1001933919994364E-4</v>
      </c>
      <c r="G27" s="30">
        <f t="shared" si="2"/>
        <v>1.7386560270104795E-2</v>
      </c>
    </row>
    <row r="28" spans="1:7" ht="32" x14ac:dyDescent="0.2">
      <c r="A28" s="5" t="s">
        <v>16</v>
      </c>
      <c r="B28" s="7">
        <v>0.51524999999999999</v>
      </c>
      <c r="C28" s="9">
        <v>0.51524999999999999</v>
      </c>
      <c r="D28" s="7">
        <v>0.51524999999999999</v>
      </c>
      <c r="E28" s="9">
        <v>0.51524999999999999</v>
      </c>
      <c r="F28" s="7">
        <v>0.51524999999999999</v>
      </c>
      <c r="G28" s="9">
        <v>0.51524999999999999</v>
      </c>
    </row>
    <row r="29" spans="1:7" ht="32" x14ac:dyDescent="0.2">
      <c r="A29" s="21" t="s">
        <v>17</v>
      </c>
      <c r="B29" s="22">
        <f>B28/1000</f>
        <v>5.1524999999999997E-4</v>
      </c>
      <c r="C29" s="23">
        <f t="shared" ref="C29:G29" si="3">C28/1000</f>
        <v>5.1524999999999997E-4</v>
      </c>
      <c r="D29" s="22">
        <f t="shared" si="3"/>
        <v>5.1524999999999997E-4</v>
      </c>
      <c r="E29" s="23">
        <f t="shared" si="3"/>
        <v>5.1524999999999997E-4</v>
      </c>
      <c r="F29" s="22">
        <f t="shared" si="3"/>
        <v>5.1524999999999997E-4</v>
      </c>
      <c r="G29" s="23">
        <f t="shared" si="3"/>
        <v>5.1524999999999997E-4</v>
      </c>
    </row>
  </sheetData>
  <mergeCells count="6">
    <mergeCell ref="B14:C14"/>
    <mergeCell ref="D14:E14"/>
    <mergeCell ref="F14:G14"/>
    <mergeCell ref="B23:C23"/>
    <mergeCell ref="D23:E23"/>
    <mergeCell ref="F23:G23"/>
  </mergeCells>
  <hyperlinks>
    <hyperlink ref="B1" r:id="rId1" xr:uid="{AA650DAD-CA8D-4601-8601-BA7DB25C5DA7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925C-7743-49FA-9FB7-CB6FF2427801}">
  <dimension ref="A1:G32"/>
  <sheetViews>
    <sheetView zoomScale="98" zoomScaleNormal="70" workbookViewId="0">
      <selection activeCell="F26" sqref="F26:G26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s="51" t="s">
        <v>57</v>
      </c>
    </row>
    <row r="2" spans="1:7" x14ac:dyDescent="0.2">
      <c r="A2" s="2" t="s">
        <v>2</v>
      </c>
      <c r="B2" s="1" t="s">
        <v>55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2</v>
      </c>
      <c r="B16" s="8">
        <v>922</v>
      </c>
      <c r="C16" s="28">
        <v>8.15</v>
      </c>
      <c r="D16" s="8">
        <v>1326</v>
      </c>
      <c r="E16" s="28">
        <v>13.12</v>
      </c>
      <c r="F16" s="8">
        <v>1863</v>
      </c>
      <c r="G16" s="28">
        <v>15.6</v>
      </c>
    </row>
    <row r="17" spans="1:7" x14ac:dyDescent="0.2">
      <c r="A17" s="7">
        <v>4</v>
      </c>
      <c r="B17" s="8">
        <v>1341</v>
      </c>
      <c r="C17" s="9">
        <v>11.64</v>
      </c>
      <c r="D17" s="7">
        <v>1706</v>
      </c>
      <c r="E17" s="9">
        <v>14.28</v>
      </c>
      <c r="F17" s="8">
        <v>2253</v>
      </c>
      <c r="G17" s="9">
        <v>15.6</v>
      </c>
    </row>
    <row r="18" spans="1:7" x14ac:dyDescent="0.2">
      <c r="A18" s="7">
        <v>6</v>
      </c>
      <c r="B18" s="8">
        <v>1726</v>
      </c>
      <c r="C18" s="9">
        <v>15.13</v>
      </c>
      <c r="D18" s="7">
        <v>2045</v>
      </c>
      <c r="E18" s="9">
        <v>15.44</v>
      </c>
      <c r="F18" s="8">
        <v>2583</v>
      </c>
      <c r="G18" s="9">
        <v>15.6</v>
      </c>
    </row>
    <row r="19" spans="1:7" x14ac:dyDescent="0.2">
      <c r="A19" s="7">
        <v>8</v>
      </c>
      <c r="B19" s="8">
        <v>1972</v>
      </c>
      <c r="C19" s="9">
        <v>15.6</v>
      </c>
      <c r="D19" s="7">
        <v>2362</v>
      </c>
      <c r="E19" s="9">
        <v>16.61</v>
      </c>
      <c r="F19" s="8">
        <v>2879</v>
      </c>
      <c r="G19" s="9">
        <v>18.62</v>
      </c>
    </row>
    <row r="20" spans="1:7" x14ac:dyDescent="0.2">
      <c r="A20" s="7">
        <v>10</v>
      </c>
      <c r="B20" s="8">
        <v>2185</v>
      </c>
      <c r="C20" s="9">
        <v>15.6</v>
      </c>
      <c r="D20" s="7">
        <v>2664</v>
      </c>
      <c r="E20" s="9">
        <v>17.77</v>
      </c>
      <c r="F20" s="8">
        <v>3236</v>
      </c>
      <c r="G20" s="9">
        <v>22.12</v>
      </c>
    </row>
    <row r="21" spans="1:7" x14ac:dyDescent="0.2">
      <c r="A21" s="7">
        <v>24</v>
      </c>
      <c r="B21" s="8">
        <v>3318</v>
      </c>
      <c r="C21" s="9">
        <v>15.6</v>
      </c>
      <c r="D21" s="7">
        <v>4564</v>
      </c>
      <c r="E21" s="9">
        <v>25.92</v>
      </c>
      <c r="F21" s="8">
        <v>6137</v>
      </c>
      <c r="G21" s="9">
        <v>46.56</v>
      </c>
    </row>
    <row r="22" spans="1:7" x14ac:dyDescent="0.2">
      <c r="A22" s="7">
        <v>100</v>
      </c>
      <c r="B22" s="8">
        <v>6776</v>
      </c>
      <c r="C22" s="9">
        <v>15.6</v>
      </c>
      <c r="D22" s="7">
        <v>13145</v>
      </c>
      <c r="E22" s="9">
        <v>70.150000000000006</v>
      </c>
      <c r="F22" s="8">
        <v>22060</v>
      </c>
      <c r="G22" s="9">
        <v>179.26</v>
      </c>
    </row>
    <row r="23" spans="1:7" x14ac:dyDescent="0.2">
      <c r="A23" s="10"/>
      <c r="B23" s="12" t="s">
        <v>11</v>
      </c>
      <c r="C23" s="11" t="s">
        <v>12</v>
      </c>
      <c r="D23" s="12" t="s">
        <v>11</v>
      </c>
      <c r="E23" s="11" t="s">
        <v>12</v>
      </c>
      <c r="F23" s="12" t="s">
        <v>11</v>
      </c>
      <c r="G23" s="11" t="s">
        <v>12</v>
      </c>
    </row>
    <row r="24" spans="1:7" ht="48" x14ac:dyDescent="0.2">
      <c r="A24" s="5" t="s">
        <v>41</v>
      </c>
      <c r="B24" s="13" cm="1">
        <f t="array" ref="B24:C24">LINEST(B17:B22,$A$17:$A$22)</f>
        <v>53.571167883211665</v>
      </c>
      <c r="C24" s="14">
        <v>1529.1970802919714</v>
      </c>
      <c r="D24" s="13" cm="1">
        <f t="array" ref="D24:E24">LINEST(D17:D22,$A$17:$A$22)</f>
        <v>117.79975028812909</v>
      </c>
      <c r="E24" s="14">
        <v>1430.0729927007296</v>
      </c>
      <c r="F24" s="13" cm="1">
        <f t="array" ref="F24:G24">LINEST(F17:F22,$A$17:$A$22)</f>
        <v>207.66048789857854</v>
      </c>
      <c r="G24" s="14">
        <v>1263.9343065693447</v>
      </c>
    </row>
    <row r="25" spans="1:7" ht="48" x14ac:dyDescent="0.2">
      <c r="A25" s="5" t="s">
        <v>42</v>
      </c>
      <c r="B25" s="13" cm="1">
        <f t="array" ref="B25:C25">LINEST(C17:C22,$A$17:$A$22)</f>
        <v>1.3479638878217435E-2</v>
      </c>
      <c r="C25" s="14">
        <v>14.520182481751824</v>
      </c>
      <c r="D25" s="13" cm="1">
        <f t="array" ref="D25:E25">LINEST(E17:E22,$A$17:$A$22)</f>
        <v>0.58198905109489052</v>
      </c>
      <c r="E25" s="14">
        <v>11.951277372262778</v>
      </c>
      <c r="F25" s="13" cm="1">
        <f t="array" ref="F25:G25">LINEST(G17:G22,$A$17:$A$22)</f>
        <v>1.7325701114099117</v>
      </c>
      <c r="G25" s="14">
        <v>5.734890510948901</v>
      </c>
    </row>
    <row r="26" spans="1:7" ht="16" x14ac:dyDescent="0.2">
      <c r="A26" s="5" t="s">
        <v>13</v>
      </c>
      <c r="B26" s="76">
        <v>0.8</v>
      </c>
      <c r="C26" s="77"/>
      <c r="D26" s="76">
        <v>0.84</v>
      </c>
      <c r="E26" s="77"/>
      <c r="F26" s="76">
        <v>0.9</v>
      </c>
      <c r="G26" s="77"/>
    </row>
    <row r="27" spans="1:7" ht="32" x14ac:dyDescent="0.2">
      <c r="A27" s="5" t="s">
        <v>14</v>
      </c>
      <c r="B27" s="7">
        <v>35</v>
      </c>
      <c r="C27" s="9">
        <v>35</v>
      </c>
      <c r="D27" s="7">
        <v>49</v>
      </c>
      <c r="E27" s="9">
        <v>49</v>
      </c>
      <c r="F27" s="7">
        <v>60</v>
      </c>
      <c r="G27" s="9">
        <v>60</v>
      </c>
    </row>
    <row r="28" spans="1:7" ht="58" customHeight="1" x14ac:dyDescent="0.2">
      <c r="A28" s="5" t="s">
        <v>15</v>
      </c>
      <c r="B28" s="17" cm="1">
        <f t="array" ref="B28">((Discount_Rate*((1+Discount_Rate))^B27))/(((1+Discount_Rate)^B27)-1)</f>
        <v>8.2341456982484809E-2</v>
      </c>
      <c r="C28" s="18">
        <f t="shared" ref="C28:G28" si="0">((Discount_Rate*((1+Discount_Rate))^C27))/(((1+Discount_Rate)^C27)-1)</f>
        <v>8.2341456982484809E-2</v>
      </c>
      <c r="D28" s="17">
        <f t="shared" si="0"/>
        <v>7.815861688681057E-2</v>
      </c>
      <c r="E28" s="18">
        <f t="shared" si="0"/>
        <v>7.815861688681057E-2</v>
      </c>
      <c r="F28" s="17">
        <f t="shared" si="0"/>
        <v>7.6949443672474679E-2</v>
      </c>
      <c r="G28" s="18">
        <f t="shared" si="0"/>
        <v>7.6949443672474679E-2</v>
      </c>
    </row>
    <row r="29" spans="1:7" ht="48" x14ac:dyDescent="0.2">
      <c r="A29" s="5" t="s">
        <v>43</v>
      </c>
      <c r="B29" s="31">
        <f t="shared" ref="B29:G29" si="1">B24*B28+B25</f>
        <v>4.424607654635162</v>
      </c>
      <c r="C29" s="34">
        <f t="shared" si="1"/>
        <v>140.43649808635456</v>
      </c>
      <c r="D29" s="31">
        <f t="shared" si="1"/>
        <v>9.7890546032267256</v>
      </c>
      <c r="E29" s="34">
        <f t="shared" si="1"/>
        <v>123.72380452893375</v>
      </c>
      <c r="F29" s="31">
        <f t="shared" si="1"/>
        <v>17.71192912796019</v>
      </c>
      <c r="G29" s="34">
        <f t="shared" si="1"/>
        <v>102.99393224001503</v>
      </c>
    </row>
    <row r="30" spans="1:7" ht="48" x14ac:dyDescent="0.2">
      <c r="A30" s="5" t="s">
        <v>44</v>
      </c>
      <c r="B30" s="35">
        <f t="shared" ref="B30:G30" si="2">B29/Hours_per_year</f>
        <v>5.0509219801771253E-4</v>
      </c>
      <c r="C30" s="36">
        <f t="shared" si="2"/>
        <v>1.6031563708487965E-2</v>
      </c>
      <c r="D30" s="35">
        <f t="shared" si="2"/>
        <v>1.1174719866697176E-3</v>
      </c>
      <c r="E30" s="36">
        <f t="shared" si="2"/>
        <v>1.4123721978188784E-2</v>
      </c>
      <c r="F30" s="35">
        <f t="shared" si="2"/>
        <v>2.0219097178036747E-3</v>
      </c>
      <c r="G30" s="36">
        <f t="shared" si="2"/>
        <v>1.1757298200914958E-2</v>
      </c>
    </row>
    <row r="31" spans="1:7" ht="32" x14ac:dyDescent="0.2">
      <c r="A31" s="5" t="s">
        <v>16</v>
      </c>
      <c r="B31" s="7">
        <v>0.51524999999999999</v>
      </c>
      <c r="C31" s="9">
        <v>0.51524999999999999</v>
      </c>
      <c r="D31" s="7">
        <v>0.51524999999999999</v>
      </c>
      <c r="E31" s="9">
        <v>0.51524999999999999</v>
      </c>
      <c r="F31" s="7">
        <v>0.51524999999999999</v>
      </c>
      <c r="G31" s="9">
        <v>0.51524999999999999</v>
      </c>
    </row>
    <row r="32" spans="1:7" ht="32" x14ac:dyDescent="0.2">
      <c r="A32" s="21" t="s">
        <v>17</v>
      </c>
      <c r="B32" s="22">
        <f>B31/1000</f>
        <v>5.1524999999999997E-4</v>
      </c>
      <c r="C32" s="23">
        <f t="shared" ref="C32:G32" si="3">C31/1000</f>
        <v>5.1524999999999997E-4</v>
      </c>
      <c r="D32" s="22">
        <f t="shared" si="3"/>
        <v>5.1524999999999997E-4</v>
      </c>
      <c r="E32" s="23">
        <f t="shared" si="3"/>
        <v>5.1524999999999997E-4</v>
      </c>
      <c r="F32" s="22">
        <f t="shared" si="3"/>
        <v>5.1524999999999997E-4</v>
      </c>
      <c r="G32" s="23">
        <f t="shared" si="3"/>
        <v>5.1524999999999997E-4</v>
      </c>
    </row>
  </sheetData>
  <mergeCells count="6">
    <mergeCell ref="B14:C14"/>
    <mergeCell ref="D14:E14"/>
    <mergeCell ref="F14:G14"/>
    <mergeCell ref="B26:C26"/>
    <mergeCell ref="D26:E26"/>
    <mergeCell ref="F26:G26"/>
  </mergeCells>
  <hyperlinks>
    <hyperlink ref="B1" r:id="rId1" xr:uid="{32C37EDD-ECDF-42AD-A432-EEE43CD9177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E323-588D-49AF-8D2E-288F3F1745BE}">
  <dimension ref="A1:G31"/>
  <sheetViews>
    <sheetView topLeftCell="A15" zoomScale="87" zoomScaleNormal="55" workbookViewId="0">
      <selection activeCell="F25" sqref="F25:G25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t="s">
        <v>1</v>
      </c>
    </row>
    <row r="2" spans="1:7" x14ac:dyDescent="0.2">
      <c r="A2" s="2" t="s">
        <v>2</v>
      </c>
      <c r="B2" s="1" t="s">
        <v>56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4</v>
      </c>
      <c r="B16" s="8">
        <v>1411</v>
      </c>
      <c r="C16" s="9">
        <v>6.25</v>
      </c>
      <c r="D16" s="7">
        <v>1568</v>
      </c>
      <c r="E16" s="9">
        <v>6.95</v>
      </c>
      <c r="F16" s="8">
        <v>1725</v>
      </c>
      <c r="G16" s="9">
        <v>7.64</v>
      </c>
    </row>
    <row r="17" spans="1:7" x14ac:dyDescent="0.2">
      <c r="A17" s="7">
        <v>6</v>
      </c>
      <c r="B17" s="8">
        <v>1621</v>
      </c>
      <c r="C17" s="9">
        <v>7.57</v>
      </c>
      <c r="D17" s="7">
        <v>2197</v>
      </c>
      <c r="E17" s="9">
        <v>11.28</v>
      </c>
      <c r="F17" s="8">
        <v>2772</v>
      </c>
      <c r="G17" s="9">
        <v>15</v>
      </c>
    </row>
    <row r="18" spans="1:7" x14ac:dyDescent="0.2">
      <c r="A18" s="7">
        <v>8</v>
      </c>
      <c r="B18" s="8">
        <v>1253</v>
      </c>
      <c r="C18" s="9">
        <v>8.19</v>
      </c>
      <c r="D18" s="7">
        <v>1887</v>
      </c>
      <c r="E18" s="9">
        <v>14.23</v>
      </c>
      <c r="F18" s="8">
        <v>3170</v>
      </c>
      <c r="G18" s="9">
        <v>37.630000000000003</v>
      </c>
    </row>
    <row r="19" spans="1:7" x14ac:dyDescent="0.2">
      <c r="A19" s="7">
        <v>10</v>
      </c>
      <c r="B19" s="8">
        <v>1197</v>
      </c>
      <c r="C19" s="9">
        <v>10.91</v>
      </c>
      <c r="D19" s="7">
        <v>2148</v>
      </c>
      <c r="E19" s="9">
        <v>24.15</v>
      </c>
      <c r="F19" s="8">
        <v>4813</v>
      </c>
      <c r="G19" s="9">
        <v>41.44</v>
      </c>
    </row>
    <row r="20" spans="1:7" x14ac:dyDescent="0.2">
      <c r="A20" s="7">
        <v>24</v>
      </c>
      <c r="B20" s="8">
        <v>1212</v>
      </c>
      <c r="C20" s="9">
        <v>15</v>
      </c>
      <c r="D20" s="7">
        <v>3114</v>
      </c>
      <c r="E20" s="9">
        <v>33.96</v>
      </c>
      <c r="F20" s="8">
        <v>7603</v>
      </c>
      <c r="G20" s="9">
        <v>67.64</v>
      </c>
    </row>
    <row r="21" spans="1:7" x14ac:dyDescent="0.2">
      <c r="A21" s="7">
        <v>100</v>
      </c>
      <c r="B21" s="8">
        <v>1369</v>
      </c>
      <c r="C21" s="9">
        <v>15</v>
      </c>
      <c r="D21" s="7">
        <v>7027</v>
      </c>
      <c r="E21" s="9">
        <v>85.52</v>
      </c>
      <c r="F21" s="8">
        <v>21436</v>
      </c>
      <c r="G21" s="9">
        <v>205</v>
      </c>
    </row>
    <row r="22" spans="1:7" x14ac:dyDescent="0.2">
      <c r="A22" s="10"/>
      <c r="B22" s="12" t="s">
        <v>11</v>
      </c>
      <c r="C22" s="11" t="s">
        <v>12</v>
      </c>
      <c r="D22" s="12" t="s">
        <v>11</v>
      </c>
      <c r="E22" s="11" t="s">
        <v>12</v>
      </c>
      <c r="F22" s="12" t="s">
        <v>11</v>
      </c>
      <c r="G22" s="11" t="s">
        <v>12</v>
      </c>
    </row>
    <row r="23" spans="1:7" ht="48" x14ac:dyDescent="0.2">
      <c r="A23" s="5" t="s">
        <v>41</v>
      </c>
      <c r="B23" s="13">
        <v>0</v>
      </c>
      <c r="C23" s="14">
        <f>SUMPRODUCT(B16:B21,A16:A21)/SUM(A16:A21)</f>
        <v>1337.8421052631579</v>
      </c>
      <c r="D23" s="13" cm="1">
        <f t="array" ref="D23:E23">LINEST(D16:D21,$A$16:$A$21)</f>
        <v>54.594794467921609</v>
      </c>
      <c r="E23" s="14">
        <v>1607.0985401459859</v>
      </c>
      <c r="F23" s="13" cm="1">
        <f t="array" ref="F23:G23">LINEST(F16:F21,$A$16:$A$21)</f>
        <v>197.55272762197464</v>
      </c>
      <c r="G23" s="14">
        <v>1915.1642335766428</v>
      </c>
    </row>
    <row r="24" spans="1:7" ht="48" x14ac:dyDescent="0.2">
      <c r="A24" s="5" t="s">
        <v>42</v>
      </c>
      <c r="B24" s="13" cm="1">
        <f t="array" ref="B24:C24">LINEST(C16:C21,$A$16:$A$21)</f>
        <v>7.3626584709950038E-2</v>
      </c>
      <c r="C24" s="14">
        <v>8.6214598540145992</v>
      </c>
      <c r="D24" s="13" cm="1">
        <f t="array" ref="D24:E24">LINEST(E16:E21,$A$16:$A$21)</f>
        <v>0.77174126008451771</v>
      </c>
      <c r="E24" s="14">
        <v>9.7975547445255486</v>
      </c>
      <c r="F24" s="13" cm="1">
        <f t="array" ref="F24:G24">LINEST(G16:G21,$A$16:$A$21)</f>
        <v>1.941388782174414</v>
      </c>
      <c r="G24" s="14">
        <v>13.209817518248187</v>
      </c>
    </row>
    <row r="25" spans="1:7" ht="16" x14ac:dyDescent="0.2">
      <c r="A25" s="5" t="s">
        <v>13</v>
      </c>
      <c r="B25" s="76">
        <v>0.41</v>
      </c>
      <c r="C25" s="77"/>
      <c r="D25" s="76">
        <v>0.52</v>
      </c>
      <c r="E25" s="77"/>
      <c r="F25" s="76">
        <v>0.6</v>
      </c>
      <c r="G25" s="77"/>
    </row>
    <row r="26" spans="1:7" ht="32" x14ac:dyDescent="0.2">
      <c r="A26" s="5" t="s">
        <v>14</v>
      </c>
      <c r="B26" s="7">
        <v>30</v>
      </c>
      <c r="C26" s="9">
        <v>30</v>
      </c>
      <c r="D26" s="7">
        <v>34</v>
      </c>
      <c r="E26" s="9">
        <v>34</v>
      </c>
      <c r="F26" s="7">
        <v>35</v>
      </c>
      <c r="G26" s="9">
        <v>35</v>
      </c>
    </row>
    <row r="27" spans="1:7" ht="58" customHeight="1" x14ac:dyDescent="0.2">
      <c r="A27" s="5" t="s">
        <v>15</v>
      </c>
      <c r="B27" s="17" cm="1">
        <f t="array" ref="B27">((Discount_Rate*((1+Discount_Rate))^B26))/(((1+Discount_Rate)^B26)-1)</f>
        <v>8.5496908933900287E-2</v>
      </c>
      <c r="C27" s="18">
        <f t="shared" ref="C27:G27" si="0">((Discount_Rate*((1+Discount_Rate))^C26))/(((1+Discount_Rate)^C26)-1)</f>
        <v>8.5496908933900287E-2</v>
      </c>
      <c r="D27" s="17">
        <f t="shared" si="0"/>
        <v>8.2866954207863525E-2</v>
      </c>
      <c r="E27" s="18">
        <f t="shared" si="0"/>
        <v>8.2866954207863525E-2</v>
      </c>
      <c r="F27" s="17">
        <f t="shared" si="0"/>
        <v>8.2341456982484809E-2</v>
      </c>
      <c r="G27" s="18">
        <f t="shared" si="0"/>
        <v>8.2341456982484809E-2</v>
      </c>
    </row>
    <row r="28" spans="1:7" ht="48" x14ac:dyDescent="0.2">
      <c r="A28" s="5" t="s">
        <v>43</v>
      </c>
      <c r="B28" s="31">
        <f t="shared" ref="B28:G28" si="1">B23*B27+B24</f>
        <v>7.3626584709950038E-2</v>
      </c>
      <c r="C28" s="34">
        <f t="shared" si="1"/>
        <v>123.00282449563626</v>
      </c>
      <c r="D28" s="31">
        <f t="shared" si="1"/>
        <v>5.2958455932454989</v>
      </c>
      <c r="E28" s="34">
        <f t="shared" si="1"/>
        <v>142.97291587832729</v>
      </c>
      <c r="F28" s="31">
        <f t="shared" si="1"/>
        <v>18.208168205431779</v>
      </c>
      <c r="G28" s="34">
        <f t="shared" si="1"/>
        <v>170.90723087169283</v>
      </c>
    </row>
    <row r="29" spans="1:7" ht="48" x14ac:dyDescent="0.2">
      <c r="A29" s="5" t="s">
        <v>44</v>
      </c>
      <c r="B29" s="35">
        <f t="shared" ref="B29:G29" si="2">B28/Hours_per_year</f>
        <v>8.4048612682591373E-6</v>
      </c>
      <c r="C29" s="36">
        <f t="shared" si="2"/>
        <v>1.4041418321419665E-2</v>
      </c>
      <c r="D29" s="35">
        <f t="shared" si="2"/>
        <v>6.045485837038241E-4</v>
      </c>
      <c r="E29" s="36">
        <f t="shared" si="2"/>
        <v>1.6321109118530512E-2</v>
      </c>
      <c r="F29" s="35">
        <f t="shared" si="2"/>
        <v>2.0785580143186963E-3</v>
      </c>
      <c r="G29" s="36">
        <f t="shared" si="2"/>
        <v>1.9509957862065393E-2</v>
      </c>
    </row>
    <row r="30" spans="1:7" ht="32" x14ac:dyDescent="0.2">
      <c r="A30" s="5" t="s">
        <v>16</v>
      </c>
      <c r="B30" s="7">
        <v>0.51524999999999999</v>
      </c>
      <c r="C30" s="9">
        <v>0.51524999999999999</v>
      </c>
      <c r="D30" s="7">
        <v>0.51524999999999999</v>
      </c>
      <c r="E30" s="9">
        <v>0.51524999999999999</v>
      </c>
      <c r="F30" s="7">
        <v>0.51524999999999999</v>
      </c>
      <c r="G30" s="9">
        <v>0.51524999999999999</v>
      </c>
    </row>
    <row r="31" spans="1:7" ht="32" x14ac:dyDescent="0.2">
      <c r="A31" s="21" t="s">
        <v>17</v>
      </c>
      <c r="B31" s="22">
        <f>B30/1000</f>
        <v>5.1524999999999997E-4</v>
      </c>
      <c r="C31" s="23">
        <f t="shared" ref="C31:G31" si="3">C30/1000</f>
        <v>5.1524999999999997E-4</v>
      </c>
      <c r="D31" s="22">
        <f t="shared" si="3"/>
        <v>5.1524999999999997E-4</v>
      </c>
      <c r="E31" s="23">
        <f t="shared" si="3"/>
        <v>5.1524999999999997E-4</v>
      </c>
      <c r="F31" s="22">
        <f t="shared" si="3"/>
        <v>5.1524999999999997E-4</v>
      </c>
      <c r="G31" s="23">
        <f t="shared" si="3"/>
        <v>5.1524999999999997E-4</v>
      </c>
    </row>
  </sheetData>
  <mergeCells count="6">
    <mergeCell ref="B14:C14"/>
    <mergeCell ref="D14:E14"/>
    <mergeCell ref="F14:G14"/>
    <mergeCell ref="B25:C25"/>
    <mergeCell ref="D25:E25"/>
    <mergeCell ref="F25:G25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6BAE-6116-41D2-8BFD-4CB9C0C1C91F}">
  <dimension ref="A1:G28"/>
  <sheetViews>
    <sheetView topLeftCell="A15" zoomScale="117" zoomScaleNormal="55" workbookViewId="0">
      <selection activeCell="F22" sqref="F22:G22"/>
    </sheetView>
  </sheetViews>
  <sheetFormatPr baseColWidth="10" defaultColWidth="8.83203125" defaultRowHeight="15" x14ac:dyDescent="0.2"/>
  <cols>
    <col min="1" max="7" width="14.1640625" customWidth="1"/>
  </cols>
  <sheetData>
    <row r="1" spans="1:7" x14ac:dyDescent="0.2">
      <c r="A1" s="2" t="s">
        <v>0</v>
      </c>
      <c r="B1" s="51" t="s">
        <v>61</v>
      </c>
    </row>
    <row r="2" spans="1:7" x14ac:dyDescent="0.2">
      <c r="A2" s="2" t="s">
        <v>2</v>
      </c>
      <c r="B2" s="1" t="s">
        <v>62</v>
      </c>
    </row>
    <row r="4" spans="1:7" x14ac:dyDescent="0.2">
      <c r="A4" t="s">
        <v>4</v>
      </c>
    </row>
    <row r="6" spans="1:7" x14ac:dyDescent="0.2">
      <c r="A6" t="s">
        <v>3</v>
      </c>
    </row>
    <row r="14" spans="1:7" x14ac:dyDescent="0.2">
      <c r="A14" s="3"/>
      <c r="B14" s="74" t="s">
        <v>5</v>
      </c>
      <c r="C14" s="75"/>
      <c r="D14" s="74" t="s">
        <v>6</v>
      </c>
      <c r="E14" s="75"/>
      <c r="F14" s="74" t="s">
        <v>7</v>
      </c>
      <c r="G14" s="75"/>
    </row>
    <row r="15" spans="1:7" ht="48" x14ac:dyDescent="0.2">
      <c r="A15" s="4" t="s">
        <v>8</v>
      </c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7" x14ac:dyDescent="0.2">
      <c r="A16" s="7">
        <v>10</v>
      </c>
      <c r="B16" s="8">
        <v>2790</v>
      </c>
      <c r="C16" s="9">
        <v>16.079999999999998</v>
      </c>
      <c r="D16" s="7">
        <v>3136</v>
      </c>
      <c r="E16" s="9">
        <v>17.72</v>
      </c>
      <c r="F16" s="8">
        <v>3553</v>
      </c>
      <c r="G16" s="9">
        <v>19.64</v>
      </c>
    </row>
    <row r="17" spans="1:7" x14ac:dyDescent="0.2">
      <c r="A17" s="7">
        <v>24</v>
      </c>
      <c r="B17" s="8">
        <v>2813</v>
      </c>
      <c r="C17" s="9">
        <v>16.37</v>
      </c>
      <c r="D17" s="7">
        <v>3209</v>
      </c>
      <c r="E17" s="9">
        <v>18.45</v>
      </c>
      <c r="F17" s="8">
        <v>3782</v>
      </c>
      <c r="G17" s="9">
        <v>21.61</v>
      </c>
    </row>
    <row r="18" spans="1:7" x14ac:dyDescent="0.2">
      <c r="A18" s="7">
        <v>100</v>
      </c>
      <c r="B18" s="8">
        <v>2938</v>
      </c>
      <c r="C18" s="9">
        <v>17.82</v>
      </c>
      <c r="D18" s="7">
        <v>3587</v>
      </c>
      <c r="E18" s="9">
        <v>22.18</v>
      </c>
      <c r="F18" s="8">
        <v>5022</v>
      </c>
      <c r="G18" s="9">
        <v>32.270000000000003</v>
      </c>
    </row>
    <row r="19" spans="1:7" x14ac:dyDescent="0.2">
      <c r="A19" s="10"/>
      <c r="B19" s="12" t="s">
        <v>11</v>
      </c>
      <c r="C19" s="11" t="s">
        <v>12</v>
      </c>
      <c r="D19" s="12" t="s">
        <v>11</v>
      </c>
      <c r="E19" s="11" t="s">
        <v>12</v>
      </c>
      <c r="F19" s="12" t="s">
        <v>11</v>
      </c>
      <c r="G19" s="11" t="s">
        <v>12</v>
      </c>
    </row>
    <row r="20" spans="1:7" ht="48" x14ac:dyDescent="0.2">
      <c r="A20" s="5" t="s">
        <v>41</v>
      </c>
      <c r="B20" s="13" cm="1">
        <f t="array" ref="B20:C20">LINEST(B16:B18,$A$16:$A$18)</f>
        <v>1.6445423536100054</v>
      </c>
      <c r="C20" s="14">
        <v>2773.5437748720865</v>
      </c>
      <c r="D20" s="13" cm="1">
        <f t="array" ref="D20:E20">LINEST(D16:D18,$A$16:$A$18)</f>
        <v>4.9985787379192699</v>
      </c>
      <c r="E20" s="14">
        <v>3087.3968163729392</v>
      </c>
      <c r="F20" s="13" cm="1">
        <f t="array" ref="F20:G20">LINEST(F16:F18,$A$16:$A$18)</f>
        <v>16.32006822057987</v>
      </c>
      <c r="G20" s="14">
        <v>3390.0369528140991</v>
      </c>
    </row>
    <row r="21" spans="1:7" ht="48" x14ac:dyDescent="0.2">
      <c r="A21" s="5" t="s">
        <v>42</v>
      </c>
      <c r="B21" s="13" cm="1">
        <f t="array" ref="B21:C21">LINEST(C16:C18,$A$16:$A$18)</f>
        <v>1.9248152359295063E-2</v>
      </c>
      <c r="C21" s="14">
        <v>15.896915861284821</v>
      </c>
      <c r="D21" s="13" cm="1">
        <f t="array" ref="D21:E21">LINEST(E16:E18,$A$16:$A$18)</f>
        <v>4.9395963615690729E-2</v>
      </c>
      <c r="E21" s="14">
        <v>17.243646958499149</v>
      </c>
      <c r="F21" s="13" cm="1">
        <f t="array" ref="F21:G21">LINEST(G16:G18,$A$16:$A$18)</f>
        <v>0.14030983513359863</v>
      </c>
      <c r="G21" s="14">
        <v>18.239494030699266</v>
      </c>
    </row>
    <row r="22" spans="1:7" ht="16" x14ac:dyDescent="0.2">
      <c r="A22" s="5" t="s">
        <v>13</v>
      </c>
      <c r="B22" s="76">
        <v>0.31</v>
      </c>
      <c r="C22" s="77"/>
      <c r="D22" s="76">
        <v>0.31</v>
      </c>
      <c r="E22" s="77"/>
      <c r="F22" s="76">
        <v>0.31</v>
      </c>
      <c r="G22" s="77"/>
    </row>
    <row r="23" spans="1:7" ht="32" x14ac:dyDescent="0.2">
      <c r="A23" s="5" t="s">
        <v>14</v>
      </c>
      <c r="B23" s="7">
        <v>30</v>
      </c>
      <c r="C23" s="9">
        <v>30</v>
      </c>
      <c r="D23" s="7">
        <v>30</v>
      </c>
      <c r="E23" s="9">
        <v>30</v>
      </c>
      <c r="F23" s="7">
        <v>30</v>
      </c>
      <c r="G23" s="9">
        <v>30</v>
      </c>
    </row>
    <row r="24" spans="1:7" ht="58" customHeight="1" x14ac:dyDescent="0.2">
      <c r="A24" s="5" t="s">
        <v>15</v>
      </c>
      <c r="B24" s="17" cm="1">
        <f t="array" ref="B24">((Discount_Rate*((1+Discount_Rate))^B23))/(((1+Discount_Rate)^B23)-1)</f>
        <v>8.5496908933900287E-2</v>
      </c>
      <c r="C24" s="18">
        <f t="shared" ref="C24:G24" si="0">((Discount_Rate*((1+Discount_Rate))^C23))/(((1+Discount_Rate)^C23)-1)</f>
        <v>8.5496908933900287E-2</v>
      </c>
      <c r="D24" s="17">
        <f t="shared" si="0"/>
        <v>8.5496908933900287E-2</v>
      </c>
      <c r="E24" s="18">
        <f t="shared" si="0"/>
        <v>8.5496908933900287E-2</v>
      </c>
      <c r="F24" s="17">
        <f t="shared" si="0"/>
        <v>8.5496908933900287E-2</v>
      </c>
      <c r="G24" s="18">
        <f t="shared" si="0"/>
        <v>8.5496908933900287E-2</v>
      </c>
    </row>
    <row r="25" spans="1:7" ht="48" x14ac:dyDescent="0.2">
      <c r="A25" s="5" t="s">
        <v>43</v>
      </c>
      <c r="B25" s="7">
        <f t="shared" ref="B25:G25" si="1">B20*B24+B21</f>
        <v>0.15985144020383174</v>
      </c>
      <c r="C25" s="9">
        <f t="shared" si="1"/>
        <v>253.02633540570963</v>
      </c>
      <c r="D25" s="7">
        <f t="shared" si="1"/>
        <v>0.47675899477050476</v>
      </c>
      <c r="E25" s="9">
        <f t="shared" si="1"/>
        <v>281.20653141074996</v>
      </c>
      <c r="F25" s="7">
        <f t="shared" si="1"/>
        <v>1.535625221583556</v>
      </c>
      <c r="G25" s="9">
        <f t="shared" si="1"/>
        <v>308.07717466800312</v>
      </c>
    </row>
    <row r="26" spans="1:7" ht="48" x14ac:dyDescent="0.2">
      <c r="A26" s="5" t="s">
        <v>44</v>
      </c>
      <c r="B26" s="19">
        <f t="shared" ref="B26:G26" si="2">B25/Hours_per_year</f>
        <v>1.8247881301807275E-5</v>
      </c>
      <c r="C26" s="20">
        <f t="shared" si="2"/>
        <v>2.8884284863665483E-2</v>
      </c>
      <c r="D26" s="19">
        <f t="shared" si="2"/>
        <v>5.442454278202109E-5</v>
      </c>
      <c r="E26" s="20">
        <f t="shared" si="2"/>
        <v>3.2101202215839036E-2</v>
      </c>
      <c r="F26" s="19">
        <f t="shared" si="2"/>
        <v>1.7529968282917305E-4</v>
      </c>
      <c r="G26" s="20">
        <f t="shared" si="2"/>
        <v>3.5168627245205836E-2</v>
      </c>
    </row>
    <row r="27" spans="1:7" ht="32" x14ac:dyDescent="0.2">
      <c r="A27" s="5" t="s">
        <v>16</v>
      </c>
      <c r="B27" s="7">
        <v>0.51524999999999999</v>
      </c>
      <c r="C27" s="9">
        <v>0.51524999999999999</v>
      </c>
      <c r="D27" s="7">
        <v>0.51524999999999999</v>
      </c>
      <c r="E27" s="9">
        <v>0.51524999999999999</v>
      </c>
      <c r="F27" s="7">
        <v>0.51524999999999999</v>
      </c>
      <c r="G27" s="9">
        <v>0.51524999999999999</v>
      </c>
    </row>
    <row r="28" spans="1:7" ht="32" x14ac:dyDescent="0.2">
      <c r="A28" s="21" t="s">
        <v>17</v>
      </c>
      <c r="B28" s="22">
        <f>B27/1000</f>
        <v>5.1524999999999997E-4</v>
      </c>
      <c r="C28" s="23">
        <f t="shared" ref="C28:G28" si="3">C27/1000</f>
        <v>5.1524999999999997E-4</v>
      </c>
      <c r="D28" s="22">
        <f t="shared" si="3"/>
        <v>5.1524999999999997E-4</v>
      </c>
      <c r="E28" s="23">
        <f t="shared" si="3"/>
        <v>5.1524999999999997E-4</v>
      </c>
      <c r="F28" s="22">
        <f t="shared" si="3"/>
        <v>5.1524999999999997E-4</v>
      </c>
      <c r="G28" s="23">
        <f t="shared" si="3"/>
        <v>5.1524999999999997E-4</v>
      </c>
    </row>
  </sheetData>
  <mergeCells count="6">
    <mergeCell ref="B14:C14"/>
    <mergeCell ref="D14:E14"/>
    <mergeCell ref="F14:G14"/>
    <mergeCell ref="B22:C22"/>
    <mergeCell ref="D22:E22"/>
    <mergeCell ref="F22:G22"/>
  </mergeCells>
  <hyperlinks>
    <hyperlink ref="B1" r:id="rId1" xr:uid="{A51BAE07-AEB9-4AEC-B721-56D19779B82C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D4F8-7539-42F1-AC12-92FB7ECD4445}">
  <dimension ref="A1:G9"/>
  <sheetViews>
    <sheetView workbookViewId="0">
      <selection activeCell="G4" sqref="G4"/>
    </sheetView>
  </sheetViews>
  <sheetFormatPr baseColWidth="10" defaultColWidth="8.83203125" defaultRowHeight="15" x14ac:dyDescent="0.2"/>
  <cols>
    <col min="1" max="7" width="15" customWidth="1"/>
  </cols>
  <sheetData>
    <row r="1" spans="1:7" x14ac:dyDescent="0.2">
      <c r="A1" s="59"/>
      <c r="B1" s="78" t="s">
        <v>69</v>
      </c>
      <c r="C1" s="79"/>
      <c r="D1" s="80"/>
      <c r="E1" s="78" t="s">
        <v>70</v>
      </c>
      <c r="F1" s="79"/>
      <c r="G1" s="80"/>
    </row>
    <row r="2" spans="1:7" x14ac:dyDescent="0.2">
      <c r="A2" s="4" t="s">
        <v>64</v>
      </c>
      <c r="B2" s="4" t="s">
        <v>73</v>
      </c>
      <c r="C2" s="46" t="s">
        <v>74</v>
      </c>
      <c r="D2" s="46" t="s">
        <v>75</v>
      </c>
      <c r="E2" s="52" t="s">
        <v>76</v>
      </c>
      <c r="F2" s="60" t="s">
        <v>82</v>
      </c>
      <c r="G2" s="53" t="s">
        <v>77</v>
      </c>
    </row>
    <row r="3" spans="1:7" x14ac:dyDescent="0.2">
      <c r="A3" s="59" t="s">
        <v>65</v>
      </c>
      <c r="B3" s="61">
        <f>'Li-ion (regression)'!B24</f>
        <v>278.01815213215514</v>
      </c>
      <c r="C3" s="62">
        <f>'Li-ion (regression)'!D24</f>
        <v>308.906838263542</v>
      </c>
      <c r="D3" s="62">
        <f>'Li-ion (regression)'!F24</f>
        <v>339.79235497502873</v>
      </c>
      <c r="E3" s="61">
        <f>'Li-ion (regression)'!C24</f>
        <v>250.0401459854038</v>
      </c>
      <c r="F3" s="62">
        <f>'Li-ion (regression)'!E24</f>
        <v>278.19343065693647</v>
      </c>
      <c r="G3" s="63">
        <f>'Li-ion (regression)'!G24</f>
        <v>305.9270072992731</v>
      </c>
    </row>
    <row r="4" spans="1:7" x14ac:dyDescent="0.2">
      <c r="A4" s="7" t="s">
        <v>66</v>
      </c>
      <c r="B4" s="31">
        <f>RFB!B24</f>
        <v>195.51075681905493</v>
      </c>
      <c r="C4" s="64">
        <f>RFB!D24</f>
        <v>288.43565117172488</v>
      </c>
      <c r="D4" s="64">
        <f>RFB!F24</f>
        <v>327.73098348059926</v>
      </c>
      <c r="E4" s="31">
        <f>RFB!C24</f>
        <v>610.89416058394181</v>
      </c>
      <c r="F4" s="64">
        <f>RFB!E24</f>
        <v>767.46350364963655</v>
      </c>
      <c r="G4" s="34">
        <f>RFB!G24</f>
        <v>856.98175182481828</v>
      </c>
    </row>
    <row r="5" spans="1:7" x14ac:dyDescent="0.2">
      <c r="A5" s="7" t="s">
        <v>33</v>
      </c>
      <c r="B5" s="31">
        <f>CAES!B21</f>
        <v>2.2402630247850275</v>
      </c>
      <c r="C5" s="64">
        <f>CAES!D21</f>
        <v>5.7290507502950589</v>
      </c>
      <c r="D5" s="64">
        <f>CAES!F21</f>
        <v>16.319929185634795</v>
      </c>
      <c r="E5" s="31">
        <f>CAES!C21</f>
        <v>957.21092564491653</v>
      </c>
      <c r="F5" s="64">
        <f>CAES!E21</f>
        <v>1066.8477491148205</v>
      </c>
      <c r="G5" s="34">
        <f>CAES!G21</f>
        <v>1168.2124430955996</v>
      </c>
    </row>
    <row r="6" spans="1:7" x14ac:dyDescent="0.2">
      <c r="A6" s="7" t="s">
        <v>37</v>
      </c>
      <c r="B6" s="31">
        <f>PSH!B21</f>
        <v>47.859382903388962</v>
      </c>
      <c r="C6" s="64">
        <f>PSH!D21</f>
        <v>52.789917383240606</v>
      </c>
      <c r="D6" s="64">
        <f>PSH!F21</f>
        <v>57.74102175012645</v>
      </c>
      <c r="E6" s="31">
        <f>PSH!C21</f>
        <v>1042.8512898330807</v>
      </c>
      <c r="F6" s="64">
        <f>PSH!E21</f>
        <v>1597.2478502781992</v>
      </c>
      <c r="G6" s="34">
        <f>PSH!G21</f>
        <v>1759.9347496206374</v>
      </c>
    </row>
    <row r="7" spans="1:7" x14ac:dyDescent="0.2">
      <c r="A7" s="7" t="s">
        <v>67</v>
      </c>
      <c r="B7" s="31">
        <f>Gravitational!B24</f>
        <v>53.571167883211665</v>
      </c>
      <c r="C7" s="64">
        <f>Gravitational!D24</f>
        <v>117.79975028812909</v>
      </c>
      <c r="D7" s="64">
        <f>Gravitational!F24</f>
        <v>207.66048789857854</v>
      </c>
      <c r="E7" s="31">
        <f>Gravitational!C24</f>
        <v>1529.1970802919714</v>
      </c>
      <c r="F7" s="64">
        <f>Gravitational!E24</f>
        <v>1430.0729927007296</v>
      </c>
      <c r="G7" s="34">
        <f>Gravitational!G24</f>
        <v>1263.9343065693447</v>
      </c>
    </row>
    <row r="8" spans="1:7" x14ac:dyDescent="0.2">
      <c r="A8" s="7" t="s">
        <v>68</v>
      </c>
      <c r="B8" s="31">
        <f>Thermal!B23</f>
        <v>0</v>
      </c>
      <c r="C8" s="64">
        <f>Thermal!D23</f>
        <v>54.594794467921609</v>
      </c>
      <c r="D8" s="64">
        <f>Thermal!F23</f>
        <v>197.55272762197464</v>
      </c>
      <c r="E8" s="31">
        <f>Thermal!C23</f>
        <v>1337.8421052631579</v>
      </c>
      <c r="F8" s="64">
        <f>Thermal!E23</f>
        <v>1607.0985401459859</v>
      </c>
      <c r="G8" s="34">
        <f>Thermal!G23</f>
        <v>1915.1642335766428</v>
      </c>
    </row>
    <row r="9" spans="1:7" x14ac:dyDescent="0.2">
      <c r="A9" s="65" t="s">
        <v>39</v>
      </c>
      <c r="B9" s="66">
        <f>PGP!B20</f>
        <v>1.6445423536100054</v>
      </c>
      <c r="C9" s="67">
        <f>PGP!D20</f>
        <v>4.9985787379192699</v>
      </c>
      <c r="D9" s="67">
        <f>PGP!F20</f>
        <v>16.32006822057987</v>
      </c>
      <c r="E9" s="66">
        <f>PGP!C20</f>
        <v>2773.5437748720865</v>
      </c>
      <c r="F9" s="67">
        <f>PGP!E20</f>
        <v>3087.3968163729392</v>
      </c>
      <c r="G9" s="68">
        <f>PGP!G20</f>
        <v>3390.0369528140991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A7E4-FF69-4729-BD4B-B9B1BAAA3FA9}">
  <dimension ref="A1:G9"/>
  <sheetViews>
    <sheetView workbookViewId="0">
      <selection activeCell="F18" sqref="F18"/>
    </sheetView>
  </sheetViews>
  <sheetFormatPr baseColWidth="10" defaultColWidth="8.83203125" defaultRowHeight="15" x14ac:dyDescent="0.2"/>
  <cols>
    <col min="1" max="7" width="15" customWidth="1"/>
  </cols>
  <sheetData>
    <row r="1" spans="1:7" x14ac:dyDescent="0.2">
      <c r="A1" s="59"/>
      <c r="B1" s="78" t="s">
        <v>71</v>
      </c>
      <c r="C1" s="79"/>
      <c r="D1" s="79"/>
      <c r="E1" s="78" t="s">
        <v>72</v>
      </c>
      <c r="F1" s="79"/>
      <c r="G1" s="80"/>
    </row>
    <row r="2" spans="1:7" x14ac:dyDescent="0.2">
      <c r="A2" s="52" t="s">
        <v>64</v>
      </c>
      <c r="B2" s="4" t="s">
        <v>73</v>
      </c>
      <c r="C2" s="46" t="s">
        <v>74</v>
      </c>
      <c r="D2" s="46" t="s">
        <v>75</v>
      </c>
      <c r="E2" s="52" t="s">
        <v>76</v>
      </c>
      <c r="F2" s="60" t="s">
        <v>82</v>
      </c>
      <c r="G2" s="53" t="s">
        <v>77</v>
      </c>
    </row>
    <row r="3" spans="1:7" x14ac:dyDescent="0.2">
      <c r="A3" s="7" t="s">
        <v>65</v>
      </c>
      <c r="B3" s="61">
        <f>'Li-ion'!F14</f>
        <v>4.2125070113162655E-3</v>
      </c>
      <c r="C3" s="62">
        <f>'Li-ion'!G14</f>
        <v>4.6826898837689854E-3</v>
      </c>
      <c r="D3" s="63">
        <f>'Li-ion'!H14</f>
        <v>5.1497305141166442E-3</v>
      </c>
      <c r="E3" s="64">
        <f>B3*4</f>
        <v>1.6850028045265062E-2</v>
      </c>
      <c r="F3" s="64">
        <f>C3*4</f>
        <v>1.8730759535075941E-2</v>
      </c>
      <c r="G3" s="64">
        <f>D3*4</f>
        <v>2.0598922056466577E-2</v>
      </c>
    </row>
    <row r="4" spans="1:7" x14ac:dyDescent="0.2">
      <c r="A4" s="7" t="s">
        <v>66</v>
      </c>
      <c r="B4" s="31">
        <f>RFB!B30</f>
        <v>2.9528019509944708E-3</v>
      </c>
      <c r="C4" s="64">
        <f>RFB!D30</f>
        <v>4.3721519786453509E-3</v>
      </c>
      <c r="D4" s="34">
        <f>RFB!F30</f>
        <v>4.9695429959431157E-3</v>
      </c>
      <c r="E4" s="64">
        <f>RFB!C30</f>
        <v>9.2903821959389229E-3</v>
      </c>
      <c r="F4" s="64">
        <f>RFB!E30</f>
        <v>1.1683154362447238E-2</v>
      </c>
      <c r="G4" s="34">
        <f>RFB!G30</f>
        <v>1.308875522058252E-2</v>
      </c>
    </row>
    <row r="5" spans="1:7" x14ac:dyDescent="0.2">
      <c r="A5" s="7" t="s">
        <v>33</v>
      </c>
      <c r="B5" s="31">
        <f>CAES!B27</f>
        <v>1.9792342880649749E-5</v>
      </c>
      <c r="C5" s="64">
        <f>CAES!D27</f>
        <v>5.0600362050702878E-5</v>
      </c>
      <c r="D5" s="34">
        <f>CAES!F27</f>
        <v>1.4414744016062335E-4</v>
      </c>
      <c r="E5" s="64">
        <f>CAES!C27</f>
        <v>9.416102467327065E-3</v>
      </c>
      <c r="F5" s="64">
        <f>CAES!E27</f>
        <v>1.048945549142475E-2</v>
      </c>
      <c r="G5" s="34">
        <f>CAES!G27</f>
        <v>1.1485957190939294E-2</v>
      </c>
    </row>
    <row r="6" spans="1:7" x14ac:dyDescent="0.2">
      <c r="A6" s="7" t="s">
        <v>37</v>
      </c>
      <c r="B6" s="31">
        <f>PSH!B27</f>
        <v>4.2274017225888089E-4</v>
      </c>
      <c r="C6" s="64">
        <f>PSH!D27</f>
        <v>4.6629042138167322E-4</v>
      </c>
      <c r="D6" s="34">
        <f>PSH!F27</f>
        <v>5.1001933919994364E-4</v>
      </c>
      <c r="E6" s="64">
        <f>PSH!C27</f>
        <v>1.0736731323466642E-2</v>
      </c>
      <c r="F6" s="64">
        <f>PSH!E27</f>
        <v>1.5781892927441258E-2</v>
      </c>
      <c r="G6" s="34">
        <f>PSH!G27</f>
        <v>1.7386560270104795E-2</v>
      </c>
    </row>
    <row r="7" spans="1:7" x14ac:dyDescent="0.2">
      <c r="A7" s="7" t="s">
        <v>67</v>
      </c>
      <c r="B7" s="31">
        <f>Gravitational!B30</f>
        <v>5.0509219801771253E-4</v>
      </c>
      <c r="C7" s="64">
        <f>Gravitational!D30</f>
        <v>1.1174719866697176E-3</v>
      </c>
      <c r="D7" s="34">
        <f>Gravitational!F30</f>
        <v>2.0219097178036747E-3</v>
      </c>
      <c r="E7" s="64">
        <f>Gravitational!C30</f>
        <v>1.6031563708487965E-2</v>
      </c>
      <c r="F7" s="64">
        <f>Gravitational!E30</f>
        <v>1.4123721978188784E-2</v>
      </c>
      <c r="G7" s="34">
        <f>Gravitational!G30</f>
        <v>1.1757298200914958E-2</v>
      </c>
    </row>
    <row r="8" spans="1:7" x14ac:dyDescent="0.2">
      <c r="A8" s="7" t="s">
        <v>68</v>
      </c>
      <c r="B8" s="31">
        <f>Thermal!B29</f>
        <v>8.4048612682591373E-6</v>
      </c>
      <c r="C8" s="64">
        <f>Thermal!D29</f>
        <v>6.045485837038241E-4</v>
      </c>
      <c r="D8" s="34">
        <f>Thermal!F29</f>
        <v>2.0785580143186963E-3</v>
      </c>
      <c r="E8" s="64">
        <f>Thermal!C29</f>
        <v>1.4041418321419665E-2</v>
      </c>
      <c r="F8" s="64">
        <f>Thermal!E29</f>
        <v>1.6321109118530512E-2</v>
      </c>
      <c r="G8" s="34">
        <f>Thermal!G29</f>
        <v>1.9509957862065393E-2</v>
      </c>
    </row>
    <row r="9" spans="1:7" x14ac:dyDescent="0.2">
      <c r="A9" s="65" t="s">
        <v>39</v>
      </c>
      <c r="B9" s="66">
        <f>PGP!B26</f>
        <v>1.8247881301807275E-5</v>
      </c>
      <c r="C9" s="67">
        <f>PGP!D26</f>
        <v>5.442454278202109E-5</v>
      </c>
      <c r="D9" s="68">
        <f>PGP!F26</f>
        <v>1.7529968282917305E-4</v>
      </c>
      <c r="E9" s="67">
        <f>PGP!C26</f>
        <v>2.8884284863665483E-2</v>
      </c>
      <c r="F9" s="67">
        <f>PGP!E26</f>
        <v>3.2101202215839036E-2</v>
      </c>
      <c r="G9" s="68">
        <f>PGP!G26</f>
        <v>3.5168627245205836E-2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F510-96F4-4385-9A89-CCDB2861922B}">
  <dimension ref="A1:G9"/>
  <sheetViews>
    <sheetView zoomScale="115" zoomScaleNormal="115" workbookViewId="0">
      <selection activeCell="D16" sqref="D16"/>
    </sheetView>
  </sheetViews>
  <sheetFormatPr baseColWidth="10" defaultColWidth="8.83203125" defaultRowHeight="15" x14ac:dyDescent="0.2"/>
  <cols>
    <col min="1" max="7" width="15" customWidth="1"/>
  </cols>
  <sheetData>
    <row r="1" spans="1:7" x14ac:dyDescent="0.2">
      <c r="A1" s="59"/>
      <c r="B1" s="78" t="s">
        <v>78</v>
      </c>
      <c r="C1" s="79"/>
      <c r="D1" s="80"/>
      <c r="E1" s="81"/>
      <c r="F1" s="81"/>
      <c r="G1" s="81"/>
    </row>
    <row r="2" spans="1:7" x14ac:dyDescent="0.2">
      <c r="A2" s="52" t="s">
        <v>64</v>
      </c>
      <c r="B2" s="4" t="s">
        <v>79</v>
      </c>
      <c r="C2" s="46" t="s">
        <v>80</v>
      </c>
      <c r="D2" s="69" t="s">
        <v>81</v>
      </c>
      <c r="E2" s="46"/>
      <c r="F2" s="46"/>
      <c r="G2" s="46"/>
    </row>
    <row r="3" spans="1:7" x14ac:dyDescent="0.2">
      <c r="A3" s="7" t="s">
        <v>65</v>
      </c>
      <c r="B3" s="61" cm="1">
        <f t="array" ref="B3:D3">'Li-ion'!F10:H10</f>
        <v>0.83</v>
      </c>
      <c r="C3" s="62">
        <v>0.83</v>
      </c>
      <c r="D3" s="63">
        <v>0.83</v>
      </c>
      <c r="E3" s="64"/>
      <c r="F3" s="64"/>
      <c r="G3" s="64"/>
    </row>
    <row r="4" spans="1:7" x14ac:dyDescent="0.2">
      <c r="A4" s="7" t="s">
        <v>66</v>
      </c>
      <c r="B4" s="31">
        <f>RFB!B26</f>
        <v>0.65</v>
      </c>
      <c r="C4" s="64">
        <f>RFB!D26</f>
        <v>0.65</v>
      </c>
      <c r="D4" s="34">
        <f>RFB!F26</f>
        <v>0.65</v>
      </c>
      <c r="E4" s="64"/>
      <c r="F4" s="64"/>
      <c r="G4" s="64"/>
    </row>
    <row r="5" spans="1:7" x14ac:dyDescent="0.2">
      <c r="A5" s="7" t="s">
        <v>33</v>
      </c>
      <c r="B5" s="31">
        <f>CAES!B23</f>
        <v>0.52</v>
      </c>
      <c r="C5" s="64">
        <f>CAES!D23</f>
        <v>0.52</v>
      </c>
      <c r="D5" s="34">
        <f>CAES!F23</f>
        <v>0.52</v>
      </c>
      <c r="E5" s="64"/>
      <c r="F5" s="64"/>
      <c r="G5" s="64"/>
    </row>
    <row r="6" spans="1:7" x14ac:dyDescent="0.2">
      <c r="A6" s="7" t="s">
        <v>37</v>
      </c>
      <c r="B6" s="31">
        <f>PSH!B23</f>
        <v>0.8</v>
      </c>
      <c r="C6" s="64">
        <f>PSH!D23</f>
        <v>0.8</v>
      </c>
      <c r="D6" s="34">
        <f>PSH!F23</f>
        <v>0.8</v>
      </c>
      <c r="E6" s="64"/>
      <c r="F6" s="64"/>
      <c r="G6" s="64"/>
    </row>
    <row r="7" spans="1:7" x14ac:dyDescent="0.2">
      <c r="A7" s="7" t="s">
        <v>67</v>
      </c>
      <c r="B7" s="31">
        <f>Gravitational!B26</f>
        <v>0.8</v>
      </c>
      <c r="C7" s="64">
        <f>Gravitational!D26</f>
        <v>0.84</v>
      </c>
      <c r="D7" s="34">
        <f>Gravitational!F26</f>
        <v>0.9</v>
      </c>
      <c r="E7" s="64"/>
      <c r="F7" s="64"/>
      <c r="G7" s="64"/>
    </row>
    <row r="8" spans="1:7" x14ac:dyDescent="0.2">
      <c r="A8" s="7" t="s">
        <v>68</v>
      </c>
      <c r="B8" s="31">
        <f>Thermal!B25</f>
        <v>0.41</v>
      </c>
      <c r="C8" s="64">
        <f>Thermal!D25</f>
        <v>0.52</v>
      </c>
      <c r="D8" s="34">
        <f>Thermal!F25</f>
        <v>0.6</v>
      </c>
      <c r="E8" s="64"/>
      <c r="F8" s="64"/>
      <c r="G8" s="64"/>
    </row>
    <row r="9" spans="1:7" x14ac:dyDescent="0.2">
      <c r="A9" s="65" t="s">
        <v>39</v>
      </c>
      <c r="B9" s="66">
        <f>PGP!B22</f>
        <v>0.31</v>
      </c>
      <c r="C9" s="67">
        <f>PGP!D22</f>
        <v>0.31</v>
      </c>
      <c r="D9" s="68">
        <f>PGP!F22</f>
        <v>0.31</v>
      </c>
      <c r="E9" s="64"/>
      <c r="F9" s="64"/>
      <c r="G9" s="64"/>
    </row>
  </sheetData>
  <mergeCells count="2">
    <mergeCell ref="B1:D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C0D-09C0-4E54-A075-9FFCAE469DF3}">
  <dimension ref="A1:B20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t="s">
        <v>18</v>
      </c>
    </row>
    <row r="3" spans="1:2" s="2" customFormat="1" x14ac:dyDescent="0.2">
      <c r="A3" s="2" t="s">
        <v>19</v>
      </c>
    </row>
    <row r="4" spans="1:2" s="2" customFormat="1" x14ac:dyDescent="0.2">
      <c r="A4" s="24"/>
      <c r="B4" t="s">
        <v>20</v>
      </c>
    </row>
    <row r="5" spans="1:2" s="2" customFormat="1" x14ac:dyDescent="0.2">
      <c r="A5" s="25"/>
      <c r="B5" t="s">
        <v>21</v>
      </c>
    </row>
    <row r="6" spans="1:2" x14ac:dyDescent="0.2">
      <c r="A6" s="26"/>
      <c r="B6" t="s">
        <v>22</v>
      </c>
    </row>
    <row r="8" spans="1:2" x14ac:dyDescent="0.2">
      <c r="A8" s="2" t="s">
        <v>23</v>
      </c>
    </row>
    <row r="9" spans="1:2" x14ac:dyDescent="0.2">
      <c r="A9" t="s">
        <v>24</v>
      </c>
      <c r="B9">
        <v>8760</v>
      </c>
    </row>
    <row r="10" spans="1:2" x14ac:dyDescent="0.2">
      <c r="A10" t="s">
        <v>25</v>
      </c>
      <c r="B10" s="27">
        <v>7.5999999999999998E-2</v>
      </c>
    </row>
    <row r="13" spans="1:2" x14ac:dyDescent="0.2">
      <c r="A13" s="2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Li-ion</vt:lpstr>
      <vt:lpstr>Li-ion (regression)</vt:lpstr>
      <vt:lpstr>RFB</vt:lpstr>
      <vt:lpstr>CAES</vt:lpstr>
      <vt:lpstr>PSH</vt:lpstr>
      <vt:lpstr>Gravitational</vt:lpstr>
      <vt:lpstr>Thermal</vt:lpstr>
      <vt:lpstr>PGP</vt:lpstr>
      <vt:lpstr>Total Installed Costs</vt:lpstr>
      <vt:lpstr>Fixed Hourly Costs</vt:lpstr>
      <vt:lpstr>RTEs</vt:lpstr>
      <vt:lpstr>Constants, Abbrevs, Equations</vt:lpstr>
      <vt:lpstr>Discount_Rate</vt:lpstr>
      <vt:lpstr>Hours_per_year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</dc:creator>
  <cp:lastModifiedBy>Li, Anna X. (Anna)</cp:lastModifiedBy>
  <dcterms:created xsi:type="dcterms:W3CDTF">2022-07-18T22:39:41Z</dcterms:created>
  <dcterms:modified xsi:type="dcterms:W3CDTF">2023-08-11T01:16:20Z</dcterms:modified>
</cp:coreProperties>
</file>