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esktop\"/>
    </mc:Choice>
  </mc:AlternateContent>
  <xr:revisionPtr revIDLastSave="0" documentId="13_ncr:1_{9F714E15-98A1-4706-BB7A-DE189736E0C6}" xr6:coauthVersionLast="47" xr6:coauthVersionMax="47" xr10:uidLastSave="{00000000-0000-0000-0000-000000000000}"/>
  <bookViews>
    <workbookView xWindow="-120" yWindow="-120" windowWidth="29040" windowHeight="15840" xr2:uid="{9402D557-0539-F249-9981-FEF30EBBF85E}"/>
  </bookViews>
  <sheets>
    <sheet name="Storage Techs" sheetId="8" r:id="rId1"/>
    <sheet name="Gravitational" sheetId="9" r:id="rId2"/>
    <sheet name="Generation Techs" sheetId="6" r:id="rId3"/>
  </sheets>
  <externalReferences>
    <externalReference r:id="rId4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1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9" i="8" l="1"/>
  <c r="U19" i="8"/>
  <c r="V18" i="8"/>
  <c r="U18" i="8"/>
  <c r="T19" i="8"/>
  <c r="S19" i="8"/>
  <c r="T18" i="8"/>
  <c r="S18" i="8"/>
  <c r="R19" i="8"/>
  <c r="R18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3" i="8" s="1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3" i="8" s="1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L23" i="8" l="1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<sst xmlns="http://schemas.openxmlformats.org/spreadsheetml/2006/main" count="215" uniqueCount="115">
  <si>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</si>
  <si>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</si>
  <si>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</si>
  <si>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</si>
  <si>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</si>
  <si>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</si>
  <si>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</si>
  <si>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</si>
  <si>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</si>
  <si>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</si>
  <si>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</si>
  <si>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</si>
  <si>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</si>
  <si>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</si>
  <si>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</si>
  <si>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</si>
  <si>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</si>
  <si>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</si>
  <si>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</si>
  <si>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</si>
  <si>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</si>
  <si>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</si>
  <si>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</si>
  <si>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</si>
  <si>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</si>
  <si>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</si>
  <si>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</si>
  <si>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</si>
  <si>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</si>
  <si>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</si>
  <si>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</si>
  <si>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</si>
  <si>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</si>
  <si>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</si>
  <si>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</si>
  <si>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</si>
  <si>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</si>
  <si>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</si>
  <si>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</si>
  <si>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</si>
  <si>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</si>
  <si>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</si>
  <si>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</si>
  <si>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</si>
  <si>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</si>
  <si>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</si>
  <si>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</si>
  <si>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</si>
  <si>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</si>
  <si>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</si>
  <si>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</si>
  <si>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</si>
  <si>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</si>
  <si>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</si>
  <si>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</si>
  <si>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</si>
  <si>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</si>
  <si>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</si>
  <si>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</si>
  <si>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</si>
  <si>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</si>
  <si>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</si>
  <si>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</si>
  <si>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</si>
  <si>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</si>
  <si>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</si>
  <si>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</si>
  <si>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</si>
  <si>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</si>
  <si>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</si>
  <si>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</si>
  <si>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</si>
  <si>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</si>
  <si>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</si>
  <si>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 xml:space="preserve">HDV-PEM | Salt or PGP </t>
  </si>
  <si>
    <t>Hydrogen produced via proton exchange membrane (PEM) electrolyzer is compressed into a salt dome cavern for storage. Power is subsequently generated with a PEM fuel cell designed for heavy duty vehicles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</si>
  <si>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</si>
  <si>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</si>
  <si>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</si>
  <si>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</si>
  <si>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</si>
  <si>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</si>
  <si>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</si>
  <si>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</si>
  <si>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</si>
  <si>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</si>
  <si>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</si>
  <si>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</si>
  <si>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</si>
  <si>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</si>
  <si>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</si>
  <si>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</si>
  <si>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</si>
  <si>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</si>
  <si>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</si>
  <si>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</si>
  <si>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</si>
  <si>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</si>
  <si>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</si>
  <si>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</si>
  <si>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</si>
  <si>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</si>
  <si>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</si>
  <si>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</si>
  <si>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</si>
  <si>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Metal-air batteries, mid value from source taken</t>
  </si>
  <si>
    <t>Fixed O&amp;M (% of capital cost or $/kWh/yr $/kW/yr)</t>
  </si>
  <si>
    <t>73% up, 63% down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</si>
  <si>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</si>
  <si>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</si>
  <si>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</si>
  <si>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</si>
  <si>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</si>
  <si>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</si>
  <si>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r>
      <t xml:space="preserve">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</si>
</sst>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10" fontId="0" fillId="0" borderId="7" xfId="0" applyNumberFormat="1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5" fontId="0" fillId="0" borderId="7" xfId="0" applyNumberFormat="1" applyFont="1" applyFill="1" applyBorder="1" applyAlignment="1">
      <alignment horizontal="center" vertical="center" wrapText="1"/>
    </xf>
    <xf numFmtId="165" fontId="0" fillId="3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1" fontId="0" fillId="0" borderId="7" xfId="0" applyNumberFormat="1" applyFont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2" fontId="0" fillId="3" borderId="7" xfId="0" applyNumberFormat="1" applyFont="1" applyFill="1" applyBorder="1" applyAlignment="1">
      <alignment horizontal="center" vertical="center" wrapText="1"/>
    </xf>
    <xf numFmtId="2" fontId="0" fillId="0" borderId="7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1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2" xfId="0" applyNumberFormat="1" applyFont="1" applyFill="1" applyBorder="1" applyAlignment="1">
      <alignment horizontal="center" vertical="center" wrapText="1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tech-my.sharepoint.com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tabSelected="1" topLeftCell="A8" zoomScale="55" zoomScaleNormal="55" workbookViewId="0">
      <selection activeCell="N30" sqref="N30:O30"/>
    </sheetView>
  </sheetViews>
  <sheetFormatPr defaultColWidth="10.875" defaultRowHeight="15.75" x14ac:dyDescent="0.25"/>
  <cols>
    <col min="1" max="1" width="39.375" style="20" customWidth="1"/>
    <col min="2" max="6" width="13.625" style="20" customWidth="1"/>
    <col min="7" max="15" width="14.625" style="20" customWidth="1"/>
    <col min="16" max="20" width="16" style="20" customWidth="1"/>
    <col min="21" max="23" width="18" style="20" customWidth="1"/>
    <col min="24" max="27" width="17.5" style="20" customWidth="1"/>
    <col min="28" max="16384" width="10.875" style="20"/>
  </cols>
  <sheetData>
    <row r="1" spans="1:29" ht="72.95" customHeight="1" x14ac:dyDescent="0.25">
      <c r="A1" s="8" t="s">
        <v>64</v>
      </c>
    </row>
    <row r="2" spans="1:29" ht="33.950000000000003" customHeight="1" x14ac:dyDescent="0.25">
      <c r="A2" s="8"/>
    </row>
    <row r="3" spans="1:29" ht="59.1" customHeight="1" x14ac:dyDescent="0.25">
      <c r="A3" s="75" t="s">
        <v>58</v>
      </c>
      <c r="B3" s="82" t="s">
        <v>111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21"/>
      <c r="R3" s="21"/>
      <c r="U3" s="75" t="s">
        <v>47</v>
      </c>
      <c r="V3" s="8"/>
      <c r="W3" s="22" t="s">
        <v>48</v>
      </c>
      <c r="X3" s="22"/>
      <c r="Y3" s="22"/>
      <c r="Z3" s="22"/>
      <c r="AA3" s="22"/>
      <c r="AB3" s="22"/>
      <c r="AC3" s="22"/>
    </row>
    <row r="4" spans="1:29" ht="42.95" customHeight="1" x14ac:dyDescent="0.25">
      <c r="A4" s="75"/>
      <c r="B4" s="76" t="s">
        <v>112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23"/>
      <c r="R4" s="23"/>
      <c r="U4" s="75"/>
      <c r="V4" s="8"/>
      <c r="W4" s="22" t="s">
        <v>63</v>
      </c>
    </row>
    <row r="5" spans="1:29" ht="30.95" customHeight="1" x14ac:dyDescent="0.25">
      <c r="A5" s="75"/>
      <c r="B5" s="76" t="s">
        <v>61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23"/>
      <c r="R5" s="23"/>
      <c r="U5" s="75"/>
      <c r="V5" s="8"/>
      <c r="W5" s="22" t="s">
        <v>62</v>
      </c>
    </row>
    <row r="6" spans="1:29" ht="36" customHeight="1" x14ac:dyDescent="0.25">
      <c r="A6" s="8"/>
    </row>
    <row r="7" spans="1:29" ht="54.95" customHeight="1" x14ac:dyDescent="0.25">
      <c r="A7" s="1" t="s">
        <v>113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9" ht="54.95" customHeight="1" x14ac:dyDescent="0.25">
      <c r="A8" s="8" t="s">
        <v>49</v>
      </c>
      <c r="C8" s="56" t="s">
        <v>109</v>
      </c>
      <c r="D8" s="46">
        <v>1.02</v>
      </c>
      <c r="F8" s="56" t="s">
        <v>110</v>
      </c>
      <c r="G8" s="57">
        <f>1/1.01</f>
        <v>0.99009900990099009</v>
      </c>
    </row>
    <row r="9" spans="1:29" ht="24" customHeight="1" x14ac:dyDescent="0.25">
      <c r="A9" s="8"/>
    </row>
    <row r="10" spans="1:29" ht="33" customHeight="1" x14ac:dyDescent="0.25">
      <c r="A10" s="8" t="s">
        <v>12</v>
      </c>
    </row>
    <row r="11" spans="1:29" ht="24" customHeight="1" x14ac:dyDescent="0.25">
      <c r="A11" s="8" t="s">
        <v>4</v>
      </c>
      <c r="B11" s="46">
        <v>7.0000000000000007E-2</v>
      </c>
    </row>
    <row r="12" spans="1:29" ht="24.95" customHeight="1" x14ac:dyDescent="0.25">
      <c r="A12" s="8" t="s">
        <v>6</v>
      </c>
      <c r="B12" s="46">
        <v>8760</v>
      </c>
    </row>
    <row r="13" spans="1:29" ht="24.95" customHeight="1" x14ac:dyDescent="0.25">
      <c r="A13" s="8"/>
    </row>
    <row r="14" spans="1:29" ht="63.6" customHeight="1" x14ac:dyDescent="0.25">
      <c r="A14" s="8" t="s">
        <v>45</v>
      </c>
      <c r="B14" s="80" t="s">
        <v>59</v>
      </c>
      <c r="C14" s="80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25"/>
      <c r="R14" s="25"/>
      <c r="S14" s="77" t="s">
        <v>60</v>
      </c>
      <c r="T14" s="77"/>
      <c r="U14" s="77" t="s">
        <v>114</v>
      </c>
      <c r="V14" s="77"/>
    </row>
    <row r="15" spans="1:29" s="15" customFormat="1" ht="36.6" customHeight="1" x14ac:dyDescent="0.25">
      <c r="A15" s="15" t="s">
        <v>51</v>
      </c>
      <c r="B15" s="88" t="s">
        <v>52</v>
      </c>
      <c r="C15" s="88"/>
      <c r="D15" s="78" t="s">
        <v>53</v>
      </c>
      <c r="E15" s="78"/>
      <c r="F15" s="92" t="s">
        <v>70</v>
      </c>
      <c r="G15" s="92"/>
      <c r="H15" s="92"/>
      <c r="I15" s="91" t="s">
        <v>71</v>
      </c>
      <c r="J15" s="91"/>
      <c r="K15" s="91"/>
      <c r="L15" s="83" t="s">
        <v>73</v>
      </c>
      <c r="M15" s="83"/>
      <c r="N15" s="93" t="s">
        <v>54</v>
      </c>
      <c r="O15" s="93"/>
      <c r="P15" s="84" t="s">
        <v>74</v>
      </c>
      <c r="Q15" s="84"/>
      <c r="R15" s="84"/>
      <c r="S15" s="85" t="s">
        <v>56</v>
      </c>
      <c r="T15" s="85"/>
      <c r="U15" s="90" t="s">
        <v>57</v>
      </c>
      <c r="V15" s="90"/>
    </row>
    <row r="16" spans="1:29" s="24" customFormat="1" ht="126.95" customHeight="1" x14ac:dyDescent="0.25">
      <c r="A16" s="15" t="s">
        <v>55</v>
      </c>
      <c r="B16" s="79" t="s">
        <v>82</v>
      </c>
      <c r="C16" s="79"/>
      <c r="D16" s="79" t="s">
        <v>76</v>
      </c>
      <c r="E16" s="79"/>
      <c r="F16" s="79" t="s">
        <v>80</v>
      </c>
      <c r="G16" s="79"/>
      <c r="H16" s="79"/>
      <c r="I16" s="79" t="s">
        <v>79</v>
      </c>
      <c r="J16" s="79"/>
      <c r="K16" s="79"/>
      <c r="L16" s="79" t="s">
        <v>78</v>
      </c>
      <c r="M16" s="79"/>
      <c r="N16" s="79" t="s">
        <v>77</v>
      </c>
      <c r="O16" s="79"/>
      <c r="P16" s="79" t="s">
        <v>75</v>
      </c>
      <c r="Q16" s="79"/>
      <c r="R16" s="79"/>
      <c r="S16" s="79" t="s">
        <v>108</v>
      </c>
      <c r="T16" s="79"/>
      <c r="U16" s="79" t="s">
        <v>105</v>
      </c>
      <c r="V16" s="79"/>
    </row>
    <row r="17" spans="1:27" s="15" customFormat="1" ht="23.45" customHeight="1" x14ac:dyDescent="0.25">
      <c r="B17" s="45" t="s">
        <v>66</v>
      </c>
      <c r="C17" s="45" t="s">
        <v>67</v>
      </c>
      <c r="D17" s="45" t="s">
        <v>66</v>
      </c>
      <c r="E17" s="45" t="s">
        <v>67</v>
      </c>
      <c r="F17" s="45" t="s">
        <v>68</v>
      </c>
      <c r="G17" s="45" t="s">
        <v>66</v>
      </c>
      <c r="H17" s="45" t="s">
        <v>69</v>
      </c>
      <c r="I17" s="45" t="s">
        <v>68</v>
      </c>
      <c r="J17" s="45" t="s">
        <v>66</v>
      </c>
      <c r="K17" s="45" t="s">
        <v>69</v>
      </c>
      <c r="L17" s="45" t="s">
        <v>66</v>
      </c>
      <c r="M17" s="45" t="s">
        <v>67</v>
      </c>
      <c r="N17" s="45" t="s">
        <v>66</v>
      </c>
      <c r="O17" s="45" t="s">
        <v>67</v>
      </c>
      <c r="P17" s="45" t="s">
        <v>68</v>
      </c>
      <c r="Q17" s="45" t="s">
        <v>66</v>
      </c>
      <c r="R17" s="45" t="s">
        <v>69</v>
      </c>
      <c r="S17" s="45" t="s">
        <v>66</v>
      </c>
      <c r="T17" s="45" t="s">
        <v>67</v>
      </c>
      <c r="U17" s="45" t="s">
        <v>66</v>
      </c>
      <c r="V17" s="45" t="s">
        <v>67</v>
      </c>
    </row>
    <row r="18" spans="1:27" ht="41.45" customHeight="1" x14ac:dyDescent="0.25">
      <c r="A18" s="8" t="s">
        <v>65</v>
      </c>
      <c r="B18" s="46">
        <f>320*_2018_USD_to__2019_USD</f>
        <v>326.39999999999998</v>
      </c>
      <c r="C18" s="46">
        <f>246*_2018_USD_to__2019_USD</f>
        <v>250.92000000000002</v>
      </c>
      <c r="D18" s="46">
        <f>196*_2018_USD_to__2019_USD</f>
        <v>199.92000000000002</v>
      </c>
      <c r="E18" s="46">
        <f>1384*_2018_USD_to__2019_USD</f>
        <v>1411.68</v>
      </c>
      <c r="F18" s="46">
        <f>507*_2018_USD_to__2019_USD</f>
        <v>517.14</v>
      </c>
      <c r="G18" s="46">
        <f>17.5*_2018_USD_to__2019_USD</f>
        <v>17.850000000000001</v>
      </c>
      <c r="H18" s="46">
        <f>759*_2018_USD_to__2019_USD</f>
        <v>774.18000000000006</v>
      </c>
      <c r="I18" s="46">
        <f>507*_2018_USD_to__2019_USD</f>
        <v>517.14</v>
      </c>
      <c r="J18" s="46">
        <f>50.1*_2018_USD_to__2019_USD</f>
        <v>51.102000000000004</v>
      </c>
      <c r="K18" s="46">
        <f>759*_2018_USD_to__2019_USD</f>
        <v>774.18000000000006</v>
      </c>
      <c r="L18" s="46">
        <f>103.1*_2018_USD_to__2019_USD</f>
        <v>105.16199999999999</v>
      </c>
      <c r="M18" s="46">
        <f>1612*_2018_USD_to__2019_USD</f>
        <v>1644.24</v>
      </c>
      <c r="N18" s="46">
        <f>37.1*_2018_USD_to__2019_USD</f>
        <v>37.841999999999999</v>
      </c>
      <c r="O18" s="46">
        <f>1670*_2018_USD_to__2019_USD</f>
        <v>1703.4</v>
      </c>
      <c r="P18" s="46">
        <f>1673*_2018_USD_to__2019_USD</f>
        <v>1706.46</v>
      </c>
      <c r="Q18" s="46">
        <f>1.96*_2018_USD_to__2019_USD</f>
        <v>1.9992000000000001</v>
      </c>
      <c r="R18" s="46">
        <f>464*_2018_USD_to__2019_USD</f>
        <v>473.28000000000003</v>
      </c>
      <c r="S18" s="47">
        <f>117.799750288129*_2020_USD_to__2019_USD</f>
        <v>116.6334161268604</v>
      </c>
      <c r="T18" s="47">
        <f>1430.07299270073*_2020_USD_to__2019_USD</f>
        <v>1415.9138541591387</v>
      </c>
      <c r="U18" s="46">
        <f>2.4*_2018_USD_to__2019_USD</f>
        <v>2.448</v>
      </c>
      <c r="V18" s="46">
        <f>643*_2018_USD_to__2019_USD</f>
        <v>655.86</v>
      </c>
    </row>
    <row r="19" spans="1:27" ht="30.95" customHeight="1" x14ac:dyDescent="0.25">
      <c r="A19" s="20" t="s">
        <v>106</v>
      </c>
      <c r="B19" s="48">
        <v>4.24E-2</v>
      </c>
      <c r="C19" s="46">
        <f>8.3*_2018_USD_to__2019_USD</f>
        <v>8.4660000000000011</v>
      </c>
      <c r="D19" s="48">
        <v>1.4999999999999999E-2</v>
      </c>
      <c r="E19" s="46">
        <f>8.26*_2018_USD_to__2019_USD</f>
        <v>8.4252000000000002</v>
      </c>
      <c r="F19" s="46">
        <f>13.54*_2018_USD_to__2019_USD</f>
        <v>13.810799999999999</v>
      </c>
      <c r="G19" s="48">
        <v>1.4999999999999999E-2</v>
      </c>
      <c r="H19" s="46">
        <f>13.54*_2018_USD_to__2019_USD</f>
        <v>13.810799999999999</v>
      </c>
      <c r="I19" s="46">
        <f>13.54*_2018_USD_to__2019_USD</f>
        <v>13.810799999999999</v>
      </c>
      <c r="J19" s="48">
        <v>1.4999999999999999E-2</v>
      </c>
      <c r="K19" s="46">
        <f>13.54*_2018_USD_to__2019_USD</f>
        <v>13.810799999999999</v>
      </c>
      <c r="L19" s="48">
        <v>1.4999999999999999E-2</v>
      </c>
      <c r="M19" s="46">
        <f>12.5*_2018_USD_to__2019_USD</f>
        <v>12.75</v>
      </c>
      <c r="N19" s="48">
        <v>1.4999999999999999E-2</v>
      </c>
      <c r="O19" s="46">
        <f>13.6*_2018_USD_to__2019_USD</f>
        <v>13.872</v>
      </c>
      <c r="P19" s="46">
        <f>12.8*_2018_USD_to__2019_USD</f>
        <v>13.056000000000001</v>
      </c>
      <c r="Q19" s="48">
        <v>1.4999999999999999E-2</v>
      </c>
      <c r="R19" s="46">
        <f>12.8*_2018_USD_to__2019_USD</f>
        <v>13.056000000000001</v>
      </c>
      <c r="S19" s="47">
        <f>0.581989051094891*_2020_USD_to__2019_USD</f>
        <v>0.57622678326226828</v>
      </c>
      <c r="T19" s="47">
        <f>11.9512773722628*_2020_USD_to__2019_USD</f>
        <v>11.832947893329504</v>
      </c>
      <c r="U19" s="46">
        <f>0.1*_2018_USD_to__2019_USD</f>
        <v>0.10200000000000001</v>
      </c>
      <c r="V19" s="46">
        <f>16.1*_2018_USD_to__2019_USD</f>
        <v>16.422000000000001</v>
      </c>
    </row>
    <row r="20" spans="1:27" ht="44.1" customHeight="1" x14ac:dyDescent="0.25">
      <c r="A20" s="20" t="s">
        <v>83</v>
      </c>
      <c r="B20" s="46" t="s">
        <v>81</v>
      </c>
      <c r="C20" s="48">
        <v>1.4999999999999999E-2</v>
      </c>
      <c r="D20" s="46" t="s">
        <v>81</v>
      </c>
      <c r="E20" s="48">
        <v>1.4999999999999999E-2</v>
      </c>
      <c r="F20" s="48">
        <v>1.4999999999999999E-2</v>
      </c>
      <c r="G20" s="46" t="s">
        <v>81</v>
      </c>
      <c r="H20" s="48">
        <v>1.4999999999999999E-2</v>
      </c>
      <c r="I20" s="48">
        <v>1.4999999999999999E-2</v>
      </c>
      <c r="J20" s="46" t="s">
        <v>81</v>
      </c>
      <c r="K20" s="48">
        <v>1.4999999999999999E-2</v>
      </c>
      <c r="L20" s="46" t="s">
        <v>81</v>
      </c>
      <c r="M20" s="48">
        <v>1.4999999999999999E-2</v>
      </c>
      <c r="N20" s="46" t="s">
        <v>81</v>
      </c>
      <c r="O20" s="48">
        <v>1.4999999999999999E-2</v>
      </c>
      <c r="P20" s="48">
        <v>1.4999999999999999E-2</v>
      </c>
      <c r="Q20" s="46" t="s">
        <v>81</v>
      </c>
      <c r="R20" s="48">
        <v>1.4999999999999999E-2</v>
      </c>
      <c r="S20" s="46" t="s">
        <v>81</v>
      </c>
      <c r="T20" s="46" t="s">
        <v>81</v>
      </c>
      <c r="U20" s="46" t="s">
        <v>81</v>
      </c>
      <c r="V20" s="46" t="s">
        <v>81</v>
      </c>
    </row>
    <row r="21" spans="1:27" ht="30.95" customHeight="1" x14ac:dyDescent="0.25">
      <c r="A21" s="20" t="s">
        <v>72</v>
      </c>
      <c r="B21" s="46">
        <v>30</v>
      </c>
      <c r="C21" s="46">
        <v>30</v>
      </c>
      <c r="D21" s="46">
        <v>30</v>
      </c>
      <c r="E21" s="46">
        <v>30</v>
      </c>
      <c r="F21" s="46">
        <v>30</v>
      </c>
      <c r="G21" s="46">
        <v>30</v>
      </c>
      <c r="H21" s="46">
        <v>30</v>
      </c>
      <c r="I21" s="46">
        <v>30</v>
      </c>
      <c r="J21" s="46">
        <v>30</v>
      </c>
      <c r="K21" s="46">
        <v>30</v>
      </c>
      <c r="L21" s="46">
        <v>30</v>
      </c>
      <c r="M21" s="46">
        <v>30</v>
      </c>
      <c r="N21" s="46">
        <v>30</v>
      </c>
      <c r="O21" s="46">
        <v>30</v>
      </c>
      <c r="P21" s="46">
        <v>30</v>
      </c>
      <c r="Q21" s="46">
        <v>30</v>
      </c>
      <c r="R21" s="46">
        <v>30</v>
      </c>
      <c r="S21" s="46">
        <v>49</v>
      </c>
      <c r="T21" s="46">
        <v>49</v>
      </c>
      <c r="U21" s="46">
        <v>30</v>
      </c>
      <c r="V21" s="46">
        <v>30</v>
      </c>
    </row>
    <row r="22" spans="1:27" ht="30.95" customHeight="1" x14ac:dyDescent="0.25">
      <c r="A22" s="20" t="s">
        <v>86</v>
      </c>
      <c r="B22" s="49">
        <f t="shared" ref="B22:R22" si="0">Discount_rate*(1+Discount_rate)^B21/((1+Discount_rate)^B21-1)</f>
        <v>8.0586403511111196E-2</v>
      </c>
      <c r="C22" s="49">
        <f t="shared" si="0"/>
        <v>8.0586403511111196E-2</v>
      </c>
      <c r="D22" s="49">
        <f t="shared" ref="D22" si="1">Discount_rate*(1+Discount_rate)^D21/((1+Discount_rate)^D21-1)</f>
        <v>8.0586403511111196E-2</v>
      </c>
      <c r="E22" s="49">
        <f t="shared" si="0"/>
        <v>8.0586403511111196E-2</v>
      </c>
      <c r="F22" s="49">
        <f t="shared" si="0"/>
        <v>8.0586403511111196E-2</v>
      </c>
      <c r="G22" s="49">
        <f t="shared" ref="G22" si="2">Discount_rate*(1+Discount_rate)^G21/((1+Discount_rate)^G21-1)</f>
        <v>8.0586403511111196E-2</v>
      </c>
      <c r="H22" s="49">
        <f t="shared" si="0"/>
        <v>8.0586403511111196E-2</v>
      </c>
      <c r="I22" s="49">
        <f t="shared" si="0"/>
        <v>8.0586403511111196E-2</v>
      </c>
      <c r="J22" s="49">
        <f t="shared" ref="J22" si="3">Discount_rate*(1+Discount_rate)^J21/((1+Discount_rate)^J21-1)</f>
        <v>8.0586403511111196E-2</v>
      </c>
      <c r="K22" s="49">
        <f t="shared" si="0"/>
        <v>8.0586403511111196E-2</v>
      </c>
      <c r="L22" s="49">
        <f t="shared" si="0"/>
        <v>8.0586403511111196E-2</v>
      </c>
      <c r="M22" s="49">
        <f t="shared" si="0"/>
        <v>8.0586403511111196E-2</v>
      </c>
      <c r="N22" s="49">
        <f t="shared" si="0"/>
        <v>8.0586403511111196E-2</v>
      </c>
      <c r="O22" s="49">
        <f t="shared" si="0"/>
        <v>8.0586403511111196E-2</v>
      </c>
      <c r="P22" s="49">
        <f t="shared" si="0"/>
        <v>8.0586403511111196E-2</v>
      </c>
      <c r="Q22" s="49">
        <f t="shared" si="0"/>
        <v>8.0586403511111196E-2</v>
      </c>
      <c r="R22" s="49">
        <f t="shared" si="0"/>
        <v>8.0586403511111196E-2</v>
      </c>
      <c r="S22" s="49">
        <f>(Discount_rate*(1+Discount_rate)^S21)/(((1+Discount_rate)^S21)-1)</f>
        <v>7.2638529392692081E-2</v>
      </c>
      <c r="T22" s="49">
        <f>(Discount_rate*(1+Discount_rate)^T21)/(((1+Discount_rate)^T21)-1)</f>
        <v>7.2638529392692081E-2</v>
      </c>
      <c r="U22" s="49">
        <f t="shared" ref="U22:V22" si="4">Discount_rate*(1+Discount_rate)^U21/((1+Discount_rate)^U21-1)</f>
        <v>8.0586403511111196E-2</v>
      </c>
      <c r="V22" s="49">
        <f t="shared" si="4"/>
        <v>8.0586403511111196E-2</v>
      </c>
      <c r="W22" s="11"/>
      <c r="X22" s="11"/>
      <c r="Y22" s="11"/>
      <c r="Z22" s="11"/>
      <c r="AA22" s="11"/>
    </row>
    <row r="23" spans="1:27" ht="30.95" customHeight="1" x14ac:dyDescent="0.25">
      <c r="A23" s="20" t="s">
        <v>84</v>
      </c>
      <c r="B23" s="50">
        <f>((B18+ B19*B18)*B22)</f>
        <v>27.418666355322223</v>
      </c>
      <c r="C23" s="50">
        <f>((C18+ C20*C18)*C22)+C19</f>
        <v>28.990051474543144</v>
      </c>
      <c r="D23" s="50">
        <f>((D18+ D19*D18)*D22)</f>
        <v>16.35249629679047</v>
      </c>
      <c r="E23" s="50">
        <f>((E18+ E20*E18)*E22)+E19</f>
        <v>123.89384732019394</v>
      </c>
      <c r="F23" s="50">
        <f>((F18+ F20*F18)*F22)+F19</f>
        <v>56.110369502412084</v>
      </c>
      <c r="G23" s="50">
        <f>((G18+ G19*G18)*G22)</f>
        <v>1.460044312213435</v>
      </c>
      <c r="H23" s="50">
        <f>((H18+ H20*H18)*H22)+H19</f>
        <v>77.135007598285554</v>
      </c>
      <c r="I23" s="50">
        <f>((I18+ I20*I18)*I22)+I19</f>
        <v>56.110369502412084</v>
      </c>
      <c r="J23" s="50">
        <f>((J18+ J19*J18)*J22)</f>
        <v>4.179898288108177</v>
      </c>
      <c r="K23" s="50">
        <f>((K18+ K20*K18)*K22)+K19</f>
        <v>77.135007598285554</v>
      </c>
      <c r="L23" s="50">
        <f>((L18+ L19*L18)*L22)</f>
        <v>8.6017467765260083</v>
      </c>
      <c r="M23" s="50">
        <f>((M18+ M20*M18)*M22)+M19</f>
        <v>147.24093893074613</v>
      </c>
      <c r="N23" s="50">
        <f>((N18+ N19*N18)*N22)</f>
        <v>3.0952939418924821</v>
      </c>
      <c r="O23" s="50">
        <f>((O18+ O20*O18)*O22)+O19</f>
        <v>153.20194293693919</v>
      </c>
      <c r="P23" s="50">
        <f>((P18+ P20*P18)*P22)+P19</f>
        <v>152.63623624760439</v>
      </c>
      <c r="Q23" s="50">
        <f>((Q18+ Q19*Q18)*Q22)</f>
        <v>0.1635249629679047</v>
      </c>
      <c r="R23" s="50">
        <f>((R18+ R20*R18)*R22)+R19</f>
        <v>51.768032049544786</v>
      </c>
      <c r="S23" s="50">
        <f>S18*S22+S19</f>
        <v>9.0483066087633031</v>
      </c>
      <c r="T23" s="50">
        <f>T18*T22+T19</f>
        <v>114.68284800618802</v>
      </c>
      <c r="U23" s="50">
        <f>U18*U22+U19</f>
        <v>0.29927551579520018</v>
      </c>
      <c r="V23" s="50">
        <f>V18*V22+V19</f>
        <v>69.275398606797395</v>
      </c>
      <c r="W23" s="24"/>
      <c r="X23" s="24"/>
      <c r="Y23" s="24"/>
      <c r="Z23" s="24"/>
      <c r="AA23" s="24"/>
    </row>
    <row r="24" spans="1:27" ht="30.95" customHeight="1" x14ac:dyDescent="0.25">
      <c r="A24" s="20" t="s">
        <v>85</v>
      </c>
      <c r="B24" s="50">
        <f>B23/HOURS_PER_YEAR</f>
        <v>3.1299847437582448E-3</v>
      </c>
      <c r="C24" s="50">
        <f>C23/'Storage Techs'!HOURS_PER_YEAR</f>
        <v>3.3093666066830074E-3</v>
      </c>
      <c r="D24" s="51">
        <f>D23/HOURS_PER_YEAR</f>
        <v>1.8667233215514235E-3</v>
      </c>
      <c r="E24" s="51">
        <f>E23/'Storage Techs'!HOURS_PER_YEAR</f>
        <v>1.4143133255729901E-2</v>
      </c>
      <c r="F24" s="51">
        <f>F23/'Storage Techs'!HOURS_PER_YEAR</f>
        <v>6.4052933221931604E-3</v>
      </c>
      <c r="G24" s="51">
        <f>G23/HOURS_PER_YEAR</f>
        <v>1.6667172513851997E-4</v>
      </c>
      <c r="H24" s="51">
        <f>H23/'Storage Techs'!HOURS_PER_YEAR</f>
        <v>8.8053661641878493E-3</v>
      </c>
      <c r="I24" s="51">
        <f>I23/'Storage Techs'!HOURS_PER_YEAR</f>
        <v>6.4052933221931604E-3</v>
      </c>
      <c r="J24" s="51">
        <f>J23/HOURS_PER_YEAR</f>
        <v>4.7715733882513437E-4</v>
      </c>
      <c r="K24" s="51">
        <f>K23/'Storage Techs'!HOURS_PER_YEAR</f>
        <v>8.8053661641878493E-3</v>
      </c>
      <c r="L24" s="51">
        <f>L23/HOURS_PER_YEAR</f>
        <v>9.8193456353036631E-4</v>
      </c>
      <c r="M24" s="51">
        <f>M23/'Storage Techs'!HOURS_PER_YEAR</f>
        <v>1.680832636195732E-2</v>
      </c>
      <c r="N24" s="51">
        <f>N23/HOURS_PER_YEAR</f>
        <v>3.5334405729366234E-4</v>
      </c>
      <c r="O24" s="51">
        <f>O23/'Storage Techs'!HOURS_PER_YEAR</f>
        <v>1.7488806271340092E-2</v>
      </c>
      <c r="P24" s="51">
        <f>P23/'Storage Techs'!HOURS_PER_YEAR</f>
        <v>1.742422788214662E-2</v>
      </c>
      <c r="Q24" s="51">
        <f>Q23/HOURS_PER_YEAR</f>
        <v>1.8667233215514235E-5</v>
      </c>
      <c r="R24" s="51">
        <f>R23/'Storage Techs'!HOURS_PER_YEAR</f>
        <v>5.9095926997197248E-3</v>
      </c>
      <c r="S24" s="51">
        <f>S23/'Storage Techs'!HOURS_PER_YEAR</f>
        <v>1.0329117133291441E-3</v>
      </c>
      <c r="T24" s="51">
        <f>T23/'Storage Techs'!HOURS_PER_YEAR</f>
        <v>1.3091649315774889E-2</v>
      </c>
      <c r="U24" s="51">
        <f>U23/'Storage Techs'!HOURS_PER_YEAR</f>
        <v>3.4163871666118738E-5</v>
      </c>
      <c r="V24" s="51">
        <f>V23/'Storage Techs'!HOURS_PER_YEAR</f>
        <v>7.9081505258901136E-3</v>
      </c>
      <c r="W24" s="24"/>
      <c r="X24" s="24"/>
      <c r="Y24" s="24"/>
      <c r="Z24" s="24"/>
      <c r="AA24" s="24"/>
    </row>
    <row r="25" spans="1:27" s="24" customFormat="1" ht="30.95" customHeight="1" x14ac:dyDescent="0.25">
      <c r="A25" s="24" t="s">
        <v>87</v>
      </c>
      <c r="B25" s="89">
        <f>B24+C24/4</f>
        <v>3.9573263954289966E-3</v>
      </c>
      <c r="C25" s="89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7" ht="30.95" customHeight="1" x14ac:dyDescent="0.25">
      <c r="A26" s="20" t="s">
        <v>0</v>
      </c>
      <c r="B26" s="46" t="s">
        <v>81</v>
      </c>
      <c r="C26" s="53">
        <v>3.0999999999999999E-3</v>
      </c>
      <c r="D26" s="53" t="s">
        <v>81</v>
      </c>
      <c r="E26" s="53">
        <v>2.6890000000000001E-2</v>
      </c>
      <c r="F26" s="53">
        <v>0</v>
      </c>
      <c r="G26" s="54" t="s">
        <v>81</v>
      </c>
      <c r="H26" s="54">
        <v>3.3E-3</v>
      </c>
      <c r="I26" s="54">
        <v>0</v>
      </c>
      <c r="J26" s="54" t="s">
        <v>81</v>
      </c>
      <c r="K26" s="54">
        <v>3.3E-3</v>
      </c>
      <c r="L26" s="54" t="s">
        <v>81</v>
      </c>
      <c r="M26" s="54">
        <v>2.9999999999999997E-4</v>
      </c>
      <c r="N26" s="54" t="s">
        <v>81</v>
      </c>
      <c r="O26" s="54">
        <v>3.3E-3</v>
      </c>
      <c r="P26" s="54">
        <v>1.2999999999999999E-3</v>
      </c>
      <c r="Q26" s="54" t="s">
        <v>81</v>
      </c>
      <c r="R26" s="54">
        <v>2.8E-3</v>
      </c>
      <c r="S26" s="54" t="s">
        <v>81</v>
      </c>
      <c r="T26" s="54">
        <v>0.51249999999999996</v>
      </c>
      <c r="U26" s="53" t="s">
        <v>81</v>
      </c>
      <c r="V26" s="53">
        <v>0</v>
      </c>
    </row>
    <row r="27" spans="1:27" ht="30.95" customHeight="1" x14ac:dyDescent="0.25">
      <c r="A27" s="20" t="s">
        <v>102</v>
      </c>
      <c r="B27" s="46" t="s">
        <v>81</v>
      </c>
      <c r="C27" s="53">
        <f>C26/1000</f>
        <v>3.1E-6</v>
      </c>
      <c r="D27" s="53" t="s">
        <v>81</v>
      </c>
      <c r="E27" s="53">
        <f>E26/1000</f>
        <v>2.6890000000000002E-5</v>
      </c>
      <c r="F27" s="53">
        <f>F26/1000</f>
        <v>0</v>
      </c>
      <c r="G27" s="54" t="s">
        <v>81</v>
      </c>
      <c r="H27" s="53">
        <f>H26/1000</f>
        <v>3.3000000000000002E-6</v>
      </c>
      <c r="I27" s="53">
        <f>I26/1000</f>
        <v>0</v>
      </c>
      <c r="J27" s="54" t="s">
        <v>81</v>
      </c>
      <c r="K27" s="53">
        <f>K26/1000</f>
        <v>3.3000000000000002E-6</v>
      </c>
      <c r="L27" s="54" t="s">
        <v>81</v>
      </c>
      <c r="M27" s="53">
        <f>M26/1000</f>
        <v>2.9999999999999999E-7</v>
      </c>
      <c r="N27" s="54" t="s">
        <v>81</v>
      </c>
      <c r="O27" s="53">
        <f>O26/1000</f>
        <v>3.3000000000000002E-6</v>
      </c>
      <c r="P27" s="53">
        <f>P26/1000</f>
        <v>1.2999999999999998E-6</v>
      </c>
      <c r="Q27" s="54" t="s">
        <v>81</v>
      </c>
      <c r="R27" s="53">
        <f>R26/1000</f>
        <v>2.7999999999999999E-6</v>
      </c>
      <c r="S27" s="54" t="s">
        <v>81</v>
      </c>
      <c r="T27" s="53">
        <f>T26/1000</f>
        <v>5.1249999999999993E-4</v>
      </c>
      <c r="U27" s="53" t="s">
        <v>81</v>
      </c>
      <c r="V27" s="53">
        <f>V26/1000</f>
        <v>0</v>
      </c>
    </row>
    <row r="28" spans="1:27" ht="24.95" customHeight="1" x14ac:dyDescent="0.25">
      <c r="A28" s="20" t="s">
        <v>21</v>
      </c>
      <c r="B28" s="46" t="s">
        <v>81</v>
      </c>
      <c r="C28" s="46" t="s">
        <v>81</v>
      </c>
      <c r="D28" s="46" t="s">
        <v>81</v>
      </c>
      <c r="E28" s="46" t="s">
        <v>81</v>
      </c>
      <c r="F28" s="46" t="s">
        <v>81</v>
      </c>
      <c r="G28" s="52" t="s">
        <v>81</v>
      </c>
      <c r="H28" s="52" t="s">
        <v>81</v>
      </c>
      <c r="I28" s="52" t="s">
        <v>81</v>
      </c>
      <c r="J28" s="52" t="s">
        <v>81</v>
      </c>
      <c r="K28" s="52" t="s">
        <v>81</v>
      </c>
      <c r="L28" s="52" t="s">
        <v>81</v>
      </c>
      <c r="M28" s="52" t="s">
        <v>81</v>
      </c>
      <c r="N28" s="52">
        <f>1.5%/24</f>
        <v>6.2500000000000001E-4</v>
      </c>
      <c r="O28" s="52" t="s">
        <v>81</v>
      </c>
      <c r="P28" s="52" t="s">
        <v>81</v>
      </c>
      <c r="Q28" s="52">
        <f>0.1%/24</f>
        <v>4.1666666666666665E-5</v>
      </c>
      <c r="R28" s="52" t="s">
        <v>81</v>
      </c>
      <c r="S28" s="52" t="s">
        <v>81</v>
      </c>
      <c r="T28" s="52" t="s">
        <v>81</v>
      </c>
      <c r="U28" s="46" t="s">
        <v>81</v>
      </c>
      <c r="V28" s="46" t="s">
        <v>81</v>
      </c>
    </row>
    <row r="29" spans="1:27" ht="24.95" customHeight="1" x14ac:dyDescent="0.25">
      <c r="A29" s="20" t="s">
        <v>103</v>
      </c>
      <c r="B29" s="46" t="s">
        <v>81</v>
      </c>
      <c r="C29" s="46" t="s">
        <v>81</v>
      </c>
      <c r="D29" s="46" t="s">
        <v>81</v>
      </c>
      <c r="E29" s="46" t="s">
        <v>81</v>
      </c>
      <c r="F29" s="46" t="s">
        <v>81</v>
      </c>
      <c r="G29" s="52" t="s">
        <v>81</v>
      </c>
      <c r="H29" s="52" t="s">
        <v>81</v>
      </c>
      <c r="I29" s="52" t="s">
        <v>81</v>
      </c>
      <c r="J29" s="52" t="s">
        <v>81</v>
      </c>
      <c r="K29" s="52" t="s">
        <v>81</v>
      </c>
      <c r="L29" s="52" t="s">
        <v>81</v>
      </c>
      <c r="M29" s="52" t="s">
        <v>81</v>
      </c>
      <c r="N29" s="52" t="s">
        <v>81</v>
      </c>
      <c r="O29" s="52" t="s">
        <v>81</v>
      </c>
      <c r="P29" s="55">
        <v>0.5</v>
      </c>
      <c r="Q29" s="52" t="s">
        <v>81</v>
      </c>
      <c r="R29" s="55">
        <v>0.71</v>
      </c>
      <c r="S29" s="52" t="s">
        <v>81</v>
      </c>
      <c r="T29" s="52" t="s">
        <v>81</v>
      </c>
      <c r="U29" s="46" t="s">
        <v>81</v>
      </c>
      <c r="V29" s="46" t="s">
        <v>107</v>
      </c>
    </row>
    <row r="30" spans="1:27" ht="23.1" customHeight="1" x14ac:dyDescent="0.25">
      <c r="A30" s="20" t="s">
        <v>104</v>
      </c>
      <c r="B30" s="86">
        <v>0.86</v>
      </c>
      <c r="C30" s="87"/>
      <c r="D30" s="86">
        <v>0.75</v>
      </c>
      <c r="E30" s="87"/>
      <c r="F30" s="86">
        <v>0.55000000000000004</v>
      </c>
      <c r="G30" s="87"/>
      <c r="H30" s="87"/>
      <c r="I30" s="94">
        <v>0.65</v>
      </c>
      <c r="J30" s="95"/>
      <c r="K30" s="95"/>
      <c r="L30" s="94">
        <v>0.81</v>
      </c>
      <c r="M30" s="95"/>
      <c r="N30" s="98">
        <v>0.52</v>
      </c>
      <c r="O30" s="99"/>
      <c r="P30" s="94">
        <v>0.36</v>
      </c>
      <c r="Q30" s="95"/>
      <c r="R30" s="95"/>
      <c r="S30" s="94">
        <v>0.84</v>
      </c>
      <c r="T30" s="95"/>
      <c r="U30" s="86">
        <v>0.46</v>
      </c>
      <c r="V30" s="87"/>
    </row>
    <row r="31" spans="1:27" s="27" customFormat="1" ht="144" customHeight="1" x14ac:dyDescent="0.25">
      <c r="A31" s="27" t="s">
        <v>30</v>
      </c>
    </row>
    <row r="32" spans="1:27" ht="48" customHeight="1" x14ac:dyDescent="0.25"/>
    <row r="33" s="20" customFormat="1" ht="17.100000000000001" customHeight="1" x14ac:dyDescent="0.25"/>
  </sheetData>
  <mergeCells count="36">
    <mergeCell ref="I30:K30"/>
    <mergeCell ref="L30:M30"/>
    <mergeCell ref="N30:O30"/>
    <mergeCell ref="P30:R30"/>
    <mergeCell ref="S30:T30"/>
    <mergeCell ref="S15:T15"/>
    <mergeCell ref="S16:T16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F15:H15"/>
    <mergeCell ref="D15:E15"/>
    <mergeCell ref="D16:E16"/>
    <mergeCell ref="B14:P14"/>
    <mergeCell ref="B3:P3"/>
    <mergeCell ref="B4:P4"/>
    <mergeCell ref="L15:M15"/>
    <mergeCell ref="P16:R16"/>
    <mergeCell ref="P15:R15"/>
    <mergeCell ref="N15:O15"/>
    <mergeCell ref="L16:M16"/>
    <mergeCell ref="A3:A5"/>
    <mergeCell ref="U3:U5"/>
    <mergeCell ref="B5:P5"/>
    <mergeCell ref="S14:T14"/>
    <mergeCell ref="U14:V14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defaultColWidth="8.625" defaultRowHeight="15" x14ac:dyDescent="0.25"/>
  <cols>
    <col min="1" max="7" width="13" style="18" customWidth="1"/>
    <col min="8" max="16384" width="8.625" style="18"/>
  </cols>
  <sheetData>
    <row r="1" spans="1:7" x14ac:dyDescent="0.25">
      <c r="A1" s="16" t="s">
        <v>45</v>
      </c>
      <c r="B1" s="17" t="s">
        <v>88</v>
      </c>
    </row>
    <row r="2" spans="1:7" x14ac:dyDescent="0.25">
      <c r="A2" s="16" t="s">
        <v>47</v>
      </c>
      <c r="B2" s="19" t="s">
        <v>89</v>
      </c>
    </row>
    <row r="4" spans="1:7" x14ac:dyDescent="0.25">
      <c r="A4" s="18" t="s">
        <v>90</v>
      </c>
    </row>
    <row r="6" spans="1:7" x14ac:dyDescent="0.25">
      <c r="A6" s="18" t="s">
        <v>91</v>
      </c>
    </row>
    <row r="14" spans="1:7" ht="15.75" x14ac:dyDescent="0.25">
      <c r="A14" s="28"/>
      <c r="B14" s="96" t="s">
        <v>92</v>
      </c>
      <c r="C14" s="97"/>
      <c r="D14" s="96" t="s">
        <v>93</v>
      </c>
      <c r="E14" s="97"/>
      <c r="F14" s="96" t="s">
        <v>94</v>
      </c>
      <c r="G14" s="97"/>
    </row>
    <row r="15" spans="1:7" ht="47.25" x14ac:dyDescent="0.25">
      <c r="A15" s="29" t="s">
        <v>95</v>
      </c>
      <c r="B15" s="30" t="s">
        <v>96</v>
      </c>
      <c r="C15" s="31" t="s">
        <v>97</v>
      </c>
      <c r="D15" s="30" t="s">
        <v>96</v>
      </c>
      <c r="E15" s="31" t="s">
        <v>97</v>
      </c>
      <c r="F15" s="30" t="s">
        <v>96</v>
      </c>
      <c r="G15" s="31" t="s">
        <v>97</v>
      </c>
    </row>
    <row r="16" spans="1:7" ht="15.75" x14ac:dyDescent="0.25">
      <c r="A16" s="32">
        <v>2</v>
      </c>
      <c r="B16" s="33">
        <v>922</v>
      </c>
      <c r="C16" s="34">
        <v>8.15</v>
      </c>
      <c r="D16" s="33">
        <v>1326</v>
      </c>
      <c r="E16" s="34">
        <v>13.12</v>
      </c>
      <c r="F16" s="33">
        <v>1863</v>
      </c>
      <c r="G16" s="34">
        <v>15.6</v>
      </c>
    </row>
    <row r="17" spans="1:7" ht="15.75" x14ac:dyDescent="0.25">
      <c r="A17" s="32">
        <v>4</v>
      </c>
      <c r="B17" s="33">
        <v>1341</v>
      </c>
      <c r="C17" s="35">
        <v>11.64</v>
      </c>
      <c r="D17" s="32">
        <v>1706</v>
      </c>
      <c r="E17" s="35">
        <v>14.28</v>
      </c>
      <c r="F17" s="33">
        <v>2253</v>
      </c>
      <c r="G17" s="35">
        <v>15.6</v>
      </c>
    </row>
    <row r="18" spans="1:7" ht="15.75" x14ac:dyDescent="0.25">
      <c r="A18" s="32">
        <v>6</v>
      </c>
      <c r="B18" s="33">
        <v>1726</v>
      </c>
      <c r="C18" s="35">
        <v>15.13</v>
      </c>
      <c r="D18" s="32">
        <v>2045</v>
      </c>
      <c r="E18" s="35">
        <v>15.44</v>
      </c>
      <c r="F18" s="33">
        <v>2583</v>
      </c>
      <c r="G18" s="35">
        <v>15.6</v>
      </c>
    </row>
    <row r="19" spans="1:7" ht="15.75" x14ac:dyDescent="0.25">
      <c r="A19" s="32">
        <v>8</v>
      </c>
      <c r="B19" s="33">
        <v>1972</v>
      </c>
      <c r="C19" s="35">
        <v>15.6</v>
      </c>
      <c r="D19" s="32">
        <v>2362</v>
      </c>
      <c r="E19" s="35">
        <v>16.61</v>
      </c>
      <c r="F19" s="33">
        <v>2879</v>
      </c>
      <c r="G19" s="35">
        <v>18.62</v>
      </c>
    </row>
    <row r="20" spans="1:7" ht="15.75" x14ac:dyDescent="0.25">
      <c r="A20" s="32">
        <v>10</v>
      </c>
      <c r="B20" s="33">
        <v>2185</v>
      </c>
      <c r="C20" s="35">
        <v>15.6</v>
      </c>
      <c r="D20" s="32">
        <v>2664</v>
      </c>
      <c r="E20" s="35">
        <v>17.77</v>
      </c>
      <c r="F20" s="33">
        <v>3236</v>
      </c>
      <c r="G20" s="35">
        <v>22.12</v>
      </c>
    </row>
    <row r="21" spans="1:7" ht="15.75" x14ac:dyDescent="0.25">
      <c r="A21" s="32">
        <v>24</v>
      </c>
      <c r="B21" s="33">
        <v>3318</v>
      </c>
      <c r="C21" s="35">
        <v>15.6</v>
      </c>
      <c r="D21" s="32">
        <v>4564</v>
      </c>
      <c r="E21" s="35">
        <v>25.92</v>
      </c>
      <c r="F21" s="33">
        <v>6137</v>
      </c>
      <c r="G21" s="35">
        <v>46.56</v>
      </c>
    </row>
    <row r="22" spans="1:7" ht="15.75" x14ac:dyDescent="0.25">
      <c r="A22" s="32">
        <v>100</v>
      </c>
      <c r="B22" s="33">
        <v>6776</v>
      </c>
      <c r="C22" s="35">
        <v>15.6</v>
      </c>
      <c r="D22" s="32">
        <v>13145</v>
      </c>
      <c r="E22" s="35">
        <v>70.150000000000006</v>
      </c>
      <c r="F22" s="33">
        <v>22060</v>
      </c>
      <c r="G22" s="35">
        <v>179.26</v>
      </c>
    </row>
    <row r="23" spans="1:7" ht="15.75" x14ac:dyDescent="0.25">
      <c r="A23" s="36"/>
      <c r="B23" s="37" t="s">
        <v>98</v>
      </c>
      <c r="C23" s="38" t="s">
        <v>99</v>
      </c>
      <c r="D23" s="37" t="s">
        <v>98</v>
      </c>
      <c r="E23" s="38" t="s">
        <v>99</v>
      </c>
      <c r="F23" s="37" t="s">
        <v>98</v>
      </c>
      <c r="G23" s="38" t="s">
        <v>99</v>
      </c>
    </row>
    <row r="24" spans="1:7" ht="63" x14ac:dyDescent="0.25">
      <c r="A24" s="30" t="s">
        <v>100</v>
      </c>
      <c r="B24" s="39" cm="1">
        <f t="array" ref="B24:C24">LINEST(B17:B22,$A$17:$A$22)</f>
        <v>53.571167883211665</v>
      </c>
      <c r="C24" s="40">
        <v>1529.1970802919714</v>
      </c>
      <c r="D24" s="39" cm="1">
        <f t="array" ref="D24:E24">LINEST(D17:D22,$A$17:$A$22)</f>
        <v>117.79975028812909</v>
      </c>
      <c r="E24" s="40">
        <v>1430.0729927007296</v>
      </c>
      <c r="F24" s="39" cm="1">
        <f t="array" ref="F24:G24">LINEST(F17:F22,$A$17:$A$22)</f>
        <v>207.66048789857854</v>
      </c>
      <c r="G24" s="40">
        <v>1263.9343065693447</v>
      </c>
    </row>
    <row r="25" spans="1:7" ht="47.25" x14ac:dyDescent="0.25">
      <c r="A25" s="41" t="s">
        <v>101</v>
      </c>
      <c r="B25" s="42" cm="1">
        <f t="array" ref="B25:C25">LINEST(C17:C22,$A$17:$A$22)</f>
        <v>1.3479638878217435E-2</v>
      </c>
      <c r="C25" s="43">
        <v>14.520182481751824</v>
      </c>
      <c r="D25" s="42" cm="1">
        <f t="array" ref="D25:E25">LINEST(E17:E22,$A$17:$A$22)</f>
        <v>0.58198905109489052</v>
      </c>
      <c r="E25" s="43">
        <v>11.951277372262778</v>
      </c>
      <c r="F25" s="42" cm="1">
        <f t="array" ref="F25:G25">LINEST(G17:G22,$A$17:$A$22)</f>
        <v>1.7325701114099117</v>
      </c>
      <c r="G25" s="43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zoomScale="70" zoomScaleNormal="70" workbookViewId="0">
      <selection activeCell="E13" sqref="E13"/>
    </sheetView>
  </sheetViews>
  <sheetFormatPr defaultColWidth="10.875" defaultRowHeight="15.75" x14ac:dyDescent="0.25"/>
  <cols>
    <col min="1" max="1" width="39.375" style="9" customWidth="1"/>
    <col min="2" max="3" width="13.625" style="9" customWidth="1"/>
    <col min="4" max="7" width="14.625" style="9" customWidth="1"/>
    <col min="8" max="9" width="16" style="9" customWidth="1"/>
    <col min="10" max="11" width="18" style="9" customWidth="1"/>
    <col min="12" max="15" width="17.5" style="9" customWidth="1"/>
    <col min="16" max="16384" width="10.875" style="9"/>
  </cols>
  <sheetData>
    <row r="1" spans="1:15" ht="72.95" customHeight="1" x14ac:dyDescent="0.25">
      <c r="A1" s="10" t="s">
        <v>44</v>
      </c>
    </row>
    <row r="2" spans="1:15" ht="32.450000000000003" customHeight="1" x14ac:dyDescent="0.25">
      <c r="A2" s="10" t="s">
        <v>45</v>
      </c>
      <c r="B2" s="14" t="s">
        <v>50</v>
      </c>
    </row>
    <row r="3" spans="1:15" ht="39" customHeight="1" x14ac:dyDescent="0.25">
      <c r="A3" s="10" t="s">
        <v>47</v>
      </c>
      <c r="B3" s="13" t="s">
        <v>46</v>
      </c>
    </row>
    <row r="4" spans="1:15" ht="54.95" customHeight="1" x14ac:dyDescent="0.25">
      <c r="A4" s="1" t="s">
        <v>16</v>
      </c>
      <c r="B4" s="2"/>
      <c r="C4" s="2"/>
      <c r="D4" s="2"/>
      <c r="E4" s="2"/>
      <c r="F4" s="2"/>
      <c r="G4" s="2"/>
      <c r="H4" s="2"/>
      <c r="I4" s="2"/>
    </row>
    <row r="5" spans="1:15" ht="42.95" customHeight="1" x14ac:dyDescent="0.25">
      <c r="A5" s="3" t="s">
        <v>19</v>
      </c>
      <c r="B5" s="2"/>
      <c r="C5" s="2"/>
      <c r="D5" s="2"/>
      <c r="E5" s="2"/>
      <c r="F5" s="2"/>
      <c r="G5" s="2"/>
      <c r="H5" s="2"/>
      <c r="I5" s="2"/>
    </row>
    <row r="6" spans="1:15" ht="32.1" customHeight="1" x14ac:dyDescent="0.25">
      <c r="A6" s="4" t="s">
        <v>20</v>
      </c>
      <c r="B6" s="2"/>
      <c r="C6" s="2"/>
      <c r="D6" s="2"/>
      <c r="E6" s="2"/>
      <c r="F6" s="2"/>
      <c r="G6" s="2"/>
      <c r="H6" s="2"/>
      <c r="I6" s="2"/>
    </row>
    <row r="7" spans="1:15" ht="75" customHeight="1" x14ac:dyDescent="0.25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25"/>
    <row r="9" spans="1:15" ht="33" customHeight="1" x14ac:dyDescent="0.25">
      <c r="A9" s="8" t="s">
        <v>12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24" customHeight="1" x14ac:dyDescent="0.25">
      <c r="A10" s="8" t="s">
        <v>4</v>
      </c>
      <c r="B10" s="46">
        <v>7.0000000000000007E-2</v>
      </c>
      <c r="C10" s="20"/>
      <c r="D10" s="77" t="s">
        <v>37</v>
      </c>
      <c r="E10" s="77"/>
      <c r="F10" s="77"/>
      <c r="G10" s="77"/>
      <c r="H10" s="20"/>
      <c r="I10" s="20"/>
      <c r="J10" s="20"/>
      <c r="K10" s="20"/>
      <c r="L10" s="20"/>
      <c r="M10" s="20"/>
      <c r="N10" s="20"/>
      <c r="O10" s="20"/>
    </row>
    <row r="11" spans="1:15" ht="24.95" customHeight="1" x14ac:dyDescent="0.25">
      <c r="A11" s="8" t="s">
        <v>6</v>
      </c>
      <c r="B11" s="46">
        <v>8760</v>
      </c>
      <c r="C11" s="20"/>
      <c r="D11" s="20" t="s">
        <v>35</v>
      </c>
      <c r="E11" s="20" t="s">
        <v>33</v>
      </c>
      <c r="F11" s="20" t="s">
        <v>34</v>
      </c>
      <c r="G11" s="20" t="s">
        <v>36</v>
      </c>
      <c r="H11" s="20"/>
      <c r="I11" s="20"/>
      <c r="J11" s="20"/>
      <c r="K11" s="20"/>
      <c r="L11" s="20"/>
      <c r="M11" s="20"/>
      <c r="N11" s="20"/>
      <c r="O11" s="20"/>
    </row>
    <row r="12" spans="1:15" ht="26.1" customHeight="1" x14ac:dyDescent="0.25">
      <c r="A12" s="8" t="s">
        <v>8</v>
      </c>
      <c r="B12" s="65">
        <v>3412.141633127942</v>
      </c>
      <c r="C12" s="44"/>
      <c r="D12" s="66">
        <v>118.6248423283573</v>
      </c>
      <c r="E12" s="65">
        <f>D12/1000000</f>
        <v>1.186248423283573E-4</v>
      </c>
      <c r="F12" s="65">
        <f>E12*Btu_per_kWh</f>
        <v>0.4047647632318257</v>
      </c>
      <c r="G12" s="65">
        <f>F12*0.453592</f>
        <v>0.18359805848385027</v>
      </c>
      <c r="H12" s="20"/>
      <c r="I12" s="20"/>
      <c r="J12" s="20"/>
      <c r="K12" s="20"/>
      <c r="L12" s="20"/>
      <c r="M12" s="20"/>
      <c r="N12" s="20"/>
      <c r="O12" s="20"/>
    </row>
    <row r="13" spans="1:15" ht="72" customHeight="1" x14ac:dyDescent="0.25">
      <c r="A13" s="8" t="s">
        <v>17</v>
      </c>
      <c r="B13" s="67" t="s">
        <v>41</v>
      </c>
      <c r="C13" s="68" t="s">
        <v>42</v>
      </c>
      <c r="D13" s="69" t="s">
        <v>43</v>
      </c>
      <c r="E13" s="70" t="s">
        <v>22</v>
      </c>
      <c r="F13" s="71" t="s">
        <v>24</v>
      </c>
      <c r="G13" s="71" t="s">
        <v>25</v>
      </c>
      <c r="H13" s="72" t="s">
        <v>29</v>
      </c>
      <c r="I13" s="73" t="s">
        <v>32</v>
      </c>
      <c r="J13" s="74" t="s">
        <v>26</v>
      </c>
      <c r="K13" s="74" t="s">
        <v>27</v>
      </c>
      <c r="L13" s="74" t="s">
        <v>28</v>
      </c>
      <c r="M13" s="74" t="s">
        <v>38</v>
      </c>
      <c r="N13" s="74" t="s">
        <v>39</v>
      </c>
      <c r="O13" s="74" t="s">
        <v>40</v>
      </c>
    </row>
    <row r="14" spans="1:15" ht="45.95" customHeight="1" x14ac:dyDescent="0.25">
      <c r="A14" s="8" t="s">
        <v>18</v>
      </c>
      <c r="B14" s="46">
        <v>1391</v>
      </c>
      <c r="C14" s="46">
        <v>1436</v>
      </c>
      <c r="D14" s="46">
        <v>7388</v>
      </c>
      <c r="E14" s="46">
        <v>290</v>
      </c>
      <c r="F14" s="46">
        <v>1054</v>
      </c>
      <c r="G14" s="46">
        <v>2670</v>
      </c>
      <c r="H14" s="46">
        <v>4346</v>
      </c>
      <c r="I14" s="46">
        <v>19977</v>
      </c>
      <c r="J14" s="46">
        <v>5002</v>
      </c>
      <c r="K14" s="46">
        <v>5183</v>
      </c>
      <c r="L14" s="46">
        <v>5469</v>
      </c>
      <c r="M14" s="46">
        <v>3534</v>
      </c>
      <c r="N14" s="46">
        <v>3668</v>
      </c>
      <c r="O14" s="46">
        <v>3885</v>
      </c>
    </row>
    <row r="15" spans="1:15" ht="30.95" customHeight="1" x14ac:dyDescent="0.25">
      <c r="A15" s="20" t="s">
        <v>1</v>
      </c>
      <c r="B15" s="46">
        <v>23</v>
      </c>
      <c r="C15" s="46">
        <v>43</v>
      </c>
      <c r="D15" s="46">
        <v>145</v>
      </c>
      <c r="E15" s="46">
        <v>36</v>
      </c>
      <c r="F15" s="46">
        <v>27</v>
      </c>
      <c r="G15" s="46">
        <v>65</v>
      </c>
      <c r="H15" s="46">
        <v>150</v>
      </c>
      <c r="I15" s="46">
        <v>268</v>
      </c>
      <c r="J15" s="46">
        <v>80</v>
      </c>
      <c r="K15" s="46">
        <v>83</v>
      </c>
      <c r="L15" s="46">
        <v>88</v>
      </c>
      <c r="M15" s="46">
        <v>110</v>
      </c>
      <c r="N15" s="46">
        <v>114</v>
      </c>
      <c r="O15" s="46">
        <v>121</v>
      </c>
    </row>
    <row r="16" spans="1:15" ht="30.95" customHeight="1" x14ac:dyDescent="0.25">
      <c r="A16" s="20" t="s">
        <v>2</v>
      </c>
      <c r="B16" s="46">
        <v>30</v>
      </c>
      <c r="C16" s="46">
        <v>30</v>
      </c>
      <c r="D16" s="46">
        <v>30</v>
      </c>
      <c r="E16" s="46">
        <v>15</v>
      </c>
      <c r="F16" s="46">
        <v>30</v>
      </c>
      <c r="G16" s="46">
        <v>30</v>
      </c>
      <c r="H16" s="46">
        <v>30</v>
      </c>
      <c r="I16" s="46">
        <v>30</v>
      </c>
      <c r="J16" s="46">
        <v>30</v>
      </c>
      <c r="K16" s="46">
        <v>30</v>
      </c>
      <c r="L16" s="46">
        <v>30</v>
      </c>
      <c r="M16" s="46">
        <v>30</v>
      </c>
      <c r="N16" s="46">
        <v>30</v>
      </c>
      <c r="O16" s="46">
        <v>30</v>
      </c>
    </row>
    <row r="17" spans="1:15" ht="30.95" customHeight="1" x14ac:dyDescent="0.25">
      <c r="A17" s="20" t="s">
        <v>13</v>
      </c>
      <c r="B17" s="49">
        <f t="shared" ref="B17:O17" si="0">Discount_rate*(1+Discount_rate)^B16/((1+Discount_rate)^B16-1)</f>
        <v>8.0586403511111196E-2</v>
      </c>
      <c r="C17" s="49">
        <f t="shared" ref="C17:I17" si="1">Discount_rate*(1+Discount_rate)^C16/((1+Discount_rate)^C16-1)</f>
        <v>8.0586403511111196E-2</v>
      </c>
      <c r="D17" s="49">
        <f t="shared" si="1"/>
        <v>8.0586403511111196E-2</v>
      </c>
      <c r="E17" s="49">
        <f t="shared" si="1"/>
        <v>0.10979462470100652</v>
      </c>
      <c r="F17" s="49">
        <f t="shared" si="1"/>
        <v>8.0586403511111196E-2</v>
      </c>
      <c r="G17" s="49">
        <f t="shared" si="1"/>
        <v>8.0586403511111196E-2</v>
      </c>
      <c r="H17" s="49">
        <f t="shared" si="1"/>
        <v>8.0586403511111196E-2</v>
      </c>
      <c r="I17" s="49">
        <f t="shared" si="1"/>
        <v>8.0586403511111196E-2</v>
      </c>
      <c r="J17" s="49">
        <f t="shared" si="0"/>
        <v>8.0586403511111196E-2</v>
      </c>
      <c r="K17" s="49">
        <f t="shared" si="0"/>
        <v>8.0586403511111196E-2</v>
      </c>
      <c r="L17" s="49">
        <f t="shared" si="0"/>
        <v>8.0586403511111196E-2</v>
      </c>
      <c r="M17" s="49">
        <f t="shared" si="0"/>
        <v>8.0586403511111196E-2</v>
      </c>
      <c r="N17" s="49">
        <f t="shared" si="0"/>
        <v>8.0586403511111196E-2</v>
      </c>
      <c r="O17" s="49">
        <f t="shared" si="0"/>
        <v>8.0586403511111196E-2</v>
      </c>
    </row>
    <row r="18" spans="1:15" ht="30.95" customHeight="1" x14ac:dyDescent="0.25">
      <c r="A18" s="20" t="s">
        <v>3</v>
      </c>
      <c r="B18" s="58">
        <f t="shared" ref="B18:O18" si="2">B14*B17+B15</f>
        <v>135.09568728395567</v>
      </c>
      <c r="C18" s="58">
        <f t="shared" ref="C18:I18" si="3">C14*C17+C15</f>
        <v>158.72207544195567</v>
      </c>
      <c r="D18" s="58">
        <f t="shared" si="3"/>
        <v>740.37234914008957</v>
      </c>
      <c r="E18" s="58">
        <f t="shared" si="3"/>
        <v>67.840441163291899</v>
      </c>
      <c r="F18" s="58">
        <f t="shared" si="3"/>
        <v>111.93806930071121</v>
      </c>
      <c r="G18" s="58">
        <f t="shared" si="3"/>
        <v>280.16569737466693</v>
      </c>
      <c r="H18" s="58">
        <f t="shared" si="3"/>
        <v>500.22850965928927</v>
      </c>
      <c r="I18" s="58">
        <f t="shared" si="3"/>
        <v>1877.8745829414684</v>
      </c>
      <c r="J18" s="58">
        <f t="shared" si="2"/>
        <v>483.09319036257818</v>
      </c>
      <c r="K18" s="58">
        <f t="shared" si="2"/>
        <v>500.67932939808935</v>
      </c>
      <c r="L18" s="58">
        <f t="shared" si="2"/>
        <v>528.72704080226708</v>
      </c>
      <c r="M18" s="58">
        <f t="shared" si="2"/>
        <v>394.79235000826696</v>
      </c>
      <c r="N18" s="58">
        <f t="shared" si="2"/>
        <v>409.59092807875589</v>
      </c>
      <c r="O18" s="58">
        <f t="shared" si="2"/>
        <v>434.07817764066698</v>
      </c>
    </row>
    <row r="19" spans="1:15" ht="30.95" customHeight="1" x14ac:dyDescent="0.25">
      <c r="A19" s="20" t="s">
        <v>5</v>
      </c>
      <c r="B19" s="59">
        <f t="shared" ref="B19:O19" si="4">B18/HOURS_PER_YEAR</f>
        <v>1.5421882110040601E-2</v>
      </c>
      <c r="C19" s="59">
        <f t="shared" si="4"/>
        <v>1.8118958383784894E-2</v>
      </c>
      <c r="D19" s="59">
        <f t="shared" si="4"/>
        <v>8.4517391454348126E-2</v>
      </c>
      <c r="E19" s="59">
        <f t="shared" si="4"/>
        <v>7.7443425985493034E-3</v>
      </c>
      <c r="F19" s="59">
        <f t="shared" si="4"/>
        <v>1.2778318413323197E-2</v>
      </c>
      <c r="G19" s="59">
        <f t="shared" si="4"/>
        <v>3.1982385545053303E-2</v>
      </c>
      <c r="H19" s="59">
        <f t="shared" si="4"/>
        <v>5.7103711148320691E-2</v>
      </c>
      <c r="I19" s="59">
        <f t="shared" si="4"/>
        <v>0.21436924462802151</v>
      </c>
      <c r="J19" s="59">
        <f t="shared" si="4"/>
        <v>5.514762447061395E-2</v>
      </c>
      <c r="K19" s="59">
        <f t="shared" si="4"/>
        <v>5.7155174588822986E-2</v>
      </c>
      <c r="L19" s="59">
        <f t="shared" si="4"/>
        <v>6.0356968128112684E-2</v>
      </c>
      <c r="M19" s="59">
        <f t="shared" si="4"/>
        <v>4.5067619863957416E-2</v>
      </c>
      <c r="N19" s="59">
        <f t="shared" si="4"/>
        <v>4.6756955260131954E-2</v>
      </c>
      <c r="O19" s="59">
        <f t="shared" si="4"/>
        <v>4.955230338363778E-2</v>
      </c>
    </row>
    <row r="20" spans="1:15" ht="30.95" customHeight="1" x14ac:dyDescent="0.25">
      <c r="A20" s="20" t="s">
        <v>0</v>
      </c>
      <c r="B20" s="20"/>
      <c r="C20" s="20"/>
      <c r="D20" s="47">
        <v>2</v>
      </c>
      <c r="E20" s="47"/>
      <c r="F20" s="62">
        <v>2</v>
      </c>
      <c r="G20" s="47">
        <v>6</v>
      </c>
      <c r="H20" s="47">
        <v>5</v>
      </c>
      <c r="I20" s="47"/>
      <c r="J20" s="20"/>
      <c r="K20" s="20"/>
      <c r="L20" s="20"/>
      <c r="M20" s="20"/>
      <c r="N20" s="20"/>
      <c r="O20" s="20"/>
    </row>
    <row r="21" spans="1:15" ht="30.95" customHeight="1" x14ac:dyDescent="0.25">
      <c r="A21" s="20" t="s">
        <v>7</v>
      </c>
      <c r="B21" s="20"/>
      <c r="C21" s="20"/>
      <c r="D21" s="47">
        <v>10460</v>
      </c>
      <c r="E21" s="47"/>
      <c r="F21" s="63">
        <v>6360</v>
      </c>
      <c r="G21" s="61">
        <v>5180</v>
      </c>
      <c r="H21" s="47">
        <v>13500</v>
      </c>
      <c r="I21" s="47"/>
      <c r="J21" s="20"/>
      <c r="K21" s="20"/>
      <c r="L21" s="20"/>
      <c r="M21" s="20"/>
      <c r="N21" s="20"/>
      <c r="O21" s="20"/>
    </row>
    <row r="22" spans="1:15" ht="30.95" customHeight="1" x14ac:dyDescent="0.25">
      <c r="A22" s="20" t="s">
        <v>9</v>
      </c>
      <c r="B22" s="20"/>
      <c r="C22" s="20"/>
      <c r="D22" s="47">
        <f>Btu_per_kWh/D21</f>
        <v>0.32620856913269042</v>
      </c>
      <c r="E22" s="47"/>
      <c r="F22" s="62">
        <f>Btu_per_kWh/F21</f>
        <v>0.53650025678112301</v>
      </c>
      <c r="G22" s="47">
        <f>Btu_per_kWh/G21</f>
        <v>0.65871460098995016</v>
      </c>
      <c r="H22" s="47">
        <f>Btu_per_kWh/H21</f>
        <v>0.25275123208355127</v>
      </c>
      <c r="I22" s="47"/>
      <c r="J22" s="20"/>
      <c r="K22" s="20"/>
      <c r="L22" s="20"/>
      <c r="M22" s="20"/>
      <c r="N22" s="20"/>
      <c r="O22" s="20"/>
    </row>
    <row r="23" spans="1:15" ht="30.95" customHeight="1" x14ac:dyDescent="0.25">
      <c r="A23" s="20" t="s">
        <v>10</v>
      </c>
      <c r="B23" s="20"/>
      <c r="C23" s="20"/>
      <c r="D23" s="47">
        <v>7</v>
      </c>
      <c r="E23" s="47"/>
      <c r="F23" s="62">
        <v>8</v>
      </c>
      <c r="G23" s="47">
        <v>8</v>
      </c>
      <c r="H23" s="47">
        <v>43</v>
      </c>
      <c r="I23" s="47"/>
      <c r="J23" s="20"/>
      <c r="K23" s="20"/>
      <c r="L23" s="20"/>
      <c r="M23" s="20"/>
      <c r="N23" s="20"/>
      <c r="O23" s="20"/>
    </row>
    <row r="24" spans="1:15" ht="30.95" customHeight="1" x14ac:dyDescent="0.25">
      <c r="A24" s="20" t="s">
        <v>11</v>
      </c>
      <c r="B24" s="20"/>
      <c r="C24" s="20"/>
      <c r="D24" s="60">
        <f>D20+D23</f>
        <v>9</v>
      </c>
      <c r="E24" s="47"/>
      <c r="F24" s="64">
        <f>F20+F23</f>
        <v>10</v>
      </c>
      <c r="G24" s="60">
        <f>G20+G23</f>
        <v>14</v>
      </c>
      <c r="H24" s="60">
        <f>H20+H23</f>
        <v>48</v>
      </c>
      <c r="I24" s="60"/>
      <c r="J24" s="20"/>
      <c r="K24" s="20"/>
      <c r="L24" s="20"/>
      <c r="M24" s="20"/>
      <c r="N24" s="20"/>
      <c r="O24" s="20"/>
    </row>
    <row r="25" spans="1:15" ht="24.95" customHeight="1" x14ac:dyDescent="0.25">
      <c r="A25" s="20" t="s">
        <v>21</v>
      </c>
      <c r="B25" s="20"/>
      <c r="C25" s="20"/>
      <c r="D25" s="47"/>
      <c r="E25" s="47"/>
      <c r="F25" s="26"/>
      <c r="G25" s="26"/>
      <c r="H25" s="26"/>
      <c r="I25" s="26"/>
      <c r="J25" s="20"/>
      <c r="K25" s="20"/>
      <c r="L25" s="20"/>
      <c r="M25" s="20"/>
      <c r="N25" s="20"/>
      <c r="O25" s="20"/>
    </row>
    <row r="26" spans="1:15" ht="23.1" customHeight="1" x14ac:dyDescent="0.25">
      <c r="A26" s="20" t="s">
        <v>23</v>
      </c>
      <c r="B26" s="20"/>
      <c r="C26" s="20"/>
      <c r="D26" s="47"/>
      <c r="E26" s="47">
        <v>0.85</v>
      </c>
      <c r="F26" s="26"/>
      <c r="G26" s="26"/>
      <c r="H26" s="26"/>
      <c r="I26" s="26"/>
      <c r="J26" s="20"/>
      <c r="K26" s="20"/>
      <c r="L26" s="20"/>
      <c r="M26" s="20"/>
      <c r="N26" s="20"/>
      <c r="O26" s="20"/>
    </row>
    <row r="27" spans="1:15" ht="23.1" customHeight="1" x14ac:dyDescent="0.25">
      <c r="A27" s="20" t="s">
        <v>31</v>
      </c>
      <c r="B27" s="20"/>
      <c r="C27" s="20"/>
      <c r="D27" s="60">
        <f>D19+D24</f>
        <v>9.084517391454348</v>
      </c>
      <c r="E27" s="47"/>
      <c r="F27" s="26"/>
      <c r="G27" s="26"/>
      <c r="H27" s="26"/>
      <c r="I27" s="26"/>
      <c r="J27" s="20"/>
      <c r="K27" s="20"/>
      <c r="L27" s="20"/>
      <c r="M27" s="20"/>
      <c r="N27" s="20"/>
      <c r="O27" s="20"/>
    </row>
    <row r="28" spans="1:15" s="12" customFormat="1" ht="144" customHeight="1" x14ac:dyDescent="0.25">
      <c r="A28" s="27" t="s">
        <v>30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48" customHeight="1" x14ac:dyDescent="0.25"/>
    <row r="30" spans="1:15" ht="17.100000000000001" customHeight="1" x14ac:dyDescent="0.25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Storage Techs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Edgar Virguez</cp:lastModifiedBy>
  <dcterms:created xsi:type="dcterms:W3CDTF">2020-05-05T04:59:04Z</dcterms:created>
  <dcterms:modified xsi:type="dcterms:W3CDTF">2022-08-17T15:40:14Z</dcterms:modified>
</cp:coreProperties>
</file>