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5FC407D7-9002-974D-8416-E494C1796097}" xr6:coauthVersionLast="47" xr6:coauthVersionMax="47" xr10:uidLastSave="{00000000-0000-0000-0000-000000000000}"/>
  <bookViews>
    <workbookView xWindow="1080" yWindow="4140" windowWidth="34940" windowHeight="1666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6" i="1" l="1"/>
  <c r="N73" i="1" l="1"/>
  <c r="W60" i="1"/>
  <c r="W58" i="1"/>
  <c r="V60" i="1"/>
  <c r="N59" i="1"/>
  <c r="N117" i="1"/>
  <c r="N114" i="1"/>
  <c r="O60" i="1"/>
  <c r="M60" i="1"/>
  <c r="G117" i="1"/>
  <c r="H117" i="1" s="1"/>
  <c r="M117" i="1" s="1"/>
  <c r="P114" i="1" l="1"/>
  <c r="N55" i="1" s="1"/>
  <c r="C112" i="1"/>
  <c r="C111" i="1"/>
  <c r="G114" i="1"/>
  <c r="H114" i="1" s="1"/>
  <c r="L65" i="1" l="1"/>
  <c r="W62" i="1" l="1"/>
  <c r="O62" i="1"/>
  <c r="O59" i="1"/>
  <c r="M62" i="1"/>
  <c r="M59" i="1"/>
  <c r="W56" i="1" l="1"/>
  <c r="M64" i="1"/>
  <c r="O64" i="1"/>
  <c r="O58" i="1"/>
  <c r="O57" i="1"/>
  <c r="O56" i="1"/>
  <c r="M58" i="1"/>
  <c r="M57" i="1"/>
  <c r="M56" i="1"/>
  <c r="O63" i="1" l="1"/>
  <c r="M73" i="1"/>
  <c r="O73" i="1"/>
  <c r="O72" i="1"/>
  <c r="M55" i="1"/>
  <c r="O55" i="1"/>
  <c r="N112" i="1" l="1"/>
  <c r="D112" i="1"/>
  <c r="M114" i="1"/>
  <c r="G112" i="1"/>
  <c r="J110" i="1"/>
  <c r="H112" i="1" l="1"/>
  <c r="I110" i="1"/>
  <c r="H110" i="1"/>
  <c r="D110" i="1"/>
  <c r="C110" i="1"/>
  <c r="O53" i="1" l="1"/>
  <c r="M72" i="1"/>
  <c r="O54" i="1" l="1"/>
  <c r="M54" i="1"/>
  <c r="M63" i="1"/>
  <c r="N111" i="1" l="1"/>
  <c r="N69" i="1" l="1"/>
  <c r="G111" i="1"/>
  <c r="D111" i="1" l="1"/>
  <c r="M112" i="1"/>
  <c r="H111" i="1" l="1"/>
  <c r="M111" i="1" s="1"/>
  <c r="O71" i="1"/>
  <c r="M71" i="1"/>
  <c r="M70" i="1"/>
  <c r="W74" i="1" l="1"/>
  <c r="O74" i="1"/>
  <c r="O75" i="1"/>
  <c r="O70" i="1"/>
  <c r="M74" i="1"/>
  <c r="M75" i="1"/>
  <c r="M69" i="1"/>
  <c r="B33" i="1" l="1"/>
  <c r="L55" i="1" s="1"/>
  <c r="O69" i="1"/>
  <c r="O68" i="1"/>
  <c r="M67" i="1"/>
  <c r="M68" i="1"/>
  <c r="L59" i="1" l="1"/>
  <c r="B34" i="1"/>
  <c r="O61" i="1"/>
  <c r="M61" i="1"/>
  <c r="L70" i="1" l="1"/>
  <c r="L69" i="1"/>
  <c r="L72" i="1"/>
  <c r="L71" i="1"/>
  <c r="M53" i="1"/>
  <c r="O67" i="1"/>
  <c r="O66" i="1"/>
  <c r="M66" i="1" l="1"/>
  <c r="Y52" i="1" l="1"/>
  <c r="O65" i="1"/>
  <c r="M65" i="1"/>
</calcChain>
</file>

<file path=xl/sharedStrings.xml><?xml version="1.0" encoding="utf-8"?>
<sst xmlns="http://schemas.openxmlformats.org/spreadsheetml/2006/main" count="286" uniqueCount="194">
  <si>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</si>
  <si>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</si>
  <si>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</si>
  <si>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</si>
  <si>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</si>
  <si>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</si>
  <si>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</si>
  <si>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</si>
  <si>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</si>
  <si>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</si>
  <si>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</si>
  <si>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</si>
  <si>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</si>
  <si>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</si>
  <si>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</si>
  <si>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</si>
  <si>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</si>
  <si>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</si>
  <si>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</si>
  <si>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</si>
  <si>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</si>
  <si>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</si>
  <si>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</si>
  <si>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</si>
  <si>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</si>
  <si>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</si>
  <si>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</si>
  <si>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</si>
  <si>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</si>
  <si>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</si>
  <si>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</si>
  <si>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</si>
  <si>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</si>
  <si>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</si>
  <si>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</si>
  <si>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</si>
  <si>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</si>
  <si>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</si>
  <si>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</si>
  <si>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</si>
  <si>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</si>
  <si>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</si>
  <si>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</si>
  <si>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</si>
  <si>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</si>
  <si>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</si>
  <si>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</si>
  <si>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</si>
  <si>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</si>
  <si>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</si>
  <si>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</si>
  <si>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</si>
  <si>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</si>
  <si>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</si>
  <si>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</si>
  <si>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</si>
  <si>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</si>
  <si>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</si>
  <si>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</si>
  <si>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</si>
  <si>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</si>
  <si>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</si>
  <si>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</si>
  <si>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</si>
  <si>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</si>
  <si>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</si>
  <si>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</si>
  <si>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</si>
  <si>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</si>
  <si>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</si>
  <si>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</si>
  <si>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</si>
  <si>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</si>
  <si>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</si>
  <si>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</si>
  <si>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</si>
  <si>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</si>
  <si>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</si>
  <si>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</si>
  <si>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</si>
  <si>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US_capacity_solar_25pctTop_unnormalized.csv</t>
  </si>
  <si>
    <t>US_capacity_wind_25pctTop_unnormalized.csv</t>
  </si>
  <si>
    <t>US_demand_unnormalized.csv</t>
  </si>
  <si>
    <t>all_firm_case</t>
  </si>
  <si>
    <t>/Volumes/Shared/Labs/Caldeira Lab/Everyone/energy_demand_capacity_data/US_solar_wind_demand/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</si>
  <si>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</si>
  <si>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</si>
  <si>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</si>
  <si>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</si>
  <si>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</si>
  <si>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</si>
  <si>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</si>
  <si>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</si>
  <si>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</si>
  <si>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</si>
  <si>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</si>
  <si>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</si>
  <si>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</si>
  <si>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</si>
  <si>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Note: p_nom is a factor multiplied to the given capacity, e_nom is assumed for stores</t>
  </si>
  <si>
    <t>costs_path</t>
  </si>
  <si>
    <t>https://raw.githubusercontent.com/PyPSA/technology-data/master/outputs/costs_2020.csv</t>
  </si>
  <si>
    <t>info</t>
  </si>
  <si>
    <t>direct air capture</t>
  </si>
  <si>
    <t>MW</t>
  </si>
  <si>
    <t>onwind</t>
  </si>
  <si>
    <t>Note: To use PyPSA default costs, use same technology names as in costs_path</t>
  </si>
  <si>
    <t>hydro</t>
  </si>
  <si>
    <t>fuel cell</t>
  </si>
  <si>
    <t>battery storage</t>
  </si>
  <si>
    <t>StorageUnit</t>
  </si>
  <si>
    <t>co2_emissions</t>
  </si>
  <si>
    <t>2017-01-01 00:00:00</t>
  </si>
  <si>
    <t>CO2 storage tank</t>
  </si>
  <si>
    <t>hydrogen storage underground</t>
  </si>
  <si>
    <t>solar-utility</t>
  </si>
  <si>
    <t>Note: costing for nuclear heat has to be for kWh thermal (or other energy unit)</t>
  </si>
  <si>
    <t>Note: % indicates addition to standard PyPSA name which stands before the %</t>
  </si>
  <si>
    <t>CCGT % link</t>
  </si>
  <si>
    <t>phs power</t>
  </si>
  <si>
    <t>phs energy</t>
  </si>
  <si>
    <t>Cost calculations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</si>
  <si>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</si>
  <si>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</si>
  <si>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Discount rate</t>
  </si>
  <si>
    <t>Other fixed cost* (% of capital cost)</t>
  </si>
  <si>
    <t>Lifetime [years]</t>
  </si>
  <si>
    <t>Capital recovery factor [%/year]</t>
  </si>
  <si>
    <t>Efficiency</t>
  </si>
  <si>
    <t>Decay rate</t>
  </si>
  <si>
    <t>Hourly fixed costs</t>
  </si>
  <si>
    <t>pumped_hydro_storage energy</t>
  </si>
  <si>
    <t>pumped_hydro_storage power</t>
  </si>
  <si>
    <t>* includes property, tax, insurance, licensing, permiting costs</t>
  </si>
  <si>
    <t>carrier</t>
  </si>
  <si>
    <t>Note: carrier allows to group different technologies</t>
  </si>
  <si>
    <t>hydrogen</t>
  </si>
  <si>
    <t>phs</t>
  </si>
  <si>
    <t>natgas</t>
  </si>
  <si>
    <t>load shifting forward</t>
  </si>
  <si>
    <t>load shifting backward</t>
  </si>
  <si>
    <t>Note: cost per energy stored for Store/StoragUnit</t>
  </si>
  <si>
    <t>p_max_pu</t>
  </si>
  <si>
    <t>sign</t>
  </si>
  <si>
    <t>all_firm</t>
  </si>
  <si>
    <t>Source load shifting costs</t>
  </si>
  <si>
    <t>https://doi.org/10.20357/B7MS40</t>
  </si>
  <si>
    <t>Gerke et al. The California Demand Response Potential Study, Phase 3: Final Report on the Shift Resource through 2030.</t>
  </si>
  <si>
    <t>https://github.com/PyPSA/technology-data/blob/master/outputs/costs_2020.csv</t>
  </si>
  <si>
    <t>PyPSA technology data</t>
  </si>
  <si>
    <t>Source PHS costs</t>
  </si>
  <si>
    <t>Source all other costs</t>
  </si>
  <si>
    <t>Source natural gas CCS costs</t>
  </si>
  <si>
    <t>natural gas with CCS</t>
  </si>
  <si>
    <t>(NG combined cycle 95% CCS (H-frame basis -&gt; 2nd Gen Tech)), Moderate</t>
  </si>
  <si>
    <t>co2 atmosphere</t>
  </si>
  <si>
    <t>load shedding</t>
  </si>
  <si>
    <t>solver</t>
  </si>
  <si>
    <t>gurobi</t>
  </si>
  <si>
    <t>CCGT % wCCS</t>
  </si>
  <si>
    <t>CCGT % link wCCS</t>
  </si>
  <si>
    <t>.05*co2_emissions</t>
  </si>
  <si>
    <t xml:space="preserve">CCGT </t>
  </si>
  <si>
    <t>load shifting</t>
  </si>
  <si>
    <t>geothermal % link</t>
  </si>
  <si>
    <t>geoth_out</t>
  </si>
  <si>
    <t>-1*energy-input</t>
  </si>
  <si>
    <t>natgas_wCCS</t>
  </si>
  <si>
    <t>Note: Path to PyPSA database</t>
  </si>
  <si>
    <t>Data source</t>
  </si>
  <si>
    <t>PyPSA DB</t>
  </si>
  <si>
    <t>Hunter et al</t>
  </si>
  <si>
    <t>Gerke et al</t>
  </si>
  <si>
    <t>NREL</t>
  </si>
  <si>
    <t>-</t>
  </si>
  <si>
    <t>€</t>
  </si>
  <si>
    <t>Note: 2020 €</t>
  </si>
  <si>
    <t>2020 €/$</t>
  </si>
  <si>
    <t>BECCS</t>
  </si>
  <si>
    <t>Source lost load</t>
  </si>
  <si>
    <t>https://doi.org/10.1016/j.tej.2022.107187</t>
  </si>
  <si>
    <t>Gorman. The quest to quantify the value of lost load: A critical review of the economics of power outages</t>
  </si>
  <si>
    <t>https://atb-archive.nrel.gov/electricity/2020/data.php</t>
  </si>
  <si>
    <t>NREL (National Renewable Energy Laboratory). 2020. "2020 Annual Technology Baseline."</t>
  </si>
  <si>
    <t>Source BECCS</t>
  </si>
  <si>
    <t>https://www.nrel.gov/docs/fy22osti/81644.pdf</t>
  </si>
  <si>
    <t>CO2 emissions</t>
  </si>
  <si>
    <t>Variable cost [€-MWh]</t>
  </si>
  <si>
    <t>tCO2/MWh</t>
  </si>
  <si>
    <t>BECCS % link</t>
  </si>
  <si>
    <t>beccs</t>
  </si>
  <si>
    <t>beccs_out</t>
  </si>
  <si>
    <t>Gorman</t>
  </si>
  <si>
    <t>natgas_wCCS_out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</si>
</sst>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  <font>
      <u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 (Body)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F6CAD1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F71"/>
        <bgColor indexed="64"/>
      </patternFill>
    </fill>
    <fill>
      <patternFill patternType="solid">
        <fgColor rgb="FFCD6CBA"/>
        <bgColor indexed="64"/>
      </patternFill>
    </fill>
    <fill>
      <patternFill patternType="solid">
        <fgColor rgb="FFFFCFE9"/>
        <bgColor indexed="64"/>
      </patternFill>
    </fill>
    <fill>
      <patternFill patternType="solid">
        <fgColor rgb="FFEFFEB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0B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1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49" fontId="0" fillId="36" borderId="0" xfId="0" applyNumberFormat="1" applyFill="1"/>
    <xf numFmtId="0" fontId="0" fillId="36" borderId="0" xfId="0" applyFill="1"/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49" fontId="0" fillId="33" borderId="0" xfId="0" applyNumberFormat="1" applyFill="1"/>
    <xf numFmtId="49" fontId="0" fillId="38" borderId="0" xfId="0" applyNumberFormat="1" applyFill="1"/>
    <xf numFmtId="0" fontId="0" fillId="38" borderId="0" xfId="0" applyFill="1"/>
    <xf numFmtId="0" fontId="0" fillId="34" borderId="0" xfId="0" applyFill="1"/>
    <xf numFmtId="49" fontId="0" fillId="39" borderId="0" xfId="0" applyNumberFormat="1" applyFill="1"/>
    <xf numFmtId="0" fontId="0" fillId="39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2" borderId="0" xfId="0" applyNumberFormat="1" applyFill="1"/>
    <xf numFmtId="0" fontId="0" fillId="42" borderId="0" xfId="0" applyFill="1"/>
    <xf numFmtId="49" fontId="0" fillId="42" borderId="0" xfId="0" applyNumberFormat="1" applyFill="1" applyAlignment="1">
      <alignment horizontal="right"/>
    </xf>
    <xf numFmtId="49" fontId="0" fillId="43" borderId="0" xfId="0" applyNumberFormat="1" applyFill="1"/>
    <xf numFmtId="0" fontId="0" fillId="43" borderId="0" xfId="0" applyFill="1"/>
    <xf numFmtId="49" fontId="0" fillId="44" borderId="0" xfId="0" applyNumberFormat="1" applyFill="1"/>
    <xf numFmtId="0" fontId="0" fillId="44" borderId="0" xfId="0" applyFill="1"/>
    <xf numFmtId="0" fontId="16" fillId="0" borderId="0" xfId="0" applyFont="1"/>
    <xf numFmtId="0" fontId="20" fillId="0" borderId="0" xfId="0" applyFont="1"/>
    <xf numFmtId="0" fontId="21" fillId="0" borderId="0" xfId="43" applyFont="1" applyAlignment="1">
      <alignment horizontal="left" vertical="center"/>
    </xf>
    <xf numFmtId="0" fontId="18" fillId="0" borderId="0" xfId="43" applyAlignment="1">
      <alignment horizontal="left" vertical="center"/>
    </xf>
    <xf numFmtId="0" fontId="1" fillId="0" borderId="0" xfId="43" applyFont="1" applyAlignment="1">
      <alignment horizontal="left" vertical="center"/>
    </xf>
    <xf numFmtId="0" fontId="18" fillId="0" borderId="0" xfId="42"/>
    <xf numFmtId="0" fontId="20" fillId="45" borderId="0" xfId="0" applyFont="1" applyFill="1" applyAlignment="1">
      <alignment vertical="center" wrapText="1"/>
    </xf>
    <xf numFmtId="0" fontId="19" fillId="45" borderId="0" xfId="0" applyFont="1" applyFill="1" applyAlignment="1">
      <alignment vertical="center" wrapText="1"/>
    </xf>
    <xf numFmtId="0" fontId="19" fillId="45" borderId="0" xfId="0" applyFont="1" applyFill="1" applyAlignment="1">
      <alignment horizontal="center" vertical="center" wrapText="1"/>
    </xf>
    <xf numFmtId="0" fontId="0" fillId="45" borderId="0" xfId="0" applyFill="1"/>
    <xf numFmtId="0" fontId="16" fillId="45" borderId="0" xfId="0" applyFont="1" applyFill="1"/>
    <xf numFmtId="0" fontId="16" fillId="45" borderId="0" xfId="0" applyFont="1" applyFill="1" applyAlignment="1">
      <alignment wrapText="1"/>
    </xf>
    <xf numFmtId="0" fontId="16" fillId="45" borderId="10" xfId="0" applyFont="1" applyFill="1" applyBorder="1" applyAlignment="1">
      <alignment wrapText="1"/>
    </xf>
    <xf numFmtId="0" fontId="16" fillId="45" borderId="11" xfId="0" applyFont="1" applyFill="1" applyBorder="1" applyAlignment="1">
      <alignment wrapText="1"/>
    </xf>
    <xf numFmtId="0" fontId="0" fillId="45" borderId="10" xfId="0" applyFill="1" applyBorder="1"/>
    <xf numFmtId="0" fontId="0" fillId="45" borderId="11" xfId="0" applyFill="1" applyBorder="1"/>
    <xf numFmtId="10" fontId="0" fillId="45" borderId="0" xfId="0" applyNumberFormat="1" applyFill="1"/>
    <xf numFmtId="0" fontId="0" fillId="38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49" fontId="0" fillId="46" borderId="0" xfId="0" applyNumberFormat="1" applyFill="1"/>
    <xf numFmtId="0" fontId="0" fillId="46" borderId="0" xfId="0" applyFill="1"/>
    <xf numFmtId="49" fontId="0" fillId="47" borderId="0" xfId="0" applyNumberFormat="1" applyFill="1"/>
    <xf numFmtId="0" fontId="0" fillId="47" borderId="0" xfId="0" applyFill="1"/>
    <xf numFmtId="0" fontId="18" fillId="0" borderId="0" xfId="43"/>
    <xf numFmtId="49" fontId="0" fillId="48" borderId="0" xfId="0" applyNumberFormat="1" applyFill="1"/>
    <xf numFmtId="0" fontId="0" fillId="48" borderId="0" xfId="0" applyFill="1"/>
    <xf numFmtId="0" fontId="1" fillId="0" borderId="0" xfId="42" applyFont="1"/>
    <xf numFmtId="49" fontId="0" fillId="49" borderId="0" xfId="0" applyNumberFormat="1" applyFill="1"/>
    <xf numFmtId="0" fontId="0" fillId="49" borderId="0" xfId="0" applyFill="1"/>
    <xf numFmtId="49" fontId="0" fillId="50" borderId="0" xfId="0" applyNumberFormat="1" applyFill="1"/>
    <xf numFmtId="0" fontId="0" fillId="50" borderId="0" xfId="0" applyFill="1"/>
    <xf numFmtId="164" fontId="0" fillId="0" borderId="0" xfId="0" applyNumberFormat="1" applyAlignment="1">
      <alignment horizontal="right"/>
    </xf>
    <xf numFmtId="11" fontId="0" fillId="41" borderId="0" xfId="0" applyNumberFormat="1" applyFill="1"/>
    <xf numFmtId="49" fontId="0" fillId="51" borderId="0" xfId="0" applyNumberFormat="1" applyFill="1"/>
    <xf numFmtId="0" fontId="0" fillId="51" borderId="0" xfId="0" applyFill="1"/>
    <xf numFmtId="0" fontId="0" fillId="51" borderId="0" xfId="0" applyFill="1" applyAlignment="1">
      <alignment horizontal="right"/>
    </xf>
    <xf numFmtId="49" fontId="0" fillId="44" borderId="0" xfId="0" applyNumberFormat="1" applyFill="1" applyAlignment="1">
      <alignment horizontal="right"/>
    </xf>
    <xf numFmtId="0" fontId="22" fillId="0" borderId="0" xfId="43" applyFont="1"/>
    <xf numFmtId="49" fontId="0" fillId="46" borderId="0" xfId="0" applyNumberFormat="1" applyFill="1" applyAlignment="1">
      <alignment horizontal="right"/>
    </xf>
    <xf numFmtId="49" fontId="0" fillId="47" borderId="0" xfId="0" applyNumberFormat="1" applyFill="1" applyAlignment="1">
      <alignment horizontal="right"/>
    </xf>
    <xf numFmtId="49" fontId="0" fillId="50" borderId="0" xfId="0" applyNumberFormat="1" applyFill="1" applyAlignment="1">
      <alignment horizontal="right"/>
    </xf>
    <xf numFmtId="0" fontId="0" fillId="49" borderId="0" xfId="0" applyFill="1" applyAlignment="1">
      <alignment horizontal="right"/>
    </xf>
    <xf numFmtId="0" fontId="0" fillId="43" borderId="0" xfId="0" applyFill="1" applyAlignment="1">
      <alignment horizontal="right"/>
    </xf>
    <xf numFmtId="49" fontId="0" fillId="37" borderId="0" xfId="0" applyNumberFormat="1" applyFill="1" applyAlignment="1">
      <alignment horizontal="right"/>
    </xf>
    <xf numFmtId="0" fontId="24" fillId="0" borderId="0" xfId="43" applyFont="1"/>
    <xf numFmtId="0" fontId="0" fillId="52" borderId="0" xfId="0" applyFill="1"/>
    <xf numFmtId="0" fontId="16" fillId="52" borderId="0" xfId="0" applyFont="1" applyFill="1"/>
    <xf numFmtId="49" fontId="0" fillId="35" borderId="0" xfId="0" applyNumberFormat="1" applyFill="1" applyAlignment="1">
      <alignment horizontal="right"/>
    </xf>
    <xf numFmtId="0" fontId="0" fillId="35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6E0B4"/>
      <color rgb="FFFD5646"/>
      <color rgb="FFEFFEB1"/>
      <color rgb="FFFF6654"/>
      <color rgb="FFFF9385"/>
      <color rgb="FFFFA58D"/>
      <color rgb="FFFF8B87"/>
      <color rgb="FFFFCFE9"/>
      <color rgb="FFCD6CBA"/>
      <color rgb="FFFBC4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 Techs"/>
      <sheetName val="Gravitational"/>
      <sheetName val="Generation Techs"/>
      <sheetName val="Sheet1"/>
    </sheetNames>
    <sheetDataSet>
      <sheetData sheetId="0"/>
      <sheetData sheetId="1"/>
      <sheetData sheetId="2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j.2022.107187" TargetMode="External"/><Relationship Id="rId2" Type="http://schemas.openxmlformats.org/officeDocument/2006/relationships/hyperlink" Target="https://doi.org/10.20357/B7MS40" TargetMode="External"/><Relationship Id="rId1" Type="http://schemas.openxmlformats.org/officeDocument/2006/relationships/hyperlink" Target="https://doi.org/10.1016/j.joule.2021.06.018.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4"/>
  <sheetViews>
    <sheetView tabSelected="1" topLeftCell="A99" zoomScale="120" zoomScaleNormal="120" workbookViewId="0">
      <selection activeCell="A116" sqref="A116:XFD116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8.1640625" customWidth="1"/>
    <col min="4" max="4" width="17.33203125" customWidth="1"/>
    <col min="5" max="5" width="15.33203125" customWidth="1"/>
    <col min="6" max="6" width="18.1640625" customWidth="1"/>
    <col min="7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0.6640625" customWidth="1"/>
    <col min="17" max="17" width="11.5" customWidth="1"/>
    <col min="18" max="18" width="18.6640625" customWidth="1"/>
    <col min="19" max="19" width="11.5" customWidth="1"/>
    <col min="20" max="20" width="15.33203125" customWidth="1"/>
    <col min="21" max="21" width="12.6640625" customWidth="1"/>
    <col min="22" max="22" width="7.6640625" customWidth="1"/>
    <col min="23" max="23" width="14.1640625" customWidth="1"/>
    <col min="24" max="24" width="12.33203125" customWidth="1"/>
  </cols>
  <sheetData>
    <row r="1" spans="1:9" x14ac:dyDescent="0.2">
      <c r="A1" s="3" t="s">
        <v>48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75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59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49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50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51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43</v>
      </c>
      <c r="B15" s="3" t="s">
        <v>52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53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54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55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31</v>
      </c>
      <c r="B19" s="3" t="s">
        <v>57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56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58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39</v>
      </c>
      <c r="B25" s="16" t="s">
        <v>84</v>
      </c>
    </row>
    <row r="26" spans="1:9" x14ac:dyDescent="0.2">
      <c r="A26" t="s">
        <v>100</v>
      </c>
      <c r="B26" s="16" t="s">
        <v>101</v>
      </c>
      <c r="F26" t="s">
        <v>168</v>
      </c>
    </row>
    <row r="27" spans="1:9" x14ac:dyDescent="0.2">
      <c r="A27" t="s">
        <v>13</v>
      </c>
      <c r="B27" t="s">
        <v>38</v>
      </c>
    </row>
    <row r="28" spans="1:9" x14ac:dyDescent="0.2">
      <c r="A28" t="s">
        <v>12</v>
      </c>
      <c r="B28" t="s">
        <v>83</v>
      </c>
    </row>
    <row r="29" spans="1:9" x14ac:dyDescent="0.2">
      <c r="A29" t="s">
        <v>35</v>
      </c>
      <c r="B29" t="s">
        <v>144</v>
      </c>
    </row>
    <row r="30" spans="1:9" x14ac:dyDescent="0.2">
      <c r="A30" t="s">
        <v>36</v>
      </c>
      <c r="B30" s="8" t="s">
        <v>98</v>
      </c>
      <c r="D30" t="s">
        <v>40</v>
      </c>
    </row>
    <row r="31" spans="1:9" x14ac:dyDescent="0.2">
      <c r="A31" t="s">
        <v>37</v>
      </c>
      <c r="B31" s="8" t="s">
        <v>112</v>
      </c>
    </row>
    <row r="32" spans="1:9" x14ac:dyDescent="0.2">
      <c r="A32" t="s">
        <v>68</v>
      </c>
      <c r="B32">
        <v>1</v>
      </c>
    </row>
    <row r="33" spans="1:25" x14ac:dyDescent="0.2">
      <c r="A33" t="s">
        <v>73</v>
      </c>
      <c r="B33" s="10">
        <f>(B31-B30)*24/B32</f>
        <v>8784</v>
      </c>
      <c r="D33" t="s">
        <v>72</v>
      </c>
    </row>
    <row r="34" spans="1:25" x14ac:dyDescent="0.2">
      <c r="A34" t="s">
        <v>74</v>
      </c>
      <c r="B34" s="10">
        <f>B33*B32</f>
        <v>8784</v>
      </c>
    </row>
    <row r="35" spans="1:25" x14ac:dyDescent="0.2">
      <c r="B35" s="6"/>
    </row>
    <row r="36" spans="1:25" x14ac:dyDescent="0.2">
      <c r="A36" t="s">
        <v>157</v>
      </c>
      <c r="B36" s="73" t="s">
        <v>158</v>
      </c>
    </row>
    <row r="37" spans="1:25" x14ac:dyDescent="0.2">
      <c r="A37" t="s">
        <v>42</v>
      </c>
      <c r="B37" s="7" t="s">
        <v>102</v>
      </c>
      <c r="D37" t="s">
        <v>46</v>
      </c>
    </row>
    <row r="38" spans="1:25" x14ac:dyDescent="0.2">
      <c r="A38" t="s">
        <v>14</v>
      </c>
      <c r="B38" s="1">
        <v>1</v>
      </c>
      <c r="D38" t="s">
        <v>47</v>
      </c>
    </row>
    <row r="39" spans="1:25" x14ac:dyDescent="0.2">
      <c r="B39" s="1"/>
      <c r="C39" s="1"/>
    </row>
    <row r="40" spans="1:25" x14ac:dyDescent="0.2">
      <c r="A40" t="s">
        <v>63</v>
      </c>
      <c r="B40" s="1" t="s">
        <v>65</v>
      </c>
      <c r="C40" s="1"/>
    </row>
    <row r="41" spans="1:25" x14ac:dyDescent="0.2">
      <c r="A41" t="s">
        <v>94</v>
      </c>
      <c r="B41" s="1" t="s">
        <v>104</v>
      </c>
      <c r="C41" s="1"/>
    </row>
    <row r="42" spans="1:25" x14ac:dyDescent="0.2">
      <c r="A42" t="s">
        <v>95</v>
      </c>
      <c r="B42" s="1" t="s">
        <v>96</v>
      </c>
      <c r="C42" s="1"/>
    </row>
    <row r="43" spans="1:25" x14ac:dyDescent="0.2">
      <c r="A43" t="s">
        <v>64</v>
      </c>
      <c r="B43" s="1" t="s">
        <v>175</v>
      </c>
      <c r="C43" s="1"/>
      <c r="D43" t="s">
        <v>176</v>
      </c>
    </row>
    <row r="44" spans="1:25" x14ac:dyDescent="0.2">
      <c r="B44" s="1"/>
      <c r="C44" s="1"/>
    </row>
    <row r="45" spans="1:25" x14ac:dyDescent="0.2">
      <c r="B45" s="1"/>
      <c r="C45" s="1"/>
    </row>
    <row r="46" spans="1:25" x14ac:dyDescent="0.2">
      <c r="A46" t="s">
        <v>18</v>
      </c>
      <c r="B46" s="1" t="s">
        <v>106</v>
      </c>
      <c r="G46" t="s">
        <v>86</v>
      </c>
      <c r="K46" t="s">
        <v>69</v>
      </c>
      <c r="P46" t="s">
        <v>141</v>
      </c>
    </row>
    <row r="47" spans="1:25" x14ac:dyDescent="0.2">
      <c r="C47" t="s">
        <v>62</v>
      </c>
      <c r="J47" t="s">
        <v>99</v>
      </c>
      <c r="R47" t="s">
        <v>61</v>
      </c>
    </row>
    <row r="48" spans="1:25" x14ac:dyDescent="0.2">
      <c r="A48" s="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6" s="36" customFormat="1" ht="16" x14ac:dyDescent="0.2">
      <c r="A49" s="4" t="s">
        <v>4</v>
      </c>
      <c r="B49" s="4" t="s">
        <v>3</v>
      </c>
      <c r="C49" s="4"/>
      <c r="D49" s="4" t="s">
        <v>6</v>
      </c>
      <c r="E49" s="4"/>
      <c r="F49" s="4"/>
      <c r="G49" s="4"/>
      <c r="H49" s="4"/>
      <c r="I49" s="4"/>
      <c r="J49" s="4" t="s">
        <v>15</v>
      </c>
      <c r="K49" s="4" t="s">
        <v>16</v>
      </c>
      <c r="L49" s="4" t="s">
        <v>7</v>
      </c>
      <c r="M49" s="4"/>
      <c r="N49" s="4" t="s">
        <v>8</v>
      </c>
      <c r="O49" s="4"/>
      <c r="P49" s="4"/>
      <c r="Q49" s="4"/>
      <c r="R49" s="4" t="s">
        <v>9</v>
      </c>
      <c r="S49" s="4"/>
      <c r="T49" s="5" t="s">
        <v>17</v>
      </c>
      <c r="U49" s="4"/>
      <c r="V49" s="5"/>
      <c r="W49" s="5"/>
      <c r="X49" s="5" t="s">
        <v>10</v>
      </c>
      <c r="Y49" s="5"/>
    </row>
    <row r="50" spans="1:26" x14ac:dyDescent="0.2">
      <c r="A50" t="s">
        <v>76</v>
      </c>
      <c r="P50" t="s">
        <v>169</v>
      </c>
    </row>
    <row r="51" spans="1:26" s="2" customFormat="1" ht="32" x14ac:dyDescent="0.2">
      <c r="A51" s="2" t="s">
        <v>20</v>
      </c>
      <c r="B51" s="2" t="s">
        <v>21</v>
      </c>
      <c r="C51" s="2" t="s">
        <v>134</v>
      </c>
      <c r="D51" s="2" t="s">
        <v>22</v>
      </c>
      <c r="E51" s="2" t="s">
        <v>33</v>
      </c>
      <c r="F51" s="2" t="s">
        <v>92</v>
      </c>
      <c r="G51" s="2" t="s">
        <v>85</v>
      </c>
      <c r="H51" s="2" t="s">
        <v>142</v>
      </c>
      <c r="I51" s="2" t="s">
        <v>43</v>
      </c>
      <c r="J51" s="2" t="s">
        <v>15</v>
      </c>
      <c r="K51" s="2" t="s">
        <v>23</v>
      </c>
      <c r="L51" s="2" t="s">
        <v>24</v>
      </c>
      <c r="N51" s="2" t="s">
        <v>25</v>
      </c>
      <c r="Q51" s="2" t="s">
        <v>143</v>
      </c>
      <c r="R51" s="2" t="s">
        <v>26</v>
      </c>
      <c r="S51" s="2" t="s">
        <v>31</v>
      </c>
      <c r="T51" s="2" t="s">
        <v>17</v>
      </c>
      <c r="U51" s="2" t="s">
        <v>60</v>
      </c>
      <c r="V51" s="2" t="s">
        <v>93</v>
      </c>
      <c r="X51" s="2" t="s">
        <v>27</v>
      </c>
    </row>
    <row r="52" spans="1:26" x14ac:dyDescent="0.2">
      <c r="A52" s="20" t="s">
        <v>45</v>
      </c>
      <c r="B52" s="21" t="s">
        <v>19</v>
      </c>
      <c r="C52" s="21"/>
      <c r="D52" s="21" t="s">
        <v>90</v>
      </c>
      <c r="E52" s="21"/>
      <c r="F52" s="21"/>
      <c r="G52" s="21"/>
      <c r="H52" s="21"/>
      <c r="I52" s="21" t="s">
        <v>82</v>
      </c>
      <c r="J52" s="21"/>
      <c r="K52" s="21"/>
      <c r="L52" s="53"/>
      <c r="M52" s="21"/>
      <c r="N52" s="21"/>
      <c r="O52" s="21"/>
      <c r="P52" s="21"/>
      <c r="Q52" s="21"/>
      <c r="R52" s="21"/>
      <c r="S52" s="21"/>
      <c r="T52" s="21"/>
      <c r="U52" s="21"/>
      <c r="V52" s="20"/>
      <c r="W52" s="21"/>
      <c r="X52" s="21"/>
      <c r="Y52" s="21" t="str">
        <f xml:space="preserve"> 1 &amp; "/" &amp; B40</f>
        <v>1/h</v>
      </c>
      <c r="Z52" t="s">
        <v>29</v>
      </c>
    </row>
    <row r="53" spans="1:26" x14ac:dyDescent="0.2">
      <c r="A53" s="19" t="s">
        <v>44</v>
      </c>
      <c r="B53" s="3" t="s">
        <v>115</v>
      </c>
      <c r="C53" s="3"/>
      <c r="D53" s="3" t="s">
        <v>90</v>
      </c>
      <c r="E53" s="3"/>
      <c r="F53" s="3"/>
      <c r="G53" s="3"/>
      <c r="H53" s="3"/>
      <c r="I53" s="3" t="s">
        <v>80</v>
      </c>
      <c r="J53" s="3"/>
      <c r="K53" s="3"/>
      <c r="L53" s="54"/>
      <c r="M53" s="3" t="str">
        <f>B43 &amp; "/time range/" &amp; B41</f>
        <v>€/time range/MW</v>
      </c>
      <c r="N53" s="3"/>
      <c r="O53" s="3" t="str">
        <f xml:space="preserve"> B43 &amp; "/" &amp; B41 &amp; B40</f>
        <v>€/MWh</v>
      </c>
      <c r="P53" s="3" t="s">
        <v>170</v>
      </c>
      <c r="Q53" s="3"/>
      <c r="R53" s="3"/>
      <c r="S53" s="3"/>
      <c r="T53" s="3"/>
      <c r="U53" s="3"/>
      <c r="V53" s="19"/>
      <c r="W53" s="3"/>
      <c r="X53" s="3"/>
      <c r="Y53" s="3"/>
    </row>
    <row r="54" spans="1:26" x14ac:dyDescent="0.2">
      <c r="A54" s="10" t="s">
        <v>44</v>
      </c>
      <c r="B54" s="22" t="s">
        <v>105</v>
      </c>
      <c r="C54" s="22"/>
      <c r="D54" s="22" t="s">
        <v>90</v>
      </c>
      <c r="E54" s="22"/>
      <c r="F54" s="22"/>
      <c r="G54" s="22"/>
      <c r="H54" s="22"/>
      <c r="I54" s="22" t="s">
        <v>81</v>
      </c>
      <c r="J54" s="22"/>
      <c r="K54" s="22"/>
      <c r="L54" s="55"/>
      <c r="M54" s="22" t="str">
        <f>B43 &amp; "/time range/" &amp; B41</f>
        <v>€/time range/MW</v>
      </c>
      <c r="N54" s="22"/>
      <c r="O54" s="22" t="str">
        <f xml:space="preserve"> B43 &amp; "/" &amp; B41 &amp; B40</f>
        <v>€/MWh</v>
      </c>
      <c r="P54" s="22" t="s">
        <v>170</v>
      </c>
      <c r="Q54" s="22"/>
      <c r="R54" s="22"/>
      <c r="S54" s="22"/>
      <c r="T54" s="22"/>
      <c r="U54" s="22"/>
      <c r="V54" s="10"/>
      <c r="W54" s="22"/>
      <c r="X54" s="22"/>
      <c r="Y54" s="22"/>
    </row>
    <row r="55" spans="1:26" x14ac:dyDescent="0.2">
      <c r="A55" s="17" t="s">
        <v>44</v>
      </c>
      <c r="B55" s="18" t="s">
        <v>159</v>
      </c>
      <c r="C55" s="18" t="s">
        <v>167</v>
      </c>
      <c r="D55" s="18" t="s">
        <v>193</v>
      </c>
      <c r="E55" s="18"/>
      <c r="F55" s="18"/>
      <c r="G55" s="18"/>
      <c r="H55" s="18"/>
      <c r="I55" s="18"/>
      <c r="J55" s="18"/>
      <c r="K55" s="18"/>
      <c r="L55" s="85">
        <f>M114*B33</f>
        <v>163392.13449645168</v>
      </c>
      <c r="M55" s="18" t="str">
        <f>B43 &amp; "/time range/" &amp; B41</f>
        <v>€/time range/MW</v>
      </c>
      <c r="N55" s="18">
        <f>P114</f>
        <v>40.714285714285708</v>
      </c>
      <c r="O55" s="18" t="str">
        <f xml:space="preserve"> B43 &amp; "/" &amp; B41 &amp; B40</f>
        <v>€/MWh</v>
      </c>
      <c r="P55" s="18" t="s">
        <v>173</v>
      </c>
      <c r="Q55" s="18"/>
      <c r="R55" s="18"/>
      <c r="S55" s="18"/>
      <c r="T55" s="18"/>
      <c r="U55" s="18"/>
      <c r="V55" s="17"/>
      <c r="W55" s="18"/>
      <c r="X55" s="18"/>
      <c r="Y55" s="18"/>
    </row>
    <row r="56" spans="1:26" x14ac:dyDescent="0.2">
      <c r="A56" s="17" t="s">
        <v>70</v>
      </c>
      <c r="B56" s="18" t="s">
        <v>160</v>
      </c>
      <c r="C56" s="18" t="s">
        <v>167</v>
      </c>
      <c r="D56" s="18" t="s">
        <v>193</v>
      </c>
      <c r="E56" s="18" t="s">
        <v>90</v>
      </c>
      <c r="F56" s="18" t="s">
        <v>97</v>
      </c>
      <c r="G56" s="18"/>
      <c r="H56" s="18"/>
      <c r="I56" s="18"/>
      <c r="J56" s="18"/>
      <c r="K56" s="18"/>
      <c r="L56" s="18">
        <v>0</v>
      </c>
      <c r="M56" s="18" t="str">
        <f>B43 &amp; "/time range/" &amp; B41</f>
        <v>€/time range/MW</v>
      </c>
      <c r="N56" s="18">
        <v>0</v>
      </c>
      <c r="O56" s="18" t="str">
        <f xml:space="preserve"> B43 &amp; "/" &amp; B41 &amp; B40</f>
        <v>€/MWh</v>
      </c>
      <c r="P56" s="18" t="s">
        <v>170</v>
      </c>
      <c r="Q56" s="18"/>
      <c r="R56" s="18"/>
      <c r="S56" s="18"/>
      <c r="T56" s="18">
        <v>1</v>
      </c>
      <c r="U56" s="18"/>
      <c r="V56" s="17" t="s">
        <v>161</v>
      </c>
      <c r="W56" s="18" t="str">
        <f>B42 &amp; "/" &amp;B41 &amp; B40</f>
        <v>t/MWh</v>
      </c>
      <c r="X56" s="18"/>
      <c r="Y56" s="18"/>
    </row>
    <row r="57" spans="1:26" x14ac:dyDescent="0.2">
      <c r="A57" s="75" t="s">
        <v>44</v>
      </c>
      <c r="B57" s="76" t="s">
        <v>162</v>
      </c>
      <c r="C57" s="76" t="s">
        <v>138</v>
      </c>
      <c r="D57" s="76" t="s">
        <v>91</v>
      </c>
      <c r="E57" s="76"/>
      <c r="F57" s="76"/>
      <c r="G57" s="76"/>
      <c r="H57" s="76"/>
      <c r="I57" s="76"/>
      <c r="J57" s="76"/>
      <c r="K57" s="76"/>
      <c r="L57" s="77"/>
      <c r="M57" s="76" t="str">
        <f>B43 &amp; "/time range/" &amp; B41</f>
        <v>€/time range/MW</v>
      </c>
      <c r="N57" s="76"/>
      <c r="O57" s="76" t="str">
        <f xml:space="preserve"> B43 &amp; "/" &amp; B41 &amp; B40</f>
        <v>€/MWh</v>
      </c>
      <c r="P57" s="76" t="s">
        <v>170</v>
      </c>
      <c r="Q57" s="76"/>
      <c r="R57" s="76"/>
      <c r="S57" s="76"/>
      <c r="T57" s="76"/>
      <c r="U57" s="76"/>
      <c r="V57" s="75"/>
      <c r="W57" s="76"/>
      <c r="X57" s="76"/>
      <c r="Y57" s="76"/>
    </row>
    <row r="58" spans="1:26" x14ac:dyDescent="0.2">
      <c r="A58" s="75" t="s">
        <v>70</v>
      </c>
      <c r="B58" s="76" t="s">
        <v>118</v>
      </c>
      <c r="C58" s="76" t="s">
        <v>138</v>
      </c>
      <c r="D58" s="76" t="s">
        <v>91</v>
      </c>
      <c r="E58" s="76" t="s">
        <v>90</v>
      </c>
      <c r="F58" s="76" t="s">
        <v>97</v>
      </c>
      <c r="G58" s="76"/>
      <c r="H58" s="76"/>
      <c r="I58" s="76"/>
      <c r="J58" s="76"/>
      <c r="K58" s="76"/>
      <c r="L58" s="76">
        <v>0</v>
      </c>
      <c r="M58" s="76" t="str">
        <f>B43 &amp; "/time range/" &amp; B41</f>
        <v>€/time range/MW</v>
      </c>
      <c r="N58" s="76">
        <v>0</v>
      </c>
      <c r="O58" s="76" t="str">
        <f xml:space="preserve"> B43 &amp; "/" &amp; B41 &amp; B40</f>
        <v>€/MWh</v>
      </c>
      <c r="P58" s="76" t="s">
        <v>170</v>
      </c>
      <c r="Q58" s="76"/>
      <c r="R58" s="76"/>
      <c r="S58" s="76"/>
      <c r="T58" s="76">
        <v>1</v>
      </c>
      <c r="U58" s="76"/>
      <c r="V58" s="75" t="s">
        <v>111</v>
      </c>
      <c r="W58" s="76" t="str">
        <f>B42 &amp; "/" &amp;B41 &amp; B40</f>
        <v>t/MWh</v>
      </c>
      <c r="X58" s="76"/>
      <c r="Y58" s="76"/>
    </row>
    <row r="59" spans="1:26" x14ac:dyDescent="0.2">
      <c r="A59" s="12" t="s">
        <v>44</v>
      </c>
      <c r="B59" s="13" t="s">
        <v>178</v>
      </c>
      <c r="C59" s="13" t="s">
        <v>190</v>
      </c>
      <c r="D59" s="13" t="s">
        <v>191</v>
      </c>
      <c r="E59" s="13"/>
      <c r="F59" s="13"/>
      <c r="G59" s="13"/>
      <c r="H59" s="13"/>
      <c r="I59" s="13"/>
      <c r="J59" s="13"/>
      <c r="K59" s="13"/>
      <c r="L59" s="89">
        <f>M117*B33</f>
        <v>463994.87451959722</v>
      </c>
      <c r="M59" s="13" t="str">
        <f>B43 &amp; "/time range/" &amp; B41</f>
        <v>€/time range/MW</v>
      </c>
      <c r="N59" s="13">
        <f>P117</f>
        <v>16600</v>
      </c>
      <c r="O59" s="13" t="str">
        <f xml:space="preserve"> B43 &amp; "/" &amp; B41 &amp; B40</f>
        <v>€/MWh</v>
      </c>
      <c r="P59" s="13" t="s">
        <v>173</v>
      </c>
      <c r="Q59" s="13"/>
      <c r="R59" s="13"/>
      <c r="S59" s="13"/>
      <c r="T59" s="13"/>
      <c r="U59" s="13"/>
      <c r="V59" s="12"/>
      <c r="W59" s="13"/>
      <c r="X59" s="13"/>
      <c r="Y59" s="13"/>
    </row>
    <row r="60" spans="1:26" x14ac:dyDescent="0.2">
      <c r="A60" s="12" t="s">
        <v>70</v>
      </c>
      <c r="B60" s="13" t="s">
        <v>189</v>
      </c>
      <c r="C60" s="13" t="s">
        <v>190</v>
      </c>
      <c r="D60" s="13" t="s">
        <v>191</v>
      </c>
      <c r="E60" s="13" t="s">
        <v>90</v>
      </c>
      <c r="F60" s="13" t="s">
        <v>97</v>
      </c>
      <c r="G60" s="13"/>
      <c r="H60" s="13"/>
      <c r="I60" s="13"/>
      <c r="J60" s="13"/>
      <c r="K60" s="13"/>
      <c r="L60" s="56">
        <v>0</v>
      </c>
      <c r="M60" s="13" t="str">
        <f>B43 &amp; "/time range/" &amp; B41</f>
        <v>€/time range/MW</v>
      </c>
      <c r="N60" s="13">
        <v>0</v>
      </c>
      <c r="O60" s="13" t="str">
        <f xml:space="preserve"> B43 &amp; "/" &amp; B41 &amp; B40</f>
        <v>€/MWh</v>
      </c>
      <c r="P60" s="13" t="s">
        <v>173</v>
      </c>
      <c r="Q60" s="13"/>
      <c r="R60" s="13"/>
      <c r="S60" s="13"/>
      <c r="T60" s="13"/>
      <c r="U60" s="13"/>
      <c r="V60" s="90">
        <f>Q117</f>
        <v>-1.22</v>
      </c>
      <c r="W60" s="13" t="str">
        <f>B42 &amp; "/" &amp;B41 &amp; B40</f>
        <v>t/MWh</v>
      </c>
      <c r="X60" s="13"/>
      <c r="Y60" s="13"/>
    </row>
    <row r="61" spans="1:26" x14ac:dyDescent="0.2">
      <c r="A61" s="23" t="s">
        <v>44</v>
      </c>
      <c r="B61" s="24" t="s">
        <v>79</v>
      </c>
      <c r="C61" s="24" t="s">
        <v>79</v>
      </c>
      <c r="D61" s="24" t="s">
        <v>165</v>
      </c>
      <c r="E61" s="24"/>
      <c r="F61" s="24"/>
      <c r="G61" s="24"/>
      <c r="H61" s="24"/>
      <c r="I61" s="24"/>
      <c r="J61" s="24"/>
      <c r="K61" s="24"/>
      <c r="L61" s="57"/>
      <c r="M61" s="24" t="str">
        <f>B43 &amp; "/time range/" &amp; B41</f>
        <v>€/time range/MW</v>
      </c>
      <c r="N61" s="24"/>
      <c r="O61" s="24" t="str">
        <f xml:space="preserve"> B43 &amp; "/" &amp; B41 &amp; B40</f>
        <v>€/MWh</v>
      </c>
      <c r="P61" s="24" t="s">
        <v>170</v>
      </c>
      <c r="Q61" s="24"/>
      <c r="R61" s="24"/>
      <c r="S61" s="24"/>
      <c r="T61" s="24"/>
      <c r="U61" s="24"/>
      <c r="V61" s="23"/>
      <c r="W61" s="24"/>
      <c r="X61" s="24"/>
      <c r="Y61" s="24"/>
    </row>
    <row r="62" spans="1:26" x14ac:dyDescent="0.2">
      <c r="A62" s="23" t="s">
        <v>70</v>
      </c>
      <c r="B62" s="24" t="s">
        <v>164</v>
      </c>
      <c r="C62" s="24" t="s">
        <v>79</v>
      </c>
      <c r="D62" s="24" t="s">
        <v>165</v>
      </c>
      <c r="E62" s="24" t="s">
        <v>90</v>
      </c>
      <c r="F62" s="24" t="s">
        <v>97</v>
      </c>
      <c r="G62" s="24"/>
      <c r="H62" s="24"/>
      <c r="I62" s="24"/>
      <c r="J62" s="24"/>
      <c r="K62" s="24"/>
      <c r="L62" s="57">
        <v>0</v>
      </c>
      <c r="M62" s="24" t="str">
        <f>B43 &amp; "/time range/" &amp; B41</f>
        <v>€/time range/MW</v>
      </c>
      <c r="N62" s="24">
        <v>0</v>
      </c>
      <c r="O62" s="24" t="str">
        <f xml:space="preserve"> B43 &amp; "/" &amp; B41 &amp; B40</f>
        <v>€/MWh</v>
      </c>
      <c r="P62" s="24" t="s">
        <v>170</v>
      </c>
      <c r="Q62" s="24"/>
      <c r="R62" s="24"/>
      <c r="S62" s="24"/>
      <c r="T62" s="24">
        <v>1</v>
      </c>
      <c r="U62" s="24"/>
      <c r="V62" s="23" t="s">
        <v>111</v>
      </c>
      <c r="W62" s="24" t="str">
        <f>B42 &amp; "/" &amp;B41 &amp; B40</f>
        <v>t/MWh</v>
      </c>
      <c r="X62" s="24"/>
      <c r="Y62" s="24"/>
    </row>
    <row r="63" spans="1:26" x14ac:dyDescent="0.2">
      <c r="A63" s="34" t="s">
        <v>44</v>
      </c>
      <c r="B63" s="35" t="s">
        <v>30</v>
      </c>
      <c r="C63" s="35"/>
      <c r="D63" s="35" t="s">
        <v>90</v>
      </c>
      <c r="E63" s="35"/>
      <c r="F63" s="35"/>
      <c r="G63" s="35"/>
      <c r="H63" s="35"/>
      <c r="I63" s="35"/>
      <c r="J63" s="35"/>
      <c r="K63" s="35"/>
      <c r="L63" s="78"/>
      <c r="M63" s="35" t="str">
        <f>B43 &amp; "/time range/" &amp; B41</f>
        <v>€/time range/MW</v>
      </c>
      <c r="N63" s="35"/>
      <c r="O63" s="35" t="str">
        <f xml:space="preserve"> B43 &amp; "/" &amp; B41 &amp; B40</f>
        <v>€/MWh</v>
      </c>
      <c r="P63" s="35" t="s">
        <v>170</v>
      </c>
      <c r="Q63" s="35"/>
      <c r="R63" s="35"/>
      <c r="S63" s="35"/>
      <c r="T63" s="35"/>
      <c r="U63" s="35"/>
      <c r="V63" s="34"/>
      <c r="W63" s="35"/>
      <c r="X63" s="35"/>
      <c r="Y63" s="35"/>
    </row>
    <row r="64" spans="1:26" x14ac:dyDescent="0.2">
      <c r="A64" s="14" t="s">
        <v>44</v>
      </c>
      <c r="B64" s="15" t="s">
        <v>107</v>
      </c>
      <c r="C64" s="15"/>
      <c r="D64" s="15" t="s">
        <v>90</v>
      </c>
      <c r="E64" s="15"/>
      <c r="F64" s="15"/>
      <c r="G64" s="15"/>
      <c r="H64" s="15"/>
      <c r="I64" s="15"/>
      <c r="J64" s="15"/>
      <c r="K64" s="15"/>
      <c r="L64" s="58"/>
      <c r="M64" s="15" t="str">
        <f>B43 &amp; "/time range/" &amp; B41</f>
        <v>€/time range/MW</v>
      </c>
      <c r="N64" s="15"/>
      <c r="O64" s="15" t="str">
        <f xml:space="preserve"> B43 &amp; "/" &amp; B41 &amp; B40</f>
        <v>€/MWh</v>
      </c>
      <c r="P64" s="15" t="s">
        <v>170</v>
      </c>
      <c r="Q64" s="15"/>
      <c r="R64" s="15"/>
      <c r="S64" s="15"/>
      <c r="T64" s="15"/>
      <c r="U64" s="15"/>
      <c r="V64" s="14"/>
      <c r="W64" s="15"/>
      <c r="X64" s="15"/>
      <c r="Y64" s="15"/>
    </row>
    <row r="65" spans="1:26" x14ac:dyDescent="0.2">
      <c r="A65" s="25" t="s">
        <v>110</v>
      </c>
      <c r="B65" s="26" t="s">
        <v>109</v>
      </c>
      <c r="C65" s="26"/>
      <c r="D65" s="26" t="s">
        <v>90</v>
      </c>
      <c r="E65" s="26"/>
      <c r="F65" s="26"/>
      <c r="G65" s="26"/>
      <c r="H65" s="26"/>
      <c r="I65" s="26"/>
      <c r="J65" s="26"/>
      <c r="K65" s="26"/>
      <c r="L65" s="59" t="str">
        <f xml:space="preserve"> R65&amp;"*capital_cost"</f>
        <v>6*capital_cost</v>
      </c>
      <c r="M65" s="26" t="str">
        <f>B43 &amp; "/time range/" &amp; B41</f>
        <v>€/time range/MW</v>
      </c>
      <c r="N65" s="26">
        <v>1.4999999999999999E-2</v>
      </c>
      <c r="O65" s="26" t="str">
        <f xml:space="preserve"> B43 &amp; "/" &amp; B41 &amp; B40</f>
        <v>€/MWh</v>
      </c>
      <c r="P65" s="26" t="s">
        <v>170</v>
      </c>
      <c r="Q65" s="26"/>
      <c r="R65" s="26">
        <v>6</v>
      </c>
      <c r="S65" s="26" t="b">
        <v>1</v>
      </c>
      <c r="T65" s="26"/>
      <c r="U65" s="26"/>
      <c r="V65" s="25"/>
      <c r="W65" s="26"/>
      <c r="X65" s="26"/>
      <c r="Y65" s="26"/>
    </row>
    <row r="66" spans="1:26" x14ac:dyDescent="0.2">
      <c r="A66" s="27" t="s">
        <v>70</v>
      </c>
      <c r="B66" s="28" t="s">
        <v>32</v>
      </c>
      <c r="C66" s="28" t="s">
        <v>136</v>
      </c>
      <c r="D66" s="28" t="s">
        <v>90</v>
      </c>
      <c r="E66" s="28" t="s">
        <v>34</v>
      </c>
      <c r="F66" s="28"/>
      <c r="G66" s="28"/>
      <c r="H66" s="28"/>
      <c r="I66" s="28"/>
      <c r="J66" s="28"/>
      <c r="K66" s="28"/>
      <c r="L66" s="60"/>
      <c r="M66" s="28" t="str">
        <f>B43 &amp; "/time range/" &amp; B41</f>
        <v>€/time range/MW</v>
      </c>
      <c r="N66" s="28">
        <v>0.02</v>
      </c>
      <c r="O66" s="28" t="str">
        <f xml:space="preserve"> B43 &amp; "/" &amp; B41 &amp; B40</f>
        <v>€/MWh</v>
      </c>
      <c r="P66" s="28" t="s">
        <v>170</v>
      </c>
      <c r="Q66" s="28"/>
      <c r="R66" s="28"/>
      <c r="S66" s="28"/>
      <c r="T66" s="28"/>
      <c r="U66" s="28"/>
      <c r="V66" s="27"/>
      <c r="W66" s="28"/>
      <c r="X66" s="28"/>
      <c r="Y66" s="28"/>
    </row>
    <row r="67" spans="1:26" x14ac:dyDescent="0.2">
      <c r="A67" s="27" t="s">
        <v>71</v>
      </c>
      <c r="B67" s="28" t="s">
        <v>114</v>
      </c>
      <c r="C67" s="28" t="s">
        <v>136</v>
      </c>
      <c r="D67" s="28" t="s">
        <v>34</v>
      </c>
      <c r="E67" s="28"/>
      <c r="F67" s="28"/>
      <c r="G67" s="28"/>
      <c r="H67" s="28"/>
      <c r="I67" s="28"/>
      <c r="J67" s="28"/>
      <c r="K67" s="28"/>
      <c r="L67" s="60"/>
      <c r="M67" s="28" t="str">
        <f>B43 &amp; "/time range/" &amp; B41 &amp; B40</f>
        <v>€/time range/MWh</v>
      </c>
      <c r="N67" s="28"/>
      <c r="O67" s="28" t="str">
        <f xml:space="preserve"> B43 &amp; "/" &amp; B41 &amp; B40</f>
        <v>€/MWh</v>
      </c>
      <c r="P67" s="28" t="s">
        <v>170</v>
      </c>
      <c r="Q67" s="28"/>
      <c r="R67" s="28"/>
      <c r="S67" s="28"/>
      <c r="T67" s="28"/>
      <c r="U67" s="28"/>
      <c r="V67" s="27"/>
      <c r="W67" s="28"/>
      <c r="X67" s="74">
        <v>3.9999999999999998E-6</v>
      </c>
      <c r="Y67" s="28"/>
    </row>
    <row r="68" spans="1:26" x14ac:dyDescent="0.2">
      <c r="A68" s="27" t="s">
        <v>70</v>
      </c>
      <c r="B68" s="28" t="s">
        <v>108</v>
      </c>
      <c r="C68" s="28" t="s">
        <v>136</v>
      </c>
      <c r="D68" s="28" t="s">
        <v>34</v>
      </c>
      <c r="E68" s="28" t="s">
        <v>90</v>
      </c>
      <c r="F68" s="28"/>
      <c r="G68" s="28"/>
      <c r="H68" s="28"/>
      <c r="I68" s="28"/>
      <c r="J68" s="28"/>
      <c r="K68" s="28"/>
      <c r="L68" s="60"/>
      <c r="M68" s="28" t="str">
        <f>B43 &amp; "/time range/" &amp; B41</f>
        <v>€/time range/MW</v>
      </c>
      <c r="N68" s="28"/>
      <c r="O68" s="28" t="str">
        <f xml:space="preserve"> B43 &amp; "/" &amp; B41 &amp; B40</f>
        <v>€/MWh</v>
      </c>
      <c r="P68" s="28" t="s">
        <v>170</v>
      </c>
      <c r="Q68" s="28"/>
      <c r="R68" s="28"/>
      <c r="S68" s="28"/>
      <c r="T68" s="28"/>
      <c r="U68" s="28"/>
      <c r="V68" s="27"/>
      <c r="W68" s="28"/>
      <c r="X68" s="28"/>
      <c r="Y68" s="28"/>
    </row>
    <row r="69" spans="1:26" x14ac:dyDescent="0.2">
      <c r="A69" s="29" t="s">
        <v>70</v>
      </c>
      <c r="B69" s="30" t="s">
        <v>119</v>
      </c>
      <c r="C69" s="30" t="s">
        <v>137</v>
      </c>
      <c r="D69" s="30" t="s">
        <v>90</v>
      </c>
      <c r="E69" s="30" t="s">
        <v>87</v>
      </c>
      <c r="F69" s="30"/>
      <c r="G69" s="30">
        <v>-1</v>
      </c>
      <c r="H69" s="30"/>
      <c r="I69" s="30"/>
      <c r="J69" s="30"/>
      <c r="K69" s="30"/>
      <c r="L69" s="31">
        <f>M112*B34</f>
        <v>146504.14624940392</v>
      </c>
      <c r="M69" s="30" t="str">
        <f>B43 &amp; "/time range/" &amp; B41</f>
        <v>€/time range/MW</v>
      </c>
      <c r="N69" s="30">
        <f>P112</f>
        <v>2.9999999999999997E-4</v>
      </c>
      <c r="O69" s="30" t="str">
        <f xml:space="preserve"> B43 &amp; "/" &amp; B41 &amp; B40</f>
        <v>€/MWh</v>
      </c>
      <c r="P69" s="30" t="s">
        <v>171</v>
      </c>
      <c r="Q69" s="30"/>
      <c r="R69" s="30"/>
      <c r="S69" s="30"/>
      <c r="T69" s="30"/>
      <c r="U69" s="30"/>
      <c r="V69" s="29"/>
      <c r="W69" s="30"/>
      <c r="X69" s="30"/>
      <c r="Y69" s="30"/>
      <c r="Z69" t="s">
        <v>88</v>
      </c>
    </row>
    <row r="70" spans="1:26" x14ac:dyDescent="0.2">
      <c r="A70" s="29" t="s">
        <v>71</v>
      </c>
      <c r="B70" s="30" t="s">
        <v>120</v>
      </c>
      <c r="C70" s="30" t="s">
        <v>137</v>
      </c>
      <c r="D70" s="30" t="s">
        <v>87</v>
      </c>
      <c r="E70" s="30"/>
      <c r="F70" s="30"/>
      <c r="G70" s="30"/>
      <c r="H70" s="30"/>
      <c r="I70" s="30"/>
      <c r="J70" s="30"/>
      <c r="K70" s="30"/>
      <c r="L70" s="31">
        <f>M111*B34</f>
        <v>8456.1894176967999</v>
      </c>
      <c r="M70" s="30" t="str">
        <f>B43 &amp; "/time range/" &amp; B41 &amp; B40</f>
        <v>€/time range/MWh</v>
      </c>
      <c r="N70" s="30"/>
      <c r="O70" s="30" t="str">
        <f xml:space="preserve"> B43 &amp; "/" &amp; B41 &amp; B40</f>
        <v>€/MWh</v>
      </c>
      <c r="P70" s="30" t="s">
        <v>171</v>
      </c>
      <c r="Q70" s="30"/>
      <c r="R70" s="30"/>
      <c r="S70" s="30"/>
      <c r="T70" s="30"/>
      <c r="U70" s="30"/>
      <c r="V70" s="29"/>
      <c r="W70" s="30"/>
      <c r="X70" s="30"/>
      <c r="Y70" s="30"/>
      <c r="Z70" t="s">
        <v>89</v>
      </c>
    </row>
    <row r="71" spans="1:26" x14ac:dyDescent="0.2">
      <c r="A71" s="61" t="s">
        <v>71</v>
      </c>
      <c r="B71" s="62" t="s">
        <v>139</v>
      </c>
      <c r="C71" s="62"/>
      <c r="D71" s="62" t="s">
        <v>90</v>
      </c>
      <c r="E71" s="62"/>
      <c r="F71" s="62"/>
      <c r="G71" s="62"/>
      <c r="H71" s="62"/>
      <c r="I71" s="62"/>
      <c r="J71" s="62"/>
      <c r="K71" s="62"/>
      <c r="L71" s="80">
        <f>H120/8784*B34</f>
        <v>250000</v>
      </c>
      <c r="M71" s="62" t="str">
        <f>B43 &amp; "/time range/" &amp; B41</f>
        <v>€/time range/MW</v>
      </c>
      <c r="N71" s="62"/>
      <c r="O71" s="62" t="str">
        <f xml:space="preserve"> B43 &amp; "/" &amp; B41 &amp; B40</f>
        <v>€/MWh</v>
      </c>
      <c r="P71" s="62" t="s">
        <v>172</v>
      </c>
      <c r="Q71" s="62">
        <v>-1</v>
      </c>
      <c r="R71" s="62"/>
      <c r="S71" s="62"/>
      <c r="T71" s="62"/>
      <c r="U71" s="62"/>
      <c r="V71" s="61"/>
      <c r="W71" s="62"/>
      <c r="X71" s="62"/>
      <c r="Y71" s="62"/>
    </row>
    <row r="72" spans="1:26" x14ac:dyDescent="0.2">
      <c r="A72" s="63" t="s">
        <v>71</v>
      </c>
      <c r="B72" s="64" t="s">
        <v>140</v>
      </c>
      <c r="C72" s="64"/>
      <c r="D72" s="64" t="s">
        <v>90</v>
      </c>
      <c r="E72" s="64"/>
      <c r="F72" s="64"/>
      <c r="G72" s="64"/>
      <c r="H72" s="64"/>
      <c r="I72" s="64"/>
      <c r="J72" s="64"/>
      <c r="K72" s="64"/>
      <c r="L72" s="81">
        <f>H120/8784*B34</f>
        <v>250000</v>
      </c>
      <c r="M72" s="64" t="str">
        <f>B43 &amp; "/time range/" &amp; B41</f>
        <v>€/time range/MW</v>
      </c>
      <c r="N72" s="64"/>
      <c r="O72" s="64" t="str">
        <f xml:space="preserve"> B43 &amp; "/" &amp; B41 &amp; B40</f>
        <v>€/MWh</v>
      </c>
      <c r="P72" s="64" t="s">
        <v>172</v>
      </c>
      <c r="Q72" s="64"/>
      <c r="R72" s="64"/>
      <c r="S72" s="64"/>
      <c r="T72" s="64"/>
      <c r="U72" s="64"/>
      <c r="V72" s="63"/>
      <c r="W72" s="64"/>
      <c r="X72" s="64"/>
      <c r="Y72" s="64"/>
    </row>
    <row r="73" spans="1:26" x14ac:dyDescent="0.2">
      <c r="A73" s="71" t="s">
        <v>44</v>
      </c>
      <c r="B73" s="72" t="s">
        <v>156</v>
      </c>
      <c r="C73" s="72"/>
      <c r="D73" s="72" t="s">
        <v>90</v>
      </c>
      <c r="E73" s="72"/>
      <c r="F73" s="72"/>
      <c r="G73" s="72"/>
      <c r="H73" s="72"/>
      <c r="I73" s="72"/>
      <c r="J73" s="72"/>
      <c r="K73" s="72"/>
      <c r="L73" s="82"/>
      <c r="M73" s="72" t="str">
        <f>B43 &amp; "/time range/" &amp; B41</f>
        <v>€/time range/MW</v>
      </c>
      <c r="N73" s="72">
        <f>P119</f>
        <v>10000</v>
      </c>
      <c r="O73" s="72" t="str">
        <f xml:space="preserve"> B43 &amp; "/" &amp; B41 &amp; B40</f>
        <v>€/MWh</v>
      </c>
      <c r="P73" s="72" t="s">
        <v>192</v>
      </c>
      <c r="Q73" s="72"/>
      <c r="R73" s="72"/>
      <c r="S73" s="72"/>
      <c r="T73" s="72"/>
      <c r="U73" s="72"/>
      <c r="V73" s="71"/>
      <c r="W73" s="72"/>
      <c r="X73" s="72"/>
      <c r="Y73" s="72"/>
    </row>
    <row r="74" spans="1:26" x14ac:dyDescent="0.2">
      <c r="A74" s="69" t="s">
        <v>70</v>
      </c>
      <c r="B74" s="70" t="s">
        <v>103</v>
      </c>
      <c r="C74" s="70"/>
      <c r="D74" s="70" t="s">
        <v>97</v>
      </c>
      <c r="E74" s="70" t="s">
        <v>78</v>
      </c>
      <c r="F74" s="70" t="s">
        <v>90</v>
      </c>
      <c r="G74" s="70"/>
      <c r="H74" s="70"/>
      <c r="I74" s="70"/>
      <c r="J74" s="70"/>
      <c r="K74" s="70"/>
      <c r="L74" s="83"/>
      <c r="M74" s="70" t="str">
        <f>B43 &amp; "/time range/" &amp; B41</f>
        <v>€/time range/MW</v>
      </c>
      <c r="N74" s="70"/>
      <c r="O74" s="70" t="str">
        <f xml:space="preserve"> B43 &amp; "/" &amp; B41 &amp; B40</f>
        <v>€/MWh</v>
      </c>
      <c r="P74" s="70" t="s">
        <v>170</v>
      </c>
      <c r="Q74" s="70"/>
      <c r="R74" s="70"/>
      <c r="S74" s="70"/>
      <c r="T74" s="70"/>
      <c r="U74" s="70"/>
      <c r="V74" s="69" t="s">
        <v>166</v>
      </c>
      <c r="W74" s="70" t="str">
        <f xml:space="preserve"> B41 &amp; B40  &amp; "/" &amp;  B42</f>
        <v>MWh/t</v>
      </c>
      <c r="X74" s="70"/>
      <c r="Y74" s="70"/>
    </row>
    <row r="75" spans="1:26" x14ac:dyDescent="0.2">
      <c r="A75" s="32" t="s">
        <v>71</v>
      </c>
      <c r="B75" s="33" t="s">
        <v>155</v>
      </c>
      <c r="C75" s="33"/>
      <c r="D75" s="33" t="s">
        <v>97</v>
      </c>
      <c r="E75" s="33"/>
      <c r="F75" s="33"/>
      <c r="G75" s="33"/>
      <c r="H75" s="33"/>
      <c r="I75" s="33"/>
      <c r="J75" s="33"/>
      <c r="K75" s="33">
        <v>0</v>
      </c>
      <c r="L75" s="84"/>
      <c r="M75" s="33" t="str">
        <f>B43 &amp; "/time range/" &amp; B41</f>
        <v>€/time range/MW</v>
      </c>
      <c r="N75" s="33"/>
      <c r="O75" s="33" t="str">
        <f xml:space="preserve"> B43 &amp; "/" &amp; B41 &amp; B40</f>
        <v>€/MWh</v>
      </c>
      <c r="P75" s="33" t="s">
        <v>174</v>
      </c>
      <c r="Q75" s="33"/>
      <c r="R75" s="33"/>
      <c r="S75" s="33"/>
      <c r="T75" s="33"/>
      <c r="U75" s="33"/>
      <c r="V75" s="32"/>
      <c r="W75" s="33"/>
      <c r="X75" s="33"/>
      <c r="Y75" s="33"/>
    </row>
    <row r="76" spans="1:26" x14ac:dyDescent="0.2">
      <c r="A76" s="66" t="s">
        <v>71</v>
      </c>
      <c r="B76" s="67" t="s">
        <v>113</v>
      </c>
      <c r="C76" s="67"/>
      <c r="D76" s="67" t="s">
        <v>78</v>
      </c>
      <c r="E76" s="67"/>
      <c r="F76" s="67"/>
      <c r="G76" s="67"/>
      <c r="H76" s="67"/>
      <c r="I76" s="67"/>
      <c r="J76" s="67"/>
      <c r="K76" s="67"/>
      <c r="L76" s="67"/>
      <c r="M76" s="67" t="str">
        <f>B43 &amp; "/time range/" &amp; "CO2"</f>
        <v>€/time range/CO2</v>
      </c>
      <c r="N76" s="67"/>
      <c r="O76" s="67"/>
      <c r="P76" s="67" t="s">
        <v>170</v>
      </c>
      <c r="Q76" s="67"/>
      <c r="R76" s="67"/>
      <c r="S76" s="67"/>
      <c r="T76" s="67"/>
      <c r="U76" s="67"/>
      <c r="V76" s="66"/>
      <c r="W76" s="67"/>
      <c r="X76" s="67"/>
      <c r="Y76" s="67"/>
    </row>
    <row r="78" spans="1:26" x14ac:dyDescent="0.2">
      <c r="A78" t="s">
        <v>77</v>
      </c>
    </row>
    <row r="80" spans="1:26" x14ac:dyDescent="0.2">
      <c r="A80" t="s">
        <v>41</v>
      </c>
    </row>
    <row r="81" spans="1:17" x14ac:dyDescent="0.2">
      <c r="A81" t="s">
        <v>28</v>
      </c>
    </row>
    <row r="82" spans="1:17" x14ac:dyDescent="0.2">
      <c r="A82" t="s">
        <v>66</v>
      </c>
      <c r="O82" s="9"/>
      <c r="P82" s="9"/>
      <c r="Q82" s="9"/>
    </row>
    <row r="84" spans="1:17" x14ac:dyDescent="0.2">
      <c r="A84" t="s">
        <v>116</v>
      </c>
    </row>
    <row r="85" spans="1:17" x14ac:dyDescent="0.2">
      <c r="A85" t="s">
        <v>117</v>
      </c>
    </row>
    <row r="86" spans="1:17" x14ac:dyDescent="0.2">
      <c r="A86" t="s">
        <v>135</v>
      </c>
    </row>
    <row r="88" spans="1:17" ht="15" customHeight="1" x14ac:dyDescent="0.2">
      <c r="A88" s="37" t="s">
        <v>121</v>
      </c>
      <c r="E88" s="36"/>
      <c r="F88" s="36"/>
      <c r="G88" s="36"/>
      <c r="H88" s="36"/>
      <c r="I88" s="36"/>
      <c r="J88" s="36"/>
      <c r="K88" s="36"/>
      <c r="L88" s="36"/>
      <c r="M88" s="2"/>
      <c r="N88" s="2"/>
    </row>
    <row r="89" spans="1:17" x14ac:dyDescent="0.2">
      <c r="A89" s="37"/>
      <c r="B89" s="38" t="s">
        <v>150</v>
      </c>
      <c r="C89" s="40" t="s">
        <v>122</v>
      </c>
      <c r="E89" s="36"/>
      <c r="F89" s="36"/>
      <c r="G89" s="36"/>
      <c r="H89" s="36"/>
      <c r="I89" s="36"/>
      <c r="J89" s="36"/>
      <c r="K89" s="36"/>
      <c r="L89" s="36"/>
      <c r="M89" s="2"/>
      <c r="N89" s="2"/>
    </row>
    <row r="90" spans="1:17" x14ac:dyDescent="0.2">
      <c r="A90" s="37"/>
      <c r="B90" s="39"/>
      <c r="C90" s="41" t="s">
        <v>123</v>
      </c>
      <c r="E90" s="36"/>
      <c r="F90" s="36"/>
      <c r="G90" s="36"/>
      <c r="H90" s="36"/>
      <c r="I90" s="36"/>
      <c r="J90" s="36"/>
      <c r="K90" s="36"/>
      <c r="L90" s="36"/>
      <c r="M90" s="2"/>
      <c r="N90" s="2"/>
    </row>
    <row r="91" spans="1:17" x14ac:dyDescent="0.2">
      <c r="A91" s="37"/>
      <c r="B91" s="39"/>
      <c r="C91" s="41"/>
      <c r="E91" s="36"/>
      <c r="F91" s="36"/>
      <c r="G91" s="36"/>
      <c r="H91" s="36"/>
      <c r="I91" s="36"/>
      <c r="J91" s="36"/>
      <c r="K91" s="36"/>
      <c r="L91" s="36"/>
      <c r="M91" s="2"/>
      <c r="N91" s="2"/>
    </row>
    <row r="92" spans="1:17" x14ac:dyDescent="0.2">
      <c r="A92" s="37"/>
      <c r="B92" s="38" t="s">
        <v>152</v>
      </c>
      <c r="C92" s="68" t="s">
        <v>183</v>
      </c>
      <c r="E92" s="36"/>
      <c r="F92" s="36"/>
      <c r="G92" s="36"/>
      <c r="H92" s="36"/>
      <c r="I92" s="36"/>
      <c r="J92" s="36"/>
      <c r="K92" s="36"/>
      <c r="L92" s="36"/>
      <c r="M92" s="2"/>
      <c r="N92" s="2"/>
    </row>
    <row r="93" spans="1:17" x14ac:dyDescent="0.2">
      <c r="A93" s="37"/>
      <c r="B93" s="38"/>
      <c r="C93" s="79" t="s">
        <v>182</v>
      </c>
      <c r="E93" s="36"/>
      <c r="F93" s="36"/>
      <c r="G93" s="36"/>
      <c r="H93" s="36"/>
      <c r="I93" s="36"/>
      <c r="J93" s="36"/>
      <c r="K93" s="36"/>
      <c r="L93" s="36"/>
      <c r="M93" s="2"/>
      <c r="N93" s="2"/>
    </row>
    <row r="94" spans="1:17" x14ac:dyDescent="0.2">
      <c r="A94" s="37"/>
      <c r="B94" s="38"/>
      <c r="C94" s="79"/>
      <c r="E94" s="36"/>
      <c r="F94" s="36"/>
      <c r="G94" s="36"/>
      <c r="H94" s="36"/>
      <c r="I94" s="36"/>
      <c r="J94" s="36"/>
      <c r="K94" s="36"/>
      <c r="L94" s="36"/>
      <c r="M94" s="2"/>
      <c r="N94" s="2"/>
    </row>
    <row r="95" spans="1:17" x14ac:dyDescent="0.2">
      <c r="A95" s="37"/>
      <c r="B95" s="38" t="s">
        <v>184</v>
      </c>
      <c r="C95" s="86" t="s">
        <v>173</v>
      </c>
      <c r="E95" s="36"/>
      <c r="F95" s="36"/>
      <c r="G95" s="36"/>
      <c r="H95" s="36"/>
      <c r="I95" s="36"/>
      <c r="J95" s="36"/>
      <c r="K95" s="36"/>
      <c r="L95" s="36"/>
      <c r="M95" s="2"/>
      <c r="N95" s="2"/>
    </row>
    <row r="96" spans="1:17" x14ac:dyDescent="0.2">
      <c r="A96" s="37"/>
      <c r="B96" s="38"/>
      <c r="C96" s="79" t="s">
        <v>185</v>
      </c>
      <c r="E96" s="36"/>
      <c r="F96" s="36"/>
      <c r="G96" s="36"/>
      <c r="H96" s="36"/>
      <c r="I96" s="36"/>
      <c r="J96" s="36"/>
      <c r="K96" s="36"/>
      <c r="L96" s="36"/>
      <c r="M96" s="2"/>
      <c r="N96" s="2"/>
    </row>
    <row r="97" spans="1:18" s="11" customFormat="1" ht="20" customHeight="1" x14ac:dyDescent="0.2">
      <c r="A97" s="37"/>
      <c r="B97" s="39"/>
      <c r="C97" s="41"/>
      <c r="D97"/>
      <c r="E97" s="36"/>
      <c r="F97" s="36"/>
      <c r="G97" s="36"/>
      <c r="H97" s="36"/>
      <c r="I97" s="36"/>
      <c r="J97" s="36"/>
      <c r="K97" s="36"/>
      <c r="L97" s="36"/>
      <c r="M97" s="2"/>
      <c r="N97" s="2"/>
      <c r="O97"/>
      <c r="P97"/>
      <c r="Q97"/>
      <c r="R97"/>
    </row>
    <row r="98" spans="1:18" ht="15" customHeight="1" x14ac:dyDescent="0.2">
      <c r="A98" s="37"/>
      <c r="B98" s="38" t="s">
        <v>145</v>
      </c>
      <c r="C98" t="s">
        <v>147</v>
      </c>
      <c r="E98" s="36"/>
      <c r="F98" s="36"/>
      <c r="G98" s="36"/>
      <c r="H98" s="36"/>
      <c r="I98" s="36"/>
      <c r="J98" s="36"/>
      <c r="K98" s="36"/>
      <c r="L98" s="36"/>
      <c r="M98" s="2"/>
      <c r="N98" s="2"/>
    </row>
    <row r="99" spans="1:18" x14ac:dyDescent="0.2">
      <c r="A99" s="37"/>
      <c r="B99" s="38"/>
      <c r="C99" s="65" t="s">
        <v>146</v>
      </c>
      <c r="E99" s="36"/>
      <c r="F99" s="36"/>
      <c r="G99" s="36"/>
      <c r="H99" s="36"/>
      <c r="I99" s="36"/>
      <c r="J99" s="36"/>
      <c r="K99" s="36"/>
      <c r="L99" s="36"/>
      <c r="M99" s="2"/>
      <c r="N99" s="2"/>
    </row>
    <row r="100" spans="1:18" x14ac:dyDescent="0.2">
      <c r="A100" s="37"/>
      <c r="B100" s="38"/>
      <c r="C100" s="65"/>
      <c r="E100" s="36"/>
      <c r="F100" s="36"/>
      <c r="G100" s="36"/>
      <c r="H100" s="36"/>
      <c r="I100" s="36"/>
      <c r="J100" s="36"/>
      <c r="K100" s="36"/>
      <c r="L100" s="36"/>
      <c r="M100" s="2"/>
      <c r="N100" s="2"/>
    </row>
    <row r="101" spans="1:18" x14ac:dyDescent="0.2">
      <c r="A101" s="37"/>
      <c r="B101" s="38" t="s">
        <v>179</v>
      </c>
      <c r="C101" s="86" t="s">
        <v>181</v>
      </c>
      <c r="E101" s="36"/>
      <c r="F101" s="36"/>
      <c r="G101" s="36"/>
      <c r="H101" s="36"/>
      <c r="I101" s="36"/>
      <c r="J101" s="36"/>
      <c r="K101" s="36"/>
      <c r="L101" s="36"/>
      <c r="M101" s="2"/>
      <c r="N101" s="2"/>
    </row>
    <row r="102" spans="1:18" x14ac:dyDescent="0.2">
      <c r="A102" s="37"/>
      <c r="B102" s="38"/>
      <c r="C102" s="65" t="s">
        <v>180</v>
      </c>
      <c r="E102" s="36"/>
      <c r="F102" s="36"/>
      <c r="G102" s="36"/>
      <c r="H102" s="36"/>
      <c r="I102" s="36"/>
      <c r="J102" s="36"/>
      <c r="K102" s="36"/>
      <c r="L102" s="36"/>
      <c r="M102" s="2"/>
      <c r="N102" s="2"/>
    </row>
    <row r="103" spans="1:18" x14ac:dyDescent="0.2">
      <c r="A103" s="37"/>
      <c r="E103" s="36"/>
      <c r="F103" s="36"/>
      <c r="G103" s="36"/>
      <c r="H103" s="36"/>
      <c r="I103" s="36"/>
      <c r="J103" s="36"/>
      <c r="K103" s="36"/>
      <c r="L103" s="36"/>
      <c r="M103" s="2"/>
      <c r="N103" s="2"/>
    </row>
    <row r="104" spans="1:18" x14ac:dyDescent="0.2">
      <c r="A104" s="37"/>
      <c r="B104" s="38" t="s">
        <v>151</v>
      </c>
      <c r="C104" t="s">
        <v>149</v>
      </c>
      <c r="F104" s="36"/>
      <c r="G104" s="36"/>
      <c r="H104" s="36"/>
      <c r="I104" s="36"/>
      <c r="J104" s="36"/>
      <c r="K104" s="36"/>
      <c r="L104" s="36"/>
      <c r="M104" s="2"/>
      <c r="N104" s="2"/>
    </row>
    <row r="105" spans="1:18" x14ac:dyDescent="0.2">
      <c r="A105" s="37"/>
      <c r="B105" s="38"/>
      <c r="C105" s="39" t="s">
        <v>148</v>
      </c>
      <c r="F105" s="36"/>
      <c r="G105" s="36"/>
      <c r="H105" s="36"/>
      <c r="I105" s="36"/>
      <c r="J105" s="36"/>
      <c r="K105" s="36"/>
      <c r="L105" s="36"/>
      <c r="M105" s="2"/>
      <c r="N105" s="2"/>
    </row>
    <row r="106" spans="1:18" x14ac:dyDescent="0.2">
      <c r="A106" s="37"/>
      <c r="B106" s="38"/>
      <c r="C106" s="39"/>
      <c r="F106" s="36"/>
      <c r="G106" s="36"/>
      <c r="H106" s="36"/>
      <c r="I106" s="36"/>
      <c r="J106" s="36"/>
      <c r="K106" s="36"/>
      <c r="L106" s="36"/>
      <c r="M106" s="2"/>
      <c r="N106" s="2"/>
    </row>
    <row r="107" spans="1:18" x14ac:dyDescent="0.2">
      <c r="A107" s="37"/>
      <c r="B107" s="39"/>
      <c r="E107" s="36"/>
      <c r="F107" s="36"/>
      <c r="G107" s="36"/>
      <c r="H107" s="36"/>
      <c r="I107" s="36"/>
      <c r="J107" s="36"/>
      <c r="K107" s="36"/>
      <c r="L107" s="36"/>
      <c r="M107" s="2"/>
      <c r="N107" s="2"/>
    </row>
    <row r="108" spans="1:18" ht="16" x14ac:dyDescent="0.2">
      <c r="A108" s="37"/>
      <c r="B108" s="42" t="s">
        <v>177</v>
      </c>
      <c r="C108" s="43">
        <v>1.1399999999999999</v>
      </c>
      <c r="D108" s="44"/>
      <c r="E108" s="44"/>
      <c r="F108" s="44"/>
      <c r="G108" s="45"/>
      <c r="H108" s="46"/>
      <c r="I108" s="46"/>
      <c r="J108" s="46"/>
      <c r="K108" s="46"/>
      <c r="L108" s="46"/>
      <c r="M108" s="46"/>
      <c r="N108" s="47"/>
      <c r="O108" s="47"/>
      <c r="P108" s="47"/>
      <c r="Q108" s="87"/>
      <c r="R108" s="87"/>
    </row>
    <row r="109" spans="1:18" x14ac:dyDescent="0.2">
      <c r="A109" s="37"/>
      <c r="B109" s="46" t="s">
        <v>124</v>
      </c>
      <c r="C109" s="45">
        <v>7.0000000000000007E-2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87"/>
      <c r="R109" s="87"/>
    </row>
    <row r="110" spans="1:18" ht="48" x14ac:dyDescent="0.2">
      <c r="A110" s="2"/>
      <c r="B110" s="47" t="s">
        <v>21</v>
      </c>
      <c r="C110" s="48" t="str">
        <f xml:space="preserve"> "Overnight cost [" &amp; B43 &amp; "/" &amp; B41 &amp; "]"</f>
        <v>Overnight cost [€/MW]</v>
      </c>
      <c r="D110" s="47" t="str">
        <f xml:space="preserve"> "Fixed O&amp;M cost ["  &amp; B43 &amp; "/" &amp; B41 &amp; "year]"</f>
        <v>Fixed O&amp;M cost [€/MWyear]</v>
      </c>
      <c r="E110" s="47" t="s">
        <v>125</v>
      </c>
      <c r="F110" s="47" t="s">
        <v>126</v>
      </c>
      <c r="G110" s="47" t="s">
        <v>127</v>
      </c>
      <c r="H110" s="49" t="str">
        <f xml:space="preserve"> "Annual fixed costs [" &amp;B43 &amp; "/year]"</f>
        <v>Annual fixed costs [€/year]</v>
      </c>
      <c r="I110" s="47" t="str">
        <f xml:space="preserve"> "Variable O&amp;M [" &amp; B43 &amp; "/" &amp; B41 &amp; B40 &amp; "]"</f>
        <v>Variable O&amp;M [€/MWh]</v>
      </c>
      <c r="J110" s="47" t="str">
        <f xml:space="preserve"> "Fuel cost [" &amp; B43 &amp; "/" &amp; B41 &amp; B40 &amp; "]"</f>
        <v>Fuel cost [€/MWh]</v>
      </c>
      <c r="K110" s="46" t="s">
        <v>128</v>
      </c>
      <c r="L110" s="46" t="s">
        <v>129</v>
      </c>
      <c r="M110" s="48" t="s">
        <v>130</v>
      </c>
      <c r="N110" s="47"/>
      <c r="O110" s="47"/>
      <c r="P110" s="48" t="s">
        <v>187</v>
      </c>
      <c r="Q110" s="88" t="s">
        <v>186</v>
      </c>
      <c r="R110" s="87"/>
    </row>
    <row r="111" spans="1:18" x14ac:dyDescent="0.2">
      <c r="B111" s="45" t="s">
        <v>131</v>
      </c>
      <c r="C111" s="50">
        <f>103100</f>
        <v>103100</v>
      </c>
      <c r="D111" s="45">
        <f>1.5%*C111</f>
        <v>1546.5</v>
      </c>
      <c r="E111" s="45"/>
      <c r="F111" s="45">
        <v>30</v>
      </c>
      <c r="G111" s="45">
        <f>C109*(1+C109)^F111/((1+C109)^F111-1)</f>
        <v>8.0586403511111196E-2</v>
      </c>
      <c r="H111" s="51">
        <f>(C111+D111)*G111</f>
        <v>8433.0850750254976</v>
      </c>
      <c r="I111" s="50"/>
      <c r="J111" s="45"/>
      <c r="K111" s="45"/>
      <c r="L111" s="45"/>
      <c r="M111" s="50">
        <f>H111/8760</f>
        <v>0.96268094463761389</v>
      </c>
      <c r="N111" s="45" t="str">
        <f>B43 &amp; "/" &amp; B40 &amp; "/" &amp; B41</f>
        <v>€/h/MW</v>
      </c>
      <c r="O111" s="45"/>
      <c r="P111" s="50"/>
      <c r="Q111" s="87"/>
      <c r="R111" s="87"/>
    </row>
    <row r="112" spans="1:18" x14ac:dyDescent="0.2">
      <c r="B112" s="51" t="s">
        <v>132</v>
      </c>
      <c r="C112" s="45">
        <f>1612000</f>
        <v>1612000</v>
      </c>
      <c r="D112" s="45">
        <f>12500*C108</f>
        <v>14249.999999999998</v>
      </c>
      <c r="E112" s="52">
        <v>1.4999999999999999E-2</v>
      </c>
      <c r="F112" s="45">
        <v>30</v>
      </c>
      <c r="G112" s="45">
        <f>C109*(1+C109)^F112/((1+C109)^F112-1)</f>
        <v>8.0586403511111196E-2</v>
      </c>
      <c r="H112" s="51">
        <f>((C112+E112*C112)*G112+D112)</f>
        <v>146103.86169680991</v>
      </c>
      <c r="I112" s="50"/>
      <c r="J112" s="45"/>
      <c r="K112" s="45">
        <v>0.81</v>
      </c>
      <c r="L112" s="45"/>
      <c r="M112" s="50">
        <f t="shared" ref="M112:M117" si="0">H112/8760</f>
        <v>16.678523024749989</v>
      </c>
      <c r="N112" s="45" t="str">
        <f>B43 &amp; "/" &amp; B40 &amp; "/" &amp; B41</f>
        <v>€/h/MW</v>
      </c>
      <c r="O112" s="45"/>
      <c r="P112" s="50">
        <v>2.9999999999999997E-4</v>
      </c>
      <c r="Q112" s="87"/>
      <c r="R112" s="87"/>
    </row>
    <row r="113" spans="2:18" x14ac:dyDescent="0.2">
      <c r="B113" s="51"/>
      <c r="C113" s="45"/>
      <c r="D113" s="45"/>
      <c r="E113" s="52"/>
      <c r="F113" s="45"/>
      <c r="G113" s="45"/>
      <c r="H113" s="51"/>
      <c r="I113" s="45"/>
      <c r="J113" s="45"/>
      <c r="K113" s="45"/>
      <c r="L113" s="45"/>
      <c r="M113" s="50"/>
      <c r="N113" s="45"/>
      <c r="O113" s="51"/>
      <c r="P113" s="45"/>
      <c r="Q113" s="87"/>
      <c r="R113" s="87"/>
    </row>
    <row r="114" spans="2:18" x14ac:dyDescent="0.2">
      <c r="B114" s="51" t="s">
        <v>153</v>
      </c>
      <c r="C114" s="45">
        <v>1969000</v>
      </c>
      <c r="D114" s="45">
        <v>53000</v>
      </c>
      <c r="E114" s="52"/>
      <c r="F114" s="45">
        <v>30</v>
      </c>
      <c r="G114" s="45">
        <f>C109*(1+C109)^F114/((1+C109)^F114-1)</f>
        <v>8.0586403511111196E-2</v>
      </c>
      <c r="H114" s="51">
        <f>(C114+D114)*G114</f>
        <v>162945.70789946683</v>
      </c>
      <c r="I114" s="45">
        <v>5</v>
      </c>
      <c r="J114" s="45">
        <v>20</v>
      </c>
      <c r="K114" s="45">
        <v>0.56000000000000005</v>
      </c>
      <c r="L114" s="45"/>
      <c r="M114" s="50">
        <f t="shared" si="0"/>
        <v>18.601108207701692</v>
      </c>
      <c r="N114" s="45" t="str">
        <f>B43 &amp; "/" &amp; B40 &amp; "/" &amp; B41</f>
        <v>€/h/MW</v>
      </c>
      <c r="O114" s="51"/>
      <c r="P114" s="45">
        <f>I114+J114/K114</f>
        <v>40.714285714285708</v>
      </c>
      <c r="Q114" s="87"/>
      <c r="R114" s="87"/>
    </row>
    <row r="115" spans="2:18" x14ac:dyDescent="0.2">
      <c r="B115" s="45" t="s">
        <v>154</v>
      </c>
      <c r="C115" s="45"/>
      <c r="D115" s="45"/>
      <c r="E115" s="52"/>
      <c r="F115" s="45"/>
      <c r="G115" s="45"/>
      <c r="H115" s="51"/>
      <c r="I115" s="45"/>
      <c r="J115" s="45"/>
      <c r="K115" s="45"/>
      <c r="L115" s="45"/>
      <c r="M115" s="50"/>
      <c r="N115" s="45"/>
      <c r="O115" s="45"/>
      <c r="P115" s="45"/>
      <c r="Q115" s="87"/>
      <c r="R115" s="87"/>
    </row>
    <row r="116" spans="2:18" x14ac:dyDescent="0.2">
      <c r="B116" s="45"/>
      <c r="C116" s="45"/>
      <c r="D116" s="45"/>
      <c r="E116" s="52"/>
      <c r="F116" s="45"/>
      <c r="G116" s="45"/>
      <c r="H116" s="51"/>
      <c r="I116" s="45"/>
      <c r="J116" s="45"/>
      <c r="K116" s="45"/>
      <c r="L116" s="45"/>
      <c r="M116" s="50"/>
      <c r="N116" s="45"/>
      <c r="O116" s="45"/>
      <c r="P116" s="45"/>
      <c r="Q116" s="87"/>
      <c r="R116" s="87"/>
    </row>
    <row r="117" spans="2:18" x14ac:dyDescent="0.2">
      <c r="B117" s="45" t="s">
        <v>178</v>
      </c>
      <c r="C117" s="45">
        <v>5580000</v>
      </c>
      <c r="D117" s="45">
        <v>162000</v>
      </c>
      <c r="E117" s="52"/>
      <c r="F117" s="45">
        <v>30</v>
      </c>
      <c r="G117" s="45">
        <f>C109*(1+C109)^F117/((1+C109)^F117-1)</f>
        <v>8.0586403511111196E-2</v>
      </c>
      <c r="H117" s="51">
        <f t="shared" ref="H117" si="1">(C117+D117)*G117</f>
        <v>462727.12896080047</v>
      </c>
      <c r="I117" s="45"/>
      <c r="J117" s="45"/>
      <c r="K117" s="45"/>
      <c r="L117" s="45"/>
      <c r="M117" s="50">
        <f t="shared" si="0"/>
        <v>52.822731616529737</v>
      </c>
      <c r="N117" s="45" t="str">
        <f>B43 &amp; "/" &amp; B40 &amp; "/" &amp; B41</f>
        <v>€/h/MW</v>
      </c>
      <c r="O117" s="45"/>
      <c r="P117" s="45">
        <v>16600</v>
      </c>
      <c r="Q117" s="87">
        <v>-1.22</v>
      </c>
      <c r="R117" s="87" t="s">
        <v>188</v>
      </c>
    </row>
    <row r="118" spans="2:18" x14ac:dyDescent="0.2">
      <c r="B118" s="45"/>
      <c r="C118" s="45"/>
      <c r="D118" s="45"/>
      <c r="E118" s="52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87"/>
      <c r="R118" s="87"/>
    </row>
    <row r="119" spans="2:18" x14ac:dyDescent="0.2">
      <c r="B119" s="45" t="s">
        <v>156</v>
      </c>
      <c r="C119" s="45"/>
      <c r="D119" s="45"/>
      <c r="E119" s="52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>
        <v>10000</v>
      </c>
      <c r="Q119" s="87"/>
      <c r="R119" s="87"/>
    </row>
    <row r="120" spans="2:18" x14ac:dyDescent="0.2">
      <c r="B120" s="45" t="s">
        <v>163</v>
      </c>
      <c r="C120" s="45"/>
      <c r="D120" s="45"/>
      <c r="E120" s="52"/>
      <c r="F120" s="45"/>
      <c r="G120" s="45"/>
      <c r="H120" s="45">
        <v>250000</v>
      </c>
      <c r="I120" s="45"/>
      <c r="J120" s="45"/>
      <c r="K120" s="45"/>
      <c r="L120" s="45"/>
      <c r="M120" s="45"/>
      <c r="N120" s="45"/>
      <c r="O120" s="45"/>
      <c r="P120" s="45"/>
      <c r="Q120" s="87"/>
      <c r="R120" s="87"/>
    </row>
    <row r="122" spans="2:18" x14ac:dyDescent="0.2">
      <c r="B122" t="s">
        <v>133</v>
      </c>
    </row>
    <row r="124" spans="2:18" x14ac:dyDescent="0.2">
      <c r="I124" s="8"/>
    </row>
  </sheetData>
  <phoneticPr fontId="23" type="noConversion"/>
  <hyperlinks>
    <hyperlink ref="C90" r:id="rId1" xr:uid="{7E7F7A7C-890D-0E40-A83F-FA5282D3540A}"/>
    <hyperlink ref="C99" r:id="rId2" xr:uid="{6CD367E7-01A2-7E42-B77E-D24EE280FB31}"/>
    <hyperlink ref="C102" r:id="rId3" tooltip="Persistent link using digital object identifier" xr:uid="{A940AA27-0F2E-054F-87F5-05988AF7C9B4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2023-05-16T20:57:28Z</dcterms:modified>
</cp:coreProperties>
</file>