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33D0D9A9-8B85-EE4A-AC13-D51516FE16FB}" xr6:coauthVersionLast="47" xr6:coauthVersionMax="47" xr10:uidLastSave="{00000000-0000-0000-0000-000000000000}"/>
  <bookViews>
    <workbookView xWindow="640" yWindow="1180" windowWidth="38400" windowHeight="2154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0" i="1" l="1"/>
  <c r="T68" i="1"/>
  <c r="Q66" i="1" l="1"/>
  <c r="R66" i="1" s="1"/>
  <c r="M66" i="1"/>
  <c r="B32" i="1" l="1"/>
  <c r="B33" i="1" s="1"/>
  <c r="Q64" i="1"/>
  <c r="Q62" i="1"/>
  <c r="Q61" i="1"/>
  <c r="N103" i="1"/>
  <c r="U63" i="1" s="1"/>
  <c r="M97" i="1"/>
  <c r="Q97" i="1" s="1"/>
  <c r="M96" i="1"/>
  <c r="M57" i="1" s="1"/>
  <c r="M95" i="1"/>
  <c r="Q95" i="1" s="1"/>
  <c r="M94" i="1"/>
  <c r="Q94" i="1" s="1"/>
  <c r="N66" i="1"/>
  <c r="N64" i="1"/>
  <c r="L66" i="1"/>
  <c r="L65" i="1"/>
  <c r="L63" i="1"/>
  <c r="L64" i="1"/>
  <c r="R104" i="1"/>
  <c r="R102" i="1"/>
  <c r="R101" i="1"/>
  <c r="R106" i="1"/>
  <c r="R105" i="1"/>
  <c r="H106" i="1"/>
  <c r="H105" i="1"/>
  <c r="H104" i="1"/>
  <c r="D106" i="1"/>
  <c r="C106" i="1"/>
  <c r="C105" i="1"/>
  <c r="D105" i="1" s="1"/>
  <c r="M64" i="1"/>
  <c r="M62" i="1"/>
  <c r="R100" i="1"/>
  <c r="M61" i="1"/>
  <c r="H103" i="1"/>
  <c r="H102" i="1"/>
  <c r="H101" i="1"/>
  <c r="D104" i="1"/>
  <c r="D102" i="1"/>
  <c r="C104" i="1"/>
  <c r="C103" i="1"/>
  <c r="C102" i="1"/>
  <c r="P101" i="1"/>
  <c r="P100" i="1"/>
  <c r="D101" i="1"/>
  <c r="C101" i="1"/>
  <c r="C100" i="1"/>
  <c r="D100" i="1" s="1"/>
  <c r="N56" i="1"/>
  <c r="N55" i="1"/>
  <c r="L56" i="1"/>
  <c r="L55" i="1"/>
  <c r="R95" i="1"/>
  <c r="R94" i="1"/>
  <c r="P95" i="1"/>
  <c r="P94" i="1"/>
  <c r="H95" i="1"/>
  <c r="I95" i="1" s="1"/>
  <c r="O95" i="1" s="1"/>
  <c r="I106" i="1" l="1"/>
  <c r="O106" i="1" s="1"/>
  <c r="K66" i="1" s="1"/>
  <c r="M56" i="1"/>
  <c r="Q96" i="1"/>
  <c r="M55" i="1"/>
  <c r="I101" i="1"/>
  <c r="O101" i="1" s="1"/>
  <c r="I104" i="1"/>
  <c r="O104" i="1" s="1"/>
  <c r="I102" i="1"/>
  <c r="O102" i="1" s="1"/>
  <c r="I105" i="1"/>
  <c r="O105" i="1" s="1"/>
  <c r="K65" i="1" s="1"/>
  <c r="D103" i="1"/>
  <c r="I103" i="1" s="1"/>
  <c r="O103" i="1" s="1"/>
  <c r="N60" i="1"/>
  <c r="N58" i="1"/>
  <c r="L60" i="1"/>
  <c r="L58" i="1"/>
  <c r="L57" i="1"/>
  <c r="H99" i="1"/>
  <c r="I99" i="1" s="1"/>
  <c r="O99" i="1" s="1"/>
  <c r="P99" i="1"/>
  <c r="P98" i="1"/>
  <c r="P97" i="1"/>
  <c r="P96" i="1"/>
  <c r="B89" i="1"/>
  <c r="K91" i="1"/>
  <c r="L91" i="1"/>
  <c r="H97" i="1"/>
  <c r="I97" i="1" s="1"/>
  <c r="O97" i="1" s="1"/>
  <c r="H96" i="1"/>
  <c r="R107" i="1"/>
  <c r="R103" i="1"/>
  <c r="R99" i="1"/>
  <c r="R98" i="1"/>
  <c r="R96" i="1"/>
  <c r="R97" i="1"/>
  <c r="R93" i="1"/>
  <c r="R92" i="1"/>
  <c r="J91" i="1"/>
  <c r="L53" i="1" l="1"/>
  <c r="N53" i="1"/>
  <c r="N63" i="1"/>
  <c r="N62" i="1"/>
  <c r="N57" i="1"/>
  <c r="P104" i="1" l="1"/>
  <c r="P103" i="1"/>
  <c r="P102" i="1"/>
  <c r="P93" i="1"/>
  <c r="P92" i="1"/>
  <c r="H92" i="1"/>
  <c r="H94" i="1"/>
  <c r="I94" i="1" s="1"/>
  <c r="L62" i="1"/>
  <c r="K56" i="1" l="1"/>
  <c r="K60" i="1"/>
  <c r="K58" i="1"/>
  <c r="K62" i="1"/>
  <c r="K63" i="1"/>
  <c r="K64" i="1"/>
  <c r="H93" i="1"/>
  <c r="I93" i="1" s="1"/>
  <c r="O93" i="1" s="1"/>
  <c r="K54" i="1" s="1"/>
  <c r="I96" i="1"/>
  <c r="O96" i="1" s="1"/>
  <c r="K57" i="1" s="1"/>
  <c r="H100" i="1"/>
  <c r="I92" i="1"/>
  <c r="O92" i="1" s="1"/>
  <c r="K53" i="1" s="1"/>
  <c r="I91" i="1"/>
  <c r="O94" i="1"/>
  <c r="K55" i="1" s="1"/>
  <c r="D91" i="1"/>
  <c r="C91" i="1"/>
  <c r="V52" i="1"/>
  <c r="N54" i="1"/>
  <c r="N61" i="1"/>
  <c r="L54" i="1"/>
  <c r="L61" i="1"/>
  <c r="I100" i="1" l="1"/>
  <c r="O100" i="1" s="1"/>
  <c r="K61" i="1" s="1"/>
</calcChain>
</file>

<file path=xl/sharedStrings.xml><?xml version="1.0" encoding="utf-8"?>
<sst xmlns="http://schemas.openxmlformats.org/spreadsheetml/2006/main" count="227" uniqueCount="154">
  <si>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</si>
  <si>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</si>
  <si>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</si>
  <si>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</si>
  <si>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</si>
  <si>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</si>
  <si>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</si>
  <si>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</si>
  <si>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</si>
  <si>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</si>
  <si>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</si>
  <si>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</si>
  <si>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</si>
  <si>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</si>
  <si>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</si>
  <si>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</si>
  <si>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</si>
  <si>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</si>
  <si>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</si>
  <si>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</si>
  <si>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</si>
  <si>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</si>
  <si>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</si>
  <si>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</si>
  <si>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</si>
  <si>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</si>
  <si>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</si>
  <si>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</si>
  <si>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</si>
  <si>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</si>
  <si>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</si>
  <si>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</si>
  <si>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</si>
  <si>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</si>
  <si>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</si>
  <si>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</si>
  <si>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</si>
  <si>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</si>
  <si>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</si>
  <si>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</si>
  <si>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</si>
  <si>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</si>
  <si>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</si>
  <si>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</si>
  <si>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</si>
  <si>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</si>
  <si>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</si>
  <si>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</si>
  <si>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</si>
  <si>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</si>
  <si>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time_series_file</t>
  </si>
  <si>
    <t>Hourly fixed costs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</si>
  <si>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</si>
  <si>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</si>
  <si>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</si>
  <si>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</si>
  <si>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</si>
  <si>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</si>
  <si>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</si>
  <si>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</si>
  <si>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</si>
  <si>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</si>
  <si>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</si>
  <si>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</si>
  <si>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</si>
  <si>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</si>
  <si>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</si>
  <si>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</si>
  <si>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</si>
  <si>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</si>
  <si>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</si>
  <si>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</si>
  <si>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</si>
  <si>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</si>
  <si>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</si>
  <si>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</si>
  <si>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</si>
  <si>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</si>
  <si>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</si>
  <si>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</si>
  <si>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</si>
  <si>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</si>
  <si>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</si>
  <si>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</si>
  <si>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</si>
  <si>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</si>
  <si>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</si>
  <si>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</si>
  <si>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</si>
  <si>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</si>
  <si>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</si>
  <si>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</si>
  <si>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</si>
  <si>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</si>
  <si>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</si>
  <si>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</si>
  <si>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</si>
  <si>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</si>
  <si>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DAC</t>
  </si>
  <si>
    <t>co2_stored</t>
  </si>
  <si>
    <t>bioenergy</t>
  </si>
  <si>
    <t>hydropower</t>
  </si>
  <si>
    <t>geothermal</t>
  </si>
  <si>
    <t>Variable cost</t>
  </si>
  <si>
    <t>natgas_ccs</t>
  </si>
  <si>
    <t>NREL (National Renewable Energy Laboratory). 2021. "2021 Annual Technology Baseline." Golden, CO: National Renewable Energy Laboratory. https://atb.nrel.gov/. </t>
  </si>
  <si>
    <t>Source generation costs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</si>
  <si>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</si>
  <si>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</si>
  <si>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</si>
  <si>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</si>
  <si>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</si>
  <si>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battery energy</t>
  </si>
  <si>
    <t>battery power</t>
  </si>
  <si>
    <t>All Costs in $2019 USD</t>
  </si>
  <si>
    <t>2018 USD to 2019 USD</t>
  </si>
  <si>
    <t>Other fixed cost* (% of capital cost)</t>
  </si>
  <si>
    <t>* includes property, tax, insurance, licensing, permiting costs</t>
  </si>
  <si>
    <t>pumped_hydro_storage energy</t>
  </si>
  <si>
    <t>pumped_hydro_storage power</t>
  </si>
  <si>
    <t>biopower</t>
  </si>
  <si>
    <t>phs_power</t>
  </si>
  <si>
    <t>#Link</t>
  </si>
  <si>
    <t>US_capacity_solar_25pctTop_unnormalized.csv</t>
  </si>
  <si>
    <t>US_capacity_wind_25pctTop_unnormalized.csv</t>
  </si>
  <si>
    <t>US_demand_unnormalized.csv</t>
  </si>
  <si>
    <t>all_firm_case</t>
  </si>
  <si>
    <t>#Generator</t>
  </si>
  <si>
    <t>Decay rate</t>
  </si>
  <si>
    <t>/Volumes/Shared/Labs/Caldeira Lab/Everyone/energy_demand_capacity_data/US_solar_wind_demand/</t>
  </si>
  <si>
    <t>all_firm_all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</si>
  <si>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</si>
  <si>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</si>
  <si>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</si>
  <si>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</si>
  <si>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</si>
  <si>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phs_energy</t>
  </si>
  <si>
    <t>electricity</t>
  </si>
  <si>
    <t>Carrier</t>
  </si>
  <si>
    <t>co2</t>
  </si>
  <si>
    <t>co2_atmosphere</t>
  </si>
  <si>
    <t>natgas_out</t>
  </si>
  <si>
    <t>#StorageUnit</t>
  </si>
  <si>
    <t>#Store</t>
  </si>
  <si>
    <t>natgas_electricity</t>
  </si>
  <si>
    <t>bus2</t>
  </si>
  <si>
    <t>efficiency2</t>
  </si>
  <si>
    <t>power_unit</t>
  </si>
  <si>
    <t>mass_unit</t>
  </si>
  <si>
    <t>t</t>
  </si>
  <si>
    <t>GlobalConstraint</t>
  </si>
  <si>
    <t>co2_emissions==0</t>
  </si>
  <si>
    <t>co2_atmosphere_out</t>
  </si>
  <si>
    <t>Note: Negative means it consumes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</si>
</sst>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(Body)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0" fontId="0" fillId="34" borderId="0" xfId="0" applyFill="1" applyAlignment="1">
      <alignment horizontal="right"/>
    </xf>
    <xf numFmtId="2" fontId="0" fillId="34" borderId="0" xfId="0" applyNumberFormat="1" applyFill="1" applyAlignment="1">
      <alignment horizontal="right" wrapText="1"/>
    </xf>
    <xf numFmtId="0" fontId="21" fillId="0" borderId="0" xfId="42" applyAlignment="1">
      <alignment horizontal="left" vertical="center"/>
    </xf>
    <xf numFmtId="0" fontId="22" fillId="0" borderId="0" xfId="42" applyFont="1" applyAlignment="1">
      <alignment horizontal="left" vertical="center"/>
    </xf>
    <xf numFmtId="0" fontId="1" fillId="0" borderId="0" xfId="42" applyFont="1" applyAlignment="1">
      <alignment horizontal="left" vertical="center"/>
    </xf>
    <xf numFmtId="0" fontId="21" fillId="0" borderId="0" xfId="43"/>
    <xf numFmtId="0" fontId="24" fillId="34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vertical="center" wrapText="1"/>
    </xf>
    <xf numFmtId="0" fontId="24" fillId="34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23" fillId="34" borderId="0" xfId="0" applyFont="1" applyFill="1" applyAlignment="1">
      <alignment vertical="center"/>
    </xf>
    <xf numFmtId="0" fontId="21" fillId="0" borderId="0" xfId="43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10" fontId="0" fillId="34" borderId="0" xfId="0" applyNumberFormat="1" applyFill="1"/>
    <xf numFmtId="49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horizontal="right"/>
    </xf>
    <xf numFmtId="49" fontId="0" fillId="36" borderId="0" xfId="0" applyNumberFormat="1" applyFill="1" applyAlignment="1">
      <alignment horizontal="right"/>
    </xf>
    <xf numFmtId="49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horizontal="right"/>
    </xf>
    <xf numFmtId="49" fontId="0" fillId="37" borderId="0" xfId="0" applyNumberFormat="1" applyFill="1" applyAlignment="1">
      <alignment horizontal="right"/>
    </xf>
    <xf numFmtId="11" fontId="0" fillId="36" borderId="0" xfId="0" applyNumberFormat="1" applyFill="1"/>
    <xf numFmtId="11" fontId="0" fillId="37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3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 Techs"/>
      <sheetName val="Gravitational"/>
      <sheetName val="Generation Techs"/>
      <sheetName val="Sheet1"/>
    </sheetNames>
    <sheetDataSet>
      <sheetData sheetId="0" refreshError="1"/>
      <sheetData sheetId="1" refreshError="1"/>
      <sheetData sheetId="2">
        <row r="12">
          <cell r="B12">
            <v>3412.141633127942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ule.2021.06.018." TargetMode="External"/><Relationship Id="rId2" Type="http://schemas.openxmlformats.org/officeDocument/2006/relationships/hyperlink" Target="https://atb.nrel.gov/electricity/2022/data" TargetMode="External"/><Relationship Id="rId1" Type="http://schemas.openxmlformats.org/officeDocument/2006/relationships/hyperlink" Target="https://atb.nrel.gov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abSelected="1" topLeftCell="A43" zoomScale="120" zoomScaleNormal="120" workbookViewId="0">
      <selection activeCell="C71" sqref="C71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4" customWidth="1"/>
    <col min="4" max="4" width="17.33203125" customWidth="1"/>
    <col min="5" max="6" width="15.33203125" customWidth="1"/>
    <col min="7" max="7" width="23" customWidth="1"/>
    <col min="8" max="8" width="11.1640625" customWidth="1"/>
    <col min="9" max="10" width="11.33203125" customWidth="1"/>
    <col min="11" max="11" width="13.5" customWidth="1"/>
    <col min="12" max="12" width="14.83203125" customWidth="1"/>
    <col min="13" max="13" width="13.5" customWidth="1"/>
    <col min="14" max="14" width="9.1640625" customWidth="1"/>
    <col min="15" max="15" width="12.83203125" customWidth="1"/>
    <col min="16" max="16" width="18.6640625" customWidth="1"/>
    <col min="17" max="20" width="11.5" customWidth="1"/>
    <col min="21" max="21" width="14.1640625" customWidth="1"/>
    <col min="22" max="22" width="5" customWidth="1"/>
  </cols>
  <sheetData>
    <row r="1" spans="1:8" x14ac:dyDescent="0.2">
      <c r="A1" s="3" t="s">
        <v>58</v>
      </c>
      <c r="B1" s="3"/>
      <c r="C1" s="3"/>
      <c r="D1" s="3"/>
      <c r="E1" s="3"/>
      <c r="F1" s="3"/>
      <c r="G1" s="3"/>
      <c r="H1" s="3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x14ac:dyDescent="0.2">
      <c r="A3" s="3" t="s">
        <v>95</v>
      </c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 t="s">
        <v>0</v>
      </c>
      <c r="B5" s="3"/>
      <c r="C5" s="3"/>
      <c r="D5" s="3"/>
      <c r="E5" s="3"/>
      <c r="F5" s="3"/>
      <c r="G5" s="3"/>
      <c r="H5" s="3"/>
    </row>
    <row r="6" spans="1:8" x14ac:dyDescent="0.2">
      <c r="A6" s="3" t="s">
        <v>1</v>
      </c>
      <c r="B6" s="3"/>
      <c r="C6" s="3"/>
      <c r="D6" s="3"/>
      <c r="E6" s="3"/>
      <c r="F6" s="3"/>
      <c r="G6" s="3"/>
      <c r="H6" s="3"/>
    </row>
    <row r="7" spans="1:8" x14ac:dyDescent="0.2">
      <c r="A7" s="3" t="s">
        <v>69</v>
      </c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 t="s">
        <v>2</v>
      </c>
      <c r="B9" s="3"/>
      <c r="C9" s="3"/>
      <c r="D9" s="3"/>
      <c r="E9" s="3"/>
      <c r="F9" s="3"/>
      <c r="G9" s="3"/>
      <c r="H9" s="3"/>
    </row>
    <row r="10" spans="1:8" x14ac:dyDescent="0.2">
      <c r="A10" s="3" t="s">
        <v>20</v>
      </c>
      <c r="B10" s="3" t="s">
        <v>59</v>
      </c>
      <c r="C10" s="3"/>
      <c r="D10" s="3"/>
      <c r="E10" s="3"/>
      <c r="F10" s="3"/>
      <c r="G10" s="3"/>
      <c r="H10" s="3"/>
    </row>
    <row r="11" spans="1:8" x14ac:dyDescent="0.2">
      <c r="A11" s="3" t="s">
        <v>21</v>
      </c>
      <c r="B11" s="3" t="s">
        <v>60</v>
      </c>
      <c r="C11" s="3"/>
      <c r="D11" s="3"/>
      <c r="E11" s="3"/>
      <c r="F11" s="3"/>
      <c r="G11" s="3"/>
      <c r="H11" s="3"/>
    </row>
    <row r="12" spans="1:8" x14ac:dyDescent="0.2">
      <c r="A12" s="3" t="s">
        <v>22</v>
      </c>
      <c r="B12" s="3" t="s">
        <v>61</v>
      </c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 t="s">
        <v>5</v>
      </c>
      <c r="B14" s="3"/>
      <c r="C14" s="3"/>
      <c r="D14" s="3"/>
      <c r="E14" s="3"/>
      <c r="F14" s="3"/>
      <c r="G14" s="3"/>
      <c r="H14" s="3"/>
    </row>
    <row r="15" spans="1:8" x14ac:dyDescent="0.2">
      <c r="A15" s="3" t="s">
        <v>50</v>
      </c>
      <c r="B15" s="3" t="s">
        <v>62</v>
      </c>
      <c r="C15" s="3"/>
      <c r="D15" s="3"/>
      <c r="E15" s="3"/>
      <c r="F15" s="3"/>
      <c r="G15" s="3"/>
      <c r="H15" s="3"/>
    </row>
    <row r="16" spans="1:8" x14ac:dyDescent="0.2">
      <c r="A16" s="3" t="s">
        <v>24</v>
      </c>
      <c r="B16" s="3" t="s">
        <v>63</v>
      </c>
      <c r="C16" s="3"/>
      <c r="D16" s="3"/>
      <c r="E16" s="3"/>
      <c r="F16" s="3"/>
      <c r="G16" s="3"/>
      <c r="H16" s="3"/>
    </row>
    <row r="17" spans="1:8" x14ac:dyDescent="0.2">
      <c r="A17" s="3" t="s">
        <v>25</v>
      </c>
      <c r="B17" s="3" t="s">
        <v>64</v>
      </c>
      <c r="C17" s="3"/>
      <c r="D17" s="3"/>
      <c r="E17" s="3"/>
      <c r="F17" s="3"/>
      <c r="G17" s="3"/>
      <c r="H17" s="3"/>
    </row>
    <row r="18" spans="1:8" x14ac:dyDescent="0.2">
      <c r="A18" s="3" t="s">
        <v>26</v>
      </c>
      <c r="B18" s="3" t="s">
        <v>65</v>
      </c>
      <c r="C18" s="3"/>
      <c r="D18" s="3"/>
      <c r="E18" s="3"/>
      <c r="F18" s="3"/>
      <c r="G18" s="3"/>
      <c r="H18" s="3"/>
    </row>
    <row r="19" spans="1:8" x14ac:dyDescent="0.2">
      <c r="A19" s="3" t="s">
        <v>35</v>
      </c>
      <c r="B19" s="3" t="s">
        <v>67</v>
      </c>
      <c r="C19" s="3"/>
      <c r="D19" s="3"/>
      <c r="E19" s="3"/>
      <c r="F19" s="3"/>
      <c r="G19" s="3"/>
      <c r="H19" s="3"/>
    </row>
    <row r="20" spans="1:8" x14ac:dyDescent="0.2">
      <c r="A20" s="3" t="s">
        <v>17</v>
      </c>
      <c r="B20" s="3" t="s">
        <v>66</v>
      </c>
      <c r="C20" s="3"/>
      <c r="D20" s="3"/>
      <c r="E20" s="3"/>
      <c r="F20" s="3"/>
      <c r="G20" s="3"/>
      <c r="H20" s="3"/>
    </row>
    <row r="21" spans="1:8" x14ac:dyDescent="0.2">
      <c r="A21" s="3" t="s">
        <v>27</v>
      </c>
      <c r="B21" s="3" t="s">
        <v>68</v>
      </c>
      <c r="C21" s="3"/>
      <c r="D21" s="3"/>
      <c r="E21" s="3"/>
      <c r="F21" s="3"/>
      <c r="G21" s="3"/>
      <c r="H21" s="3"/>
    </row>
    <row r="23" spans="1:8" x14ac:dyDescent="0.2">
      <c r="A23" t="s">
        <v>11</v>
      </c>
    </row>
    <row r="25" spans="1:8" x14ac:dyDescent="0.2">
      <c r="A25" t="s">
        <v>45</v>
      </c>
      <c r="B25" s="21" t="s">
        <v>129</v>
      </c>
    </row>
    <row r="26" spans="1:8" x14ac:dyDescent="0.2">
      <c r="A26" t="s">
        <v>13</v>
      </c>
      <c r="B26" t="s">
        <v>44</v>
      </c>
    </row>
    <row r="27" spans="1:8" x14ac:dyDescent="0.2">
      <c r="A27" t="s">
        <v>12</v>
      </c>
      <c r="B27" t="s">
        <v>126</v>
      </c>
    </row>
    <row r="28" spans="1:8" x14ac:dyDescent="0.2">
      <c r="A28" t="s">
        <v>41</v>
      </c>
      <c r="B28" t="s">
        <v>130</v>
      </c>
    </row>
    <row r="29" spans="1:8" x14ac:dyDescent="0.2">
      <c r="A29" t="s">
        <v>42</v>
      </c>
      <c r="B29" s="8" t="s">
        <v>92</v>
      </c>
      <c r="D29" t="s">
        <v>46</v>
      </c>
    </row>
    <row r="30" spans="1:8" x14ac:dyDescent="0.2">
      <c r="A30" t="s">
        <v>43</v>
      </c>
      <c r="B30" s="8" t="s">
        <v>88</v>
      </c>
    </row>
    <row r="31" spans="1:8" x14ac:dyDescent="0.2">
      <c r="A31" t="s">
        <v>86</v>
      </c>
      <c r="B31">
        <v>1</v>
      </c>
    </row>
    <row r="32" spans="1:8" x14ac:dyDescent="0.2">
      <c r="A32" t="s">
        <v>93</v>
      </c>
      <c r="B32" s="20">
        <f>(B30-B29)*24/B31</f>
        <v>8784</v>
      </c>
      <c r="D32" t="s">
        <v>91</v>
      </c>
    </row>
    <row r="33" spans="1:17" x14ac:dyDescent="0.2">
      <c r="A33" t="s">
        <v>94</v>
      </c>
      <c r="B33" s="20">
        <f>B32*B31</f>
        <v>8784</v>
      </c>
    </row>
    <row r="34" spans="1:17" x14ac:dyDescent="0.2">
      <c r="B34" s="6"/>
    </row>
    <row r="35" spans="1:17" x14ac:dyDescent="0.2">
      <c r="A35" t="s">
        <v>48</v>
      </c>
      <c r="B35" s="7" t="s">
        <v>49</v>
      </c>
      <c r="D35" t="s">
        <v>55</v>
      </c>
    </row>
    <row r="36" spans="1:17" x14ac:dyDescent="0.2">
      <c r="A36" t="s">
        <v>14</v>
      </c>
      <c r="B36" s="1">
        <v>1</v>
      </c>
      <c r="D36" t="s">
        <v>56</v>
      </c>
    </row>
    <row r="37" spans="1:17" x14ac:dyDescent="0.2">
      <c r="B37" s="1"/>
      <c r="C37" s="1"/>
    </row>
    <row r="38" spans="1:17" x14ac:dyDescent="0.2">
      <c r="A38" t="s">
        <v>73</v>
      </c>
      <c r="B38" s="1" t="s">
        <v>75</v>
      </c>
      <c r="C38" s="1"/>
    </row>
    <row r="39" spans="1:17" x14ac:dyDescent="0.2">
      <c r="A39" t="s">
        <v>147</v>
      </c>
      <c r="B39" s="1" t="s">
        <v>76</v>
      </c>
      <c r="C39" s="1"/>
    </row>
    <row r="40" spans="1:17" x14ac:dyDescent="0.2">
      <c r="A40" t="s">
        <v>148</v>
      </c>
      <c r="B40" s="1" t="s">
        <v>149</v>
      </c>
      <c r="C40" s="1"/>
    </row>
    <row r="41" spans="1:17" x14ac:dyDescent="0.2">
      <c r="A41" t="s">
        <v>74</v>
      </c>
      <c r="B41" s="1" t="s">
        <v>77</v>
      </c>
      <c r="C41" s="1"/>
    </row>
    <row r="42" spans="1:17" x14ac:dyDescent="0.2">
      <c r="B42" s="1"/>
      <c r="C42" s="1"/>
    </row>
    <row r="43" spans="1:17" x14ac:dyDescent="0.2">
      <c r="A43" t="s">
        <v>150</v>
      </c>
      <c r="B43" s="1" t="s">
        <v>151</v>
      </c>
      <c r="C43" s="1"/>
    </row>
    <row r="44" spans="1:17" x14ac:dyDescent="0.2">
      <c r="B44" s="1"/>
      <c r="C44" s="1"/>
    </row>
    <row r="45" spans="1:17" x14ac:dyDescent="0.2">
      <c r="B45" s="1"/>
      <c r="C45" s="1"/>
    </row>
    <row r="46" spans="1:17" x14ac:dyDescent="0.2">
      <c r="A46" t="s">
        <v>18</v>
      </c>
      <c r="G46" t="s">
        <v>132</v>
      </c>
      <c r="K46" t="s">
        <v>87</v>
      </c>
    </row>
    <row r="47" spans="1:17" x14ac:dyDescent="0.2">
      <c r="D47" t="s">
        <v>72</v>
      </c>
      <c r="J47" t="s">
        <v>78</v>
      </c>
      <c r="Q47" t="s">
        <v>71</v>
      </c>
    </row>
    <row r="48" spans="1:17" s="3" customFormat="1" x14ac:dyDescent="0.2">
      <c r="A48" s="3" t="s">
        <v>85</v>
      </c>
    </row>
    <row r="49" spans="1:23" s="4" customFormat="1" ht="16" x14ac:dyDescent="0.2">
      <c r="A49" s="4" t="s">
        <v>4</v>
      </c>
      <c r="B49" s="4" t="s">
        <v>3</v>
      </c>
      <c r="D49" s="4" t="s">
        <v>6</v>
      </c>
      <c r="J49" s="4" t="s">
        <v>15</v>
      </c>
      <c r="K49" s="4" t="s">
        <v>16</v>
      </c>
      <c r="L49" s="4" t="s">
        <v>7</v>
      </c>
      <c r="N49" s="4" t="s">
        <v>8</v>
      </c>
      <c r="P49" s="4" t="s">
        <v>9</v>
      </c>
      <c r="R49" s="5" t="s">
        <v>17</v>
      </c>
      <c r="S49" s="5"/>
      <c r="T49" s="5"/>
      <c r="U49" s="5" t="s">
        <v>10</v>
      </c>
      <c r="V49" s="5"/>
    </row>
    <row r="50" spans="1:23" x14ac:dyDescent="0.2">
      <c r="A50" t="s">
        <v>96</v>
      </c>
    </row>
    <row r="51" spans="1:23" s="2" customFormat="1" ht="32" x14ac:dyDescent="0.2">
      <c r="A51" s="2" t="s">
        <v>20</v>
      </c>
      <c r="B51" s="2" t="s">
        <v>21</v>
      </c>
      <c r="C51" s="2" t="s">
        <v>57</v>
      </c>
      <c r="D51" s="2" t="s">
        <v>22</v>
      </c>
      <c r="E51" s="2" t="s">
        <v>37</v>
      </c>
      <c r="F51" s="2" t="s">
        <v>145</v>
      </c>
      <c r="G51" s="2" t="s">
        <v>131</v>
      </c>
      <c r="H51" s="2" t="s">
        <v>50</v>
      </c>
      <c r="I51" s="2" t="s">
        <v>15</v>
      </c>
      <c r="J51" s="2" t="s">
        <v>23</v>
      </c>
      <c r="K51" s="2" t="s">
        <v>24</v>
      </c>
      <c r="M51" s="2" t="s">
        <v>25</v>
      </c>
      <c r="O51" s="2" t="s">
        <v>26</v>
      </c>
      <c r="P51" s="2" t="s">
        <v>35</v>
      </c>
      <c r="Q51" s="2" t="s">
        <v>17</v>
      </c>
      <c r="R51" s="2" t="s">
        <v>70</v>
      </c>
      <c r="S51" s="2" t="s">
        <v>146</v>
      </c>
      <c r="U51" s="2" t="s">
        <v>27</v>
      </c>
    </row>
    <row r="52" spans="1:23" s="40" customFormat="1" x14ac:dyDescent="0.2">
      <c r="A52" s="39" t="s">
        <v>53</v>
      </c>
      <c r="B52" s="40" t="s">
        <v>19</v>
      </c>
      <c r="C52" s="40" t="s">
        <v>19</v>
      </c>
      <c r="D52" s="40" t="s">
        <v>137</v>
      </c>
      <c r="H52" s="40" t="s">
        <v>125</v>
      </c>
      <c r="K52" s="41"/>
      <c r="V52" s="40" t="str">
        <f xml:space="preserve"> 1 &amp; "/" &amp; B38</f>
        <v>1/h</v>
      </c>
      <c r="W52" s="40" t="s">
        <v>32</v>
      </c>
    </row>
    <row r="53" spans="1:23" s="40" customFormat="1" x14ac:dyDescent="0.2">
      <c r="A53" s="39" t="s">
        <v>127</v>
      </c>
      <c r="B53" s="40" t="s">
        <v>28</v>
      </c>
      <c r="C53" s="40" t="s">
        <v>28</v>
      </c>
      <c r="D53" s="40" t="s">
        <v>137</v>
      </c>
      <c r="H53" s="40" t="s">
        <v>123</v>
      </c>
      <c r="K53" s="41">
        <f>O92*B33</f>
        <v>135.46581245459663</v>
      </c>
      <c r="L53" s="40" t="str">
        <f>B41 &amp; "/time range/" &amp; B39</f>
        <v>$/time range/kW</v>
      </c>
      <c r="N53" s="40" t="str">
        <f xml:space="preserve"> B41 &amp; "/" &amp; B39 &amp; B38</f>
        <v>$/kWh</v>
      </c>
    </row>
    <row r="54" spans="1:23" s="44" customFormat="1" x14ac:dyDescent="0.2">
      <c r="A54" s="43" t="s">
        <v>127</v>
      </c>
      <c r="B54" s="44" t="s">
        <v>34</v>
      </c>
      <c r="C54" s="44" t="s">
        <v>34</v>
      </c>
      <c r="D54" s="44" t="s">
        <v>137</v>
      </c>
      <c r="H54" s="44" t="s">
        <v>124</v>
      </c>
      <c r="K54" s="45">
        <f>O93*B33</f>
        <v>159.15693044316652</v>
      </c>
      <c r="L54" s="44" t="str">
        <f>B41 &amp; "/time range/" &amp; B39</f>
        <v>$/time range/kW</v>
      </c>
      <c r="N54" s="44" t="str">
        <f xml:space="preserve"> B41 &amp; "/" &amp; B39 &amp; B38</f>
        <v>$/kWh</v>
      </c>
    </row>
    <row r="55" spans="1:23" s="40" customFormat="1" x14ac:dyDescent="0.2">
      <c r="A55" s="39" t="s">
        <v>52</v>
      </c>
      <c r="B55" s="40" t="s">
        <v>144</v>
      </c>
      <c r="C55" s="40" t="s">
        <v>29</v>
      </c>
      <c r="D55" s="40" t="s">
        <v>141</v>
      </c>
      <c r="K55" s="41">
        <f>O94*B33</f>
        <v>112.24474894263096</v>
      </c>
      <c r="L55" s="40" t="str">
        <f>B41 &amp; "/time range/" &amp; B39</f>
        <v>$/time range/kW</v>
      </c>
      <c r="M55" s="40">
        <f>J94 + K94/M94</f>
        <v>1.6911456050362664E-2</v>
      </c>
      <c r="N55" s="40" t="str">
        <f xml:space="preserve"> B41 &amp; "/" &amp; B39 &amp; B38</f>
        <v>$/kWh</v>
      </c>
    </row>
    <row r="56" spans="1:23" s="44" customFormat="1" x14ac:dyDescent="0.2">
      <c r="A56" s="43" t="s">
        <v>127</v>
      </c>
      <c r="B56" s="44" t="s">
        <v>104</v>
      </c>
      <c r="C56" s="44" t="s">
        <v>104</v>
      </c>
      <c r="D56" s="44" t="s">
        <v>137</v>
      </c>
      <c r="K56" s="46">
        <f>O95*B33</f>
        <v>280.93327462774823</v>
      </c>
      <c r="L56" s="44" t="str">
        <f>B41 &amp; "/time range/" &amp; B39</f>
        <v>$/time range/kW</v>
      </c>
      <c r="M56" s="44">
        <f>J95 + K95/M95</f>
        <v>1.8144865147936888E-2</v>
      </c>
      <c r="N56" s="44" t="str">
        <f xml:space="preserve"> B41 &amp; "/" &amp; B39 &amp; B38</f>
        <v>$/kWh</v>
      </c>
    </row>
    <row r="57" spans="1:23" s="40" customFormat="1" x14ac:dyDescent="0.2">
      <c r="A57" s="39" t="s">
        <v>127</v>
      </c>
      <c r="B57" s="40" t="s">
        <v>33</v>
      </c>
      <c r="C57" s="40" t="s">
        <v>33</v>
      </c>
      <c r="D57" s="40" t="s">
        <v>137</v>
      </c>
      <c r="K57" s="41">
        <f>O96*B33</f>
        <v>742.40076653499398</v>
      </c>
      <c r="L57" s="40" t="str">
        <f>B41 &amp; "/time range/" &amp; B39</f>
        <v>$/time range/kW</v>
      </c>
      <c r="M57" s="40">
        <f>J96 + K96/M96</f>
        <v>2.3458663758010111E-2</v>
      </c>
      <c r="N57" s="40" t="str">
        <f xml:space="preserve"> B41 &amp; "/" &amp; B39 &amp; B38</f>
        <v>$/kWh</v>
      </c>
    </row>
    <row r="58" spans="1:23" s="44" customFormat="1" x14ac:dyDescent="0.2">
      <c r="A58" s="43" t="s">
        <v>127</v>
      </c>
      <c r="B58" s="44" t="s">
        <v>120</v>
      </c>
      <c r="C58" s="44" t="s">
        <v>100</v>
      </c>
      <c r="D58" s="44" t="s">
        <v>137</v>
      </c>
      <c r="K58" s="45">
        <f>O97*B33</f>
        <v>501.59899872684895</v>
      </c>
      <c r="L58" s="44" t="str">
        <f>B41 &amp; "/time range/" &amp; B39</f>
        <v>$/time range/kW</v>
      </c>
      <c r="N58" s="44" t="str">
        <f xml:space="preserve"> B41 &amp; "/" &amp; B39 &amp; B38</f>
        <v>$/kWh</v>
      </c>
    </row>
    <row r="59" spans="1:23" s="40" customFormat="1" x14ac:dyDescent="0.2">
      <c r="A59" s="39" t="s">
        <v>127</v>
      </c>
      <c r="B59" s="40" t="s">
        <v>101</v>
      </c>
      <c r="C59" s="40" t="s">
        <v>101</v>
      </c>
      <c r="D59" s="40" t="s">
        <v>137</v>
      </c>
      <c r="K59" s="41"/>
    </row>
    <row r="60" spans="1:23" s="44" customFormat="1" x14ac:dyDescent="0.2">
      <c r="A60" s="43" t="s">
        <v>127</v>
      </c>
      <c r="B60" s="44" t="s">
        <v>102</v>
      </c>
      <c r="C60" s="44" t="s">
        <v>102</v>
      </c>
      <c r="D60" s="44" t="s">
        <v>137</v>
      </c>
      <c r="K60" s="46">
        <f>O99*B33</f>
        <v>1883.019444812541</v>
      </c>
      <c r="L60" s="44" t="str">
        <f>B41 &amp; "/time range/" &amp; B39</f>
        <v>$/time range/kW</v>
      </c>
      <c r="N60" s="44" t="str">
        <f xml:space="preserve"> B41 &amp; "/" &amp; B39 &amp; B38</f>
        <v>$/kWh</v>
      </c>
    </row>
    <row r="61" spans="1:23" s="40" customFormat="1" x14ac:dyDescent="0.2">
      <c r="A61" s="39" t="s">
        <v>142</v>
      </c>
      <c r="B61" s="40" t="s">
        <v>30</v>
      </c>
      <c r="C61" s="40" t="s">
        <v>30</v>
      </c>
      <c r="D61" s="40" t="s">
        <v>137</v>
      </c>
      <c r="K61" s="42">
        <f>(O100+O101)*B33</f>
        <v>56.563262262275956</v>
      </c>
      <c r="L61" s="40" t="str">
        <f>B41 &amp; "/time range/" &amp; B39</f>
        <v>$/time range/kW</v>
      </c>
      <c r="M61" s="40">
        <f>Q101</f>
        <v>3.1E-6</v>
      </c>
      <c r="N61" s="40" t="str">
        <f xml:space="preserve"> B41 &amp; "/" &amp; B39 &amp; B38</f>
        <v>$/kWh</v>
      </c>
      <c r="O61" s="40">
        <v>4</v>
      </c>
      <c r="P61" s="40" t="b">
        <v>1</v>
      </c>
      <c r="Q61" s="40">
        <f>M101</f>
        <v>0.86</v>
      </c>
    </row>
    <row r="62" spans="1:23" s="44" customFormat="1" x14ac:dyDescent="0.2">
      <c r="A62" s="43" t="s">
        <v>122</v>
      </c>
      <c r="B62" s="44" t="s">
        <v>36</v>
      </c>
      <c r="C62" s="44" t="s">
        <v>36</v>
      </c>
      <c r="D62" s="44" t="s">
        <v>137</v>
      </c>
      <c r="E62" s="44" t="s">
        <v>38</v>
      </c>
      <c r="G62" s="44">
        <v>0</v>
      </c>
      <c r="K62" s="45">
        <f>O102*B33</f>
        <v>153.0544177167759</v>
      </c>
      <c r="L62" s="44" t="str">
        <f>B41 &amp; "/time range/" &amp; B39</f>
        <v>$/time range/kW</v>
      </c>
      <c r="M62" s="44">
        <f>Q102</f>
        <v>1.2999999999999998E-6</v>
      </c>
      <c r="N62" s="44" t="str">
        <f xml:space="preserve"> B41 &amp; "/" &amp; B39 &amp; B38</f>
        <v>$/kWh</v>
      </c>
      <c r="Q62" s="44">
        <f>M102</f>
        <v>0.5</v>
      </c>
    </row>
    <row r="63" spans="1:23" s="44" customFormat="1" x14ac:dyDescent="0.2">
      <c r="A63" s="43" t="s">
        <v>143</v>
      </c>
      <c r="B63" s="44" t="s">
        <v>39</v>
      </c>
      <c r="C63" s="44" t="s">
        <v>39</v>
      </c>
      <c r="D63" s="44" t="s">
        <v>38</v>
      </c>
      <c r="K63" s="45">
        <f>O103*B33</f>
        <v>0.16397297656507703</v>
      </c>
      <c r="L63" s="44" t="str">
        <f>B41 &amp; "/time range/" &amp; B39 &amp; B38</f>
        <v>$/time range/kWh</v>
      </c>
      <c r="N63" s="44" t="str">
        <f xml:space="preserve"> B41 &amp; "/" &amp; B39 &amp; B38</f>
        <v>$/kWh</v>
      </c>
      <c r="U63" s="44">
        <f>N103</f>
        <v>4.1666666666666665E-5</v>
      </c>
    </row>
    <row r="64" spans="1:23" s="44" customFormat="1" x14ac:dyDescent="0.2">
      <c r="A64" s="43" t="s">
        <v>122</v>
      </c>
      <c r="B64" s="44" t="s">
        <v>40</v>
      </c>
      <c r="C64" s="44" t="s">
        <v>40</v>
      </c>
      <c r="D64" s="44" t="s">
        <v>38</v>
      </c>
      <c r="E64" s="44" t="s">
        <v>137</v>
      </c>
      <c r="G64" s="44">
        <v>0</v>
      </c>
      <c r="K64" s="45">
        <f>O104*B33</f>
        <v>129.12774868738202</v>
      </c>
      <c r="L64" s="44" t="str">
        <f>B41 &amp; "/time range/" &amp; B39</f>
        <v>$/time range/kW</v>
      </c>
      <c r="M64" s="44">
        <f>Q104</f>
        <v>5.1249999999999993E-4</v>
      </c>
      <c r="N64" s="44" t="str">
        <f xml:space="preserve"> B41 &amp; "/" &amp; B39 &amp; B38</f>
        <v>$/kWh</v>
      </c>
      <c r="Q64" s="44">
        <f>M104</f>
        <v>0.71</v>
      </c>
    </row>
    <row r="65" spans="1:23" s="40" customFormat="1" x14ac:dyDescent="0.2">
      <c r="A65" s="39" t="s">
        <v>142</v>
      </c>
      <c r="B65" s="40" t="s">
        <v>136</v>
      </c>
      <c r="C65" s="40" t="s">
        <v>136</v>
      </c>
      <c r="D65" s="40" t="s">
        <v>133</v>
      </c>
      <c r="K65" s="42">
        <f>O105*B33</f>
        <v>8.6253132060507376</v>
      </c>
      <c r="L65" s="40" t="str">
        <f>B41 &amp; "/time range/" &amp; B39 &amp; B38</f>
        <v>$/time range/kWh</v>
      </c>
      <c r="W65" s="40" t="s">
        <v>135</v>
      </c>
    </row>
    <row r="66" spans="1:23" s="40" customFormat="1" x14ac:dyDescent="0.2">
      <c r="A66" s="39" t="s">
        <v>122</v>
      </c>
      <c r="B66" s="40" t="s">
        <v>121</v>
      </c>
      <c r="C66" s="40" t="s">
        <v>121</v>
      </c>
      <c r="D66" s="40" t="s">
        <v>137</v>
      </c>
      <c r="E66" s="40" t="s">
        <v>133</v>
      </c>
      <c r="G66" s="40">
        <v>-1</v>
      </c>
      <c r="K66" s="42">
        <f>O106*B33</f>
        <v>147.6443387634331</v>
      </c>
      <c r="L66" s="40" t="str">
        <f>B41 &amp; "/time range/" &amp; B39</f>
        <v>$/time range/kW</v>
      </c>
      <c r="M66" s="40">
        <f>Q106</f>
        <v>2.9999999999999999E-7</v>
      </c>
      <c r="N66" s="40" t="str">
        <f xml:space="preserve"> B41 &amp; "/" &amp; B39 &amp; B38</f>
        <v>$/kWh</v>
      </c>
      <c r="Q66" s="40">
        <f>M106^0.5</f>
        <v>0.9</v>
      </c>
      <c r="R66" s="40">
        <f>Q66</f>
        <v>0.9</v>
      </c>
      <c r="W66" s="40" t="s">
        <v>134</v>
      </c>
    </row>
    <row r="67" spans="1:23" s="44" customFormat="1" x14ac:dyDescent="0.2">
      <c r="A67" s="43" t="s">
        <v>138</v>
      </c>
      <c r="B67" s="44" t="s">
        <v>139</v>
      </c>
      <c r="K67" s="45"/>
    </row>
    <row r="68" spans="1:23" s="40" customFormat="1" x14ac:dyDescent="0.2">
      <c r="A68" s="39" t="s">
        <v>89</v>
      </c>
      <c r="B68" s="40" t="s">
        <v>29</v>
      </c>
      <c r="C68" s="40" t="s">
        <v>29</v>
      </c>
      <c r="D68" s="40" t="s">
        <v>141</v>
      </c>
      <c r="E68" s="40" t="s">
        <v>137</v>
      </c>
      <c r="F68" s="40" t="s">
        <v>152</v>
      </c>
      <c r="Q68" s="40">
        <v>0.54</v>
      </c>
      <c r="S68" s="40">
        <v>2.0000000000000001E-4</v>
      </c>
      <c r="T68" s="40" t="str">
        <f>B40 &amp; "/" &amp;B39 &amp; B38</f>
        <v>t/kWh</v>
      </c>
    </row>
    <row r="69" spans="1:23" s="44" customFormat="1" x14ac:dyDescent="0.2">
      <c r="A69" s="43" t="s">
        <v>90</v>
      </c>
      <c r="B69" s="44" t="s">
        <v>140</v>
      </c>
      <c r="D69" s="44" t="s">
        <v>152</v>
      </c>
      <c r="G69" s="44">
        <v>-1</v>
      </c>
    </row>
    <row r="70" spans="1:23" s="40" customFormat="1" x14ac:dyDescent="0.2">
      <c r="A70" s="39" t="s">
        <v>89</v>
      </c>
      <c r="B70" s="40" t="s">
        <v>98</v>
      </c>
      <c r="D70" s="40" t="s">
        <v>152</v>
      </c>
      <c r="E70" s="40" t="s">
        <v>99</v>
      </c>
      <c r="F70" s="40" t="s">
        <v>137</v>
      </c>
      <c r="K70" s="47">
        <v>1000000</v>
      </c>
      <c r="Q70" s="40">
        <v>1</v>
      </c>
      <c r="S70" s="40">
        <v>-500</v>
      </c>
      <c r="T70" s="40" t="str">
        <f xml:space="preserve"> B39 &amp; B38  &amp; "/" &amp;  B40</f>
        <v>kWh/t</v>
      </c>
      <c r="W70" s="40" t="s">
        <v>153</v>
      </c>
    </row>
    <row r="71" spans="1:23" s="44" customFormat="1" x14ac:dyDescent="0.2">
      <c r="A71" s="43" t="s">
        <v>90</v>
      </c>
      <c r="B71" s="44" t="s">
        <v>99</v>
      </c>
      <c r="C71" s="44" t="s">
        <v>99</v>
      </c>
      <c r="D71" s="44" t="s">
        <v>99</v>
      </c>
      <c r="K71" s="48"/>
    </row>
    <row r="73" spans="1:23" x14ac:dyDescent="0.2">
      <c r="A73" t="s">
        <v>97</v>
      </c>
    </row>
    <row r="75" spans="1:23" x14ac:dyDescent="0.2">
      <c r="A75" t="s">
        <v>47</v>
      </c>
    </row>
    <row r="76" spans="1:23" x14ac:dyDescent="0.2">
      <c r="A76" t="s">
        <v>31</v>
      </c>
    </row>
    <row r="77" spans="1:23" x14ac:dyDescent="0.2">
      <c r="A77" s="14" t="s">
        <v>54</v>
      </c>
      <c r="B77" s="14"/>
      <c r="C77" s="14"/>
      <c r="N77" s="9"/>
      <c r="O77" s="9"/>
    </row>
    <row r="78" spans="1:23" x14ac:dyDescent="0.2">
      <c r="A78" t="s">
        <v>84</v>
      </c>
      <c r="N78" s="9"/>
      <c r="O78" s="9"/>
    </row>
    <row r="80" spans="1:23" x14ac:dyDescent="0.2">
      <c r="A80" s="11" t="s">
        <v>79</v>
      </c>
      <c r="E80" s="10"/>
      <c r="F80" s="10"/>
      <c r="G80" s="10"/>
      <c r="H80" s="10"/>
      <c r="I80" s="10"/>
      <c r="J80" s="10"/>
      <c r="K80" s="10"/>
      <c r="L80" s="10"/>
      <c r="M80" s="10"/>
      <c r="N80" s="2"/>
      <c r="O80" s="2"/>
    </row>
    <row r="81" spans="1:20" x14ac:dyDescent="0.2">
      <c r="A81" s="11"/>
      <c r="B81" s="26" t="s">
        <v>106</v>
      </c>
      <c r="C81" s="25" t="s">
        <v>105</v>
      </c>
      <c r="E81" s="10"/>
      <c r="F81" s="10"/>
      <c r="G81" s="10"/>
      <c r="H81" s="10"/>
      <c r="I81" s="10"/>
      <c r="J81" s="10"/>
      <c r="K81" s="10"/>
      <c r="L81" s="10"/>
      <c r="M81" s="10"/>
      <c r="N81" s="2"/>
      <c r="O81" s="2"/>
    </row>
    <row r="82" spans="1:20" x14ac:dyDescent="0.2">
      <c r="A82" s="11"/>
      <c r="B82" s="26" t="s">
        <v>107</v>
      </c>
      <c r="C82" s="25" t="s">
        <v>108</v>
      </c>
      <c r="E82" s="10"/>
      <c r="F82" s="10"/>
      <c r="G82" s="10"/>
      <c r="H82" s="10"/>
      <c r="I82" s="10"/>
      <c r="J82" s="10"/>
      <c r="K82" s="10"/>
      <c r="L82" s="10"/>
      <c r="M82" s="10"/>
      <c r="N82" s="2"/>
      <c r="O82" s="2"/>
    </row>
    <row r="83" spans="1:20" x14ac:dyDescent="0.2">
      <c r="A83" s="11"/>
      <c r="B83" s="26"/>
      <c r="C83" s="25"/>
      <c r="E83" s="10"/>
      <c r="F83" s="10"/>
      <c r="G83" s="10"/>
      <c r="H83" s="10"/>
      <c r="I83" s="10"/>
      <c r="J83" s="10"/>
      <c r="K83" s="10"/>
      <c r="L83" s="10"/>
      <c r="M83" s="10"/>
      <c r="N83" s="2"/>
      <c r="O83" s="2"/>
    </row>
    <row r="84" spans="1:20" ht="15" customHeight="1" x14ac:dyDescent="0.2">
      <c r="A84" s="11"/>
      <c r="B84" s="26" t="s">
        <v>109</v>
      </c>
      <c r="C84" s="27" t="s">
        <v>110</v>
      </c>
      <c r="E84" s="10"/>
      <c r="F84" s="10"/>
      <c r="G84" s="10"/>
      <c r="H84" s="10"/>
      <c r="I84" s="10"/>
      <c r="J84" s="10"/>
      <c r="K84" s="10"/>
      <c r="L84" s="10"/>
      <c r="M84" s="10"/>
      <c r="N84" s="2"/>
      <c r="O84" s="2"/>
    </row>
    <row r="85" spans="1:20" x14ac:dyDescent="0.2">
      <c r="A85" s="11"/>
      <c r="B85" s="25"/>
      <c r="C85" s="28" t="s">
        <v>111</v>
      </c>
      <c r="E85" s="10"/>
      <c r="F85" s="10"/>
      <c r="G85" s="10"/>
      <c r="H85" s="10"/>
      <c r="I85" s="10"/>
      <c r="J85" s="10"/>
      <c r="K85" s="10"/>
      <c r="L85" s="10"/>
      <c r="M85" s="10"/>
      <c r="N85" s="2"/>
      <c r="O85" s="2"/>
    </row>
    <row r="86" spans="1:20" x14ac:dyDescent="0.2">
      <c r="A86" s="11"/>
      <c r="B86" s="25"/>
      <c r="C86" s="28"/>
      <c r="E86" s="10"/>
      <c r="F86" s="10"/>
      <c r="G86" s="10"/>
      <c r="H86" s="10"/>
      <c r="I86" s="10"/>
      <c r="J86" s="10"/>
      <c r="K86" s="10"/>
      <c r="L86" s="10"/>
      <c r="M86" s="10"/>
      <c r="N86" s="2"/>
      <c r="O86" s="2"/>
    </row>
    <row r="87" spans="1:20" s="35" customFormat="1" ht="20" customHeight="1" x14ac:dyDescent="0.2">
      <c r="A87" s="32"/>
      <c r="B87" s="33" t="s">
        <v>114</v>
      </c>
      <c r="C87" s="34"/>
      <c r="E87" s="36"/>
      <c r="F87" s="36"/>
      <c r="G87" s="36"/>
      <c r="H87" s="36"/>
      <c r="I87" s="36"/>
      <c r="J87" s="36"/>
      <c r="K87" s="36"/>
      <c r="L87" s="36"/>
      <c r="M87" s="36"/>
      <c r="N87" s="37"/>
      <c r="O87" s="37"/>
    </row>
    <row r="88" spans="1:20" ht="15" customHeight="1" x14ac:dyDescent="0.2">
      <c r="A88" s="11"/>
      <c r="B88" s="30" t="s">
        <v>115</v>
      </c>
      <c r="C88" s="31">
        <v>1.02</v>
      </c>
      <c r="D88" s="29"/>
      <c r="E88" s="29"/>
      <c r="F88" s="29"/>
      <c r="G88" s="29"/>
      <c r="H88" s="13"/>
      <c r="I88" s="15"/>
      <c r="J88" s="15"/>
      <c r="K88" s="15"/>
      <c r="L88" s="15"/>
      <c r="M88" s="15"/>
      <c r="N88" s="15"/>
      <c r="O88" s="15"/>
      <c r="P88" s="12"/>
      <c r="Q88" s="12"/>
      <c r="R88" s="13"/>
      <c r="S88" s="13"/>
      <c r="T88" s="13"/>
    </row>
    <row r="89" spans="1:20" x14ac:dyDescent="0.2">
      <c r="A89" s="11"/>
      <c r="B89" s="15" t="str">
        <f xml:space="preserve"> "Btu/" &amp; B39 &amp; B38</f>
        <v>Btu/kWh</v>
      </c>
      <c r="C89" s="13">
        <v>3412.141633127942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2"/>
      <c r="Q89" s="12"/>
      <c r="R89" s="13"/>
      <c r="S89" s="13"/>
      <c r="T89" s="13"/>
    </row>
    <row r="90" spans="1:20" x14ac:dyDescent="0.2">
      <c r="A90" s="11"/>
      <c r="B90" s="15" t="s">
        <v>81</v>
      </c>
      <c r="C90" s="13">
        <v>7.0000000000000007E-2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3"/>
      <c r="S90" s="13"/>
      <c r="T90" s="13"/>
    </row>
    <row r="91" spans="1:20" ht="60" customHeight="1" x14ac:dyDescent="0.2">
      <c r="A91" s="2"/>
      <c r="B91" s="12" t="s">
        <v>21</v>
      </c>
      <c r="C91" s="18" t="str">
        <f xml:space="preserve"> "Overnight cost [" &amp; B41 &amp; "/" &amp; B39 &amp; "]"</f>
        <v>Overnight cost [$/kW]</v>
      </c>
      <c r="D91" s="12" t="str">
        <f xml:space="preserve"> "Fixed O&amp;M cost ["  &amp; B41 &amp; "/" &amp; B39 &amp; "year]"</f>
        <v>Fixed O&amp;M cost [$/kWyear]</v>
      </c>
      <c r="E91" s="12" t="s">
        <v>116</v>
      </c>
      <c r="F91" s="12"/>
      <c r="G91" s="12" t="s">
        <v>82</v>
      </c>
      <c r="H91" s="12" t="s">
        <v>80</v>
      </c>
      <c r="I91" s="16" t="str">
        <f xml:space="preserve"> "Annual fixed costs [" &amp;B41 &amp; "/year]"</f>
        <v>Annual fixed costs [$/year]</v>
      </c>
      <c r="J91" s="12" t="str">
        <f xml:space="preserve"> "Variable O&amp;M [" &amp; B41 &amp; "/" &amp; B39 &amp; B38 &amp; "]"</f>
        <v>Variable O&amp;M [$/kWh]</v>
      </c>
      <c r="K91" s="12" t="str">
        <f xml:space="preserve"> "Fuel cost [" &amp; B41 &amp; "/" &amp; B39 &amp; B38 &amp; "]"</f>
        <v>Fuel cost [$/kWh]</v>
      </c>
      <c r="L91" s="12" t="str">
        <f xml:space="preserve"> "Heat rate [btu/" &amp; B39 &amp; B38 &amp; "]"</f>
        <v>Heat rate [btu/kWh]</v>
      </c>
      <c r="M91" s="15" t="s">
        <v>83</v>
      </c>
      <c r="N91" s="15" t="s">
        <v>128</v>
      </c>
      <c r="O91" s="18" t="s">
        <v>51</v>
      </c>
      <c r="P91" s="12"/>
      <c r="Q91" s="18" t="s">
        <v>103</v>
      </c>
      <c r="R91" s="12"/>
      <c r="S91" s="12"/>
      <c r="T91" s="12"/>
    </row>
    <row r="92" spans="1:20" x14ac:dyDescent="0.2">
      <c r="B92" s="13" t="s">
        <v>28</v>
      </c>
      <c r="C92" s="19">
        <v>1391</v>
      </c>
      <c r="D92" s="13">
        <v>23</v>
      </c>
      <c r="E92" s="13"/>
      <c r="F92" s="13"/>
      <c r="G92" s="13">
        <v>30</v>
      </c>
      <c r="H92" s="13">
        <f>C90*(1+C90)^G92/((1+C90)^G92-1)</f>
        <v>8.0586403511111196E-2</v>
      </c>
      <c r="I92" s="17">
        <f t="shared" ref="I92:I97" si="0">C92*H92+D92</f>
        <v>135.09568728395567</v>
      </c>
      <c r="J92" s="13"/>
      <c r="K92" s="13"/>
      <c r="L92" s="13"/>
      <c r="M92" s="13"/>
      <c r="N92" s="13"/>
      <c r="O92" s="19">
        <f t="shared" ref="O92:O97" si="1">I92/8760</f>
        <v>1.5421882110040601E-2</v>
      </c>
      <c r="P92" s="13" t="str">
        <f>B41&amp;"/"&amp;B38&amp;"/"&amp;B39</f>
        <v>$/h/kW</v>
      </c>
      <c r="Q92" s="19"/>
      <c r="R92" s="13" t="str">
        <f xml:space="preserve"> B41 &amp; "/" &amp; B39 &amp; B38</f>
        <v>$/kWh</v>
      </c>
      <c r="S92" s="13"/>
      <c r="T92" s="13"/>
    </row>
    <row r="93" spans="1:20" x14ac:dyDescent="0.2">
      <c r="B93" s="13" t="s">
        <v>34</v>
      </c>
      <c r="C93" s="19">
        <v>1436</v>
      </c>
      <c r="D93" s="13">
        <v>43</v>
      </c>
      <c r="E93" s="13"/>
      <c r="F93" s="13"/>
      <c r="G93" s="13">
        <v>30</v>
      </c>
      <c r="H93" s="13">
        <f>C90*(1+C90)^G93/((1+C90)^G93-1)</f>
        <v>8.0586403511111196E-2</v>
      </c>
      <c r="I93" s="17">
        <f t="shared" si="0"/>
        <v>158.72207544195567</v>
      </c>
      <c r="J93" s="13"/>
      <c r="K93" s="13"/>
      <c r="L93" s="23"/>
      <c r="M93" s="13"/>
      <c r="N93" s="13"/>
      <c r="O93" s="19">
        <f t="shared" si="1"/>
        <v>1.8118958383784894E-2</v>
      </c>
      <c r="P93" s="13" t="str">
        <f>B41&amp;"/"&amp;B38&amp;"/"&amp;B39</f>
        <v>$/h/kW</v>
      </c>
      <c r="Q93" s="19"/>
      <c r="R93" s="13" t="str">
        <f xml:space="preserve"> B41 &amp; "/" &amp; B39 &amp; B38</f>
        <v>$/kWh</v>
      </c>
      <c r="S93" s="13"/>
      <c r="T93" s="13"/>
    </row>
    <row r="94" spans="1:20" x14ac:dyDescent="0.2">
      <c r="B94" s="13" t="s">
        <v>29</v>
      </c>
      <c r="C94" s="19">
        <v>1054</v>
      </c>
      <c r="D94" s="13">
        <v>27</v>
      </c>
      <c r="E94" s="13"/>
      <c r="F94" s="13"/>
      <c r="G94" s="13">
        <v>30</v>
      </c>
      <c r="H94" s="13">
        <f>C90*(1+C90)^G94/((1+C90)^G94-1)</f>
        <v>8.0586403511111196E-2</v>
      </c>
      <c r="I94" s="17">
        <f t="shared" si="0"/>
        <v>111.93806930071121</v>
      </c>
      <c r="J94" s="13">
        <v>2E-3</v>
      </c>
      <c r="K94" s="13">
        <v>8.0000000000000002E-3</v>
      </c>
      <c r="L94" s="13">
        <v>6360</v>
      </c>
      <c r="M94" s="13">
        <f>C89/L94</f>
        <v>0.53650025678112301</v>
      </c>
      <c r="N94" s="13"/>
      <c r="O94" s="19">
        <f t="shared" si="1"/>
        <v>1.2778318413323197E-2</v>
      </c>
      <c r="P94" s="13" t="str">
        <f>B41&amp;"/"&amp;B38&amp;"/"&amp;B39</f>
        <v>$/h/kW</v>
      </c>
      <c r="Q94" s="19">
        <f>J94+K94/M94</f>
        <v>1.6911456050362664E-2</v>
      </c>
      <c r="R94" s="13" t="str">
        <f xml:space="preserve"> B41 &amp; "/" &amp; B39 &amp; B38</f>
        <v>$/kWh</v>
      </c>
      <c r="S94" s="13"/>
      <c r="T94" s="13"/>
    </row>
    <row r="95" spans="1:20" x14ac:dyDescent="0.2">
      <c r="B95" s="13" t="s">
        <v>104</v>
      </c>
      <c r="C95" s="19">
        <v>2670</v>
      </c>
      <c r="D95" s="13">
        <v>65</v>
      </c>
      <c r="E95" s="13"/>
      <c r="F95" s="13"/>
      <c r="G95" s="13">
        <v>30</v>
      </c>
      <c r="H95" s="13">
        <f>C90*(1+C90)^G95/((1+C90)^G95-1)</f>
        <v>8.0586403511111196E-2</v>
      </c>
      <c r="I95" s="17">
        <f t="shared" si="0"/>
        <v>280.16569737466693</v>
      </c>
      <c r="J95" s="13">
        <v>6.0000000000000001E-3</v>
      </c>
      <c r="K95" s="13">
        <v>8.0000000000000002E-3</v>
      </c>
      <c r="L95" s="13">
        <v>5180</v>
      </c>
      <c r="M95" s="13">
        <f>C89/L95</f>
        <v>0.65871460098995016</v>
      </c>
      <c r="N95" s="13"/>
      <c r="O95" s="19">
        <f t="shared" si="1"/>
        <v>3.1982385545053303E-2</v>
      </c>
      <c r="P95" s="13" t="str">
        <f>B41&amp;"/"&amp;B38&amp;"/"&amp;B39</f>
        <v>$/h/kW</v>
      </c>
      <c r="Q95" s="19">
        <f>J95+K95/M95</f>
        <v>1.8144865147936888E-2</v>
      </c>
      <c r="R95" s="13" t="str">
        <f xml:space="preserve"> B41 &amp; "/" &amp; B39 &amp; B38</f>
        <v>$/kWh</v>
      </c>
      <c r="S95" s="13"/>
      <c r="T95" s="13"/>
    </row>
    <row r="96" spans="1:20" x14ac:dyDescent="0.2">
      <c r="B96" s="13" t="s">
        <v>33</v>
      </c>
      <c r="C96" s="19">
        <v>7388</v>
      </c>
      <c r="D96" s="13">
        <v>145</v>
      </c>
      <c r="E96" s="13"/>
      <c r="F96" s="13"/>
      <c r="G96" s="13">
        <v>30</v>
      </c>
      <c r="H96" s="13">
        <f>C90*(1+C90)^G96/((1+C90)^G96-1)</f>
        <v>8.0586403511111196E-2</v>
      </c>
      <c r="I96" s="17">
        <f t="shared" si="0"/>
        <v>740.37234914008957</v>
      </c>
      <c r="J96" s="13">
        <v>2E-3</v>
      </c>
      <c r="K96" s="13">
        <v>7.0000000000000001E-3</v>
      </c>
      <c r="L96" s="24">
        <v>10460</v>
      </c>
      <c r="M96" s="13">
        <f>C89/L96</f>
        <v>0.32620856913269042</v>
      </c>
      <c r="N96" s="13"/>
      <c r="O96" s="19">
        <f t="shared" si="1"/>
        <v>8.4517391454348126E-2</v>
      </c>
      <c r="P96" s="13" t="str">
        <f>B41&amp;"/"&amp;B38&amp;"/"&amp;B39</f>
        <v>$/h/kW</v>
      </c>
      <c r="Q96" s="19">
        <f>J96+K96/M96</f>
        <v>2.3458663758010111E-2</v>
      </c>
      <c r="R96" s="13" t="str">
        <f xml:space="preserve"> B41 &amp; "/" &amp; B39 &amp; B38</f>
        <v>$/kWh</v>
      </c>
      <c r="S96" s="13"/>
      <c r="T96" s="13"/>
    </row>
    <row r="97" spans="2:20" x14ac:dyDescent="0.2">
      <c r="B97" s="13" t="s">
        <v>120</v>
      </c>
      <c r="C97" s="19">
        <v>4346</v>
      </c>
      <c r="D97" s="13">
        <v>150</v>
      </c>
      <c r="E97" s="13"/>
      <c r="F97" s="13"/>
      <c r="G97" s="13">
        <v>30</v>
      </c>
      <c r="H97" s="13">
        <f>C90*(1+C90)^G96/((1+C90)^G96-1)</f>
        <v>8.0586403511111196E-2</v>
      </c>
      <c r="I97" s="17">
        <f t="shared" si="0"/>
        <v>500.22850965928927</v>
      </c>
      <c r="J97" s="13">
        <v>5.0000000000000001E-3</v>
      </c>
      <c r="K97" s="13">
        <v>0.25275123208355127</v>
      </c>
      <c r="L97" s="24">
        <v>13500</v>
      </c>
      <c r="M97" s="13">
        <f>C89/L97</f>
        <v>0.25275123208355127</v>
      </c>
      <c r="N97" s="13"/>
      <c r="O97" s="19">
        <f t="shared" si="1"/>
        <v>5.7103711148320691E-2</v>
      </c>
      <c r="P97" s="13" t="str">
        <f>B41&amp;"/"&amp;B38&amp;"/"&amp;B39</f>
        <v>$/h/kW</v>
      </c>
      <c r="Q97" s="19">
        <f>J97+K97/M97</f>
        <v>1.0049999999999999</v>
      </c>
      <c r="R97" s="13" t="str">
        <f xml:space="preserve"> B41 &amp; "/" &amp; B39 &amp; B38</f>
        <v>$/kWh</v>
      </c>
      <c r="S97" s="13"/>
      <c r="T97" s="13"/>
    </row>
    <row r="98" spans="2:20" x14ac:dyDescent="0.2">
      <c r="B98" s="13" t="s">
        <v>101</v>
      </c>
      <c r="C98" s="19"/>
      <c r="D98" s="13"/>
      <c r="E98" s="13"/>
      <c r="F98" s="13"/>
      <c r="G98" s="13"/>
      <c r="H98" s="13"/>
      <c r="I98" s="17"/>
      <c r="J98" s="13"/>
      <c r="K98" s="13"/>
      <c r="L98" s="23"/>
      <c r="M98" s="13"/>
      <c r="N98" s="13"/>
      <c r="O98" s="19"/>
      <c r="P98" s="13" t="str">
        <f>B41&amp;"/"&amp;B38&amp;"/"&amp;B39</f>
        <v>$/h/kW</v>
      </c>
      <c r="Q98" s="19"/>
      <c r="R98" s="13" t="str">
        <f xml:space="preserve"> B41 &amp; "/" &amp; B39 &amp; B38</f>
        <v>$/kWh</v>
      </c>
      <c r="S98" s="13"/>
      <c r="T98" s="13"/>
    </row>
    <row r="99" spans="2:20" x14ac:dyDescent="0.2">
      <c r="B99" s="13" t="s">
        <v>102</v>
      </c>
      <c r="C99" s="19">
        <v>19977</v>
      </c>
      <c r="D99" s="13">
        <v>268</v>
      </c>
      <c r="E99" s="13"/>
      <c r="F99" s="13"/>
      <c r="G99" s="13">
        <v>30</v>
      </c>
      <c r="H99" s="13">
        <f>C90*(1+C90)^G99/((1+C90)^G99-1)</f>
        <v>8.0586403511111196E-2</v>
      </c>
      <c r="I99" s="17">
        <f>C99*H99+D99</f>
        <v>1877.8745829414684</v>
      </c>
      <c r="J99" s="13"/>
      <c r="K99" s="13"/>
      <c r="L99" s="13"/>
      <c r="M99" s="13"/>
      <c r="N99" s="13"/>
      <c r="O99" s="19">
        <f>I99/8760</f>
        <v>0.21436924462802151</v>
      </c>
      <c r="P99" s="13" t="str">
        <f>B41&amp;"/"&amp;B38&amp;"/"&amp;B39</f>
        <v>$/h/kW</v>
      </c>
      <c r="Q99" s="19"/>
      <c r="R99" s="13" t="str">
        <f xml:space="preserve"> B41 &amp; "/" &amp; B39 &amp; B38</f>
        <v>$/kWh</v>
      </c>
      <c r="S99" s="13"/>
      <c r="T99" s="13"/>
    </row>
    <row r="100" spans="2:20" x14ac:dyDescent="0.2">
      <c r="B100" s="13" t="s">
        <v>112</v>
      </c>
      <c r="C100" s="19">
        <f>320*C88</f>
        <v>326.39999999999998</v>
      </c>
      <c r="D100" s="13">
        <f>0.0424*C100</f>
        <v>13.839359999999999</v>
      </c>
      <c r="E100" s="13"/>
      <c r="F100" s="13"/>
      <c r="G100" s="13">
        <v>30</v>
      </c>
      <c r="H100" s="13">
        <f>C90*(1+C90)^G100/((1+C90)^G100-1)</f>
        <v>8.0586403511111196E-2</v>
      </c>
      <c r="I100" s="17">
        <f>(C100+D100)*H100</f>
        <v>27.418666355322223</v>
      </c>
      <c r="J100" s="13"/>
      <c r="K100" s="13"/>
      <c r="L100" s="13"/>
      <c r="M100" s="13"/>
      <c r="N100" s="13"/>
      <c r="O100" s="19">
        <f>I100/8760</f>
        <v>3.1299847437582448E-3</v>
      </c>
      <c r="P100" s="13" t="str">
        <f>B41&amp;"/"&amp;B38&amp;"/"&amp;B39</f>
        <v>$/h/kW</v>
      </c>
      <c r="Q100" s="19"/>
      <c r="R100" s="13" t="str">
        <f xml:space="preserve"> B41 &amp; "/" &amp; B39 &amp; B38</f>
        <v>$/kWh</v>
      </c>
      <c r="S100" s="13"/>
      <c r="T100" s="13"/>
    </row>
    <row r="101" spans="2:20" x14ac:dyDescent="0.2">
      <c r="B101" s="13" t="s">
        <v>113</v>
      </c>
      <c r="C101" s="19">
        <f>246*C88</f>
        <v>250.92000000000002</v>
      </c>
      <c r="D101" s="13">
        <f>8.3*C88</f>
        <v>8.4660000000000011</v>
      </c>
      <c r="E101" s="38">
        <v>1.4999999999999999E-2</v>
      </c>
      <c r="F101" s="38"/>
      <c r="G101" s="13">
        <v>30</v>
      </c>
      <c r="H101" s="13">
        <f>C90*(1+C90)^G101/((1+C90)^G101-1)</f>
        <v>8.0586403511111196E-2</v>
      </c>
      <c r="I101" s="17">
        <f>(C101+E101*C101)*H101+D101</f>
        <v>28.990051474543144</v>
      </c>
      <c r="J101" s="13"/>
      <c r="K101" s="13"/>
      <c r="L101" s="13"/>
      <c r="M101" s="13">
        <v>0.86</v>
      </c>
      <c r="N101" s="13"/>
      <c r="O101" s="19">
        <f>I101/8760</f>
        <v>3.3093666066830074E-3</v>
      </c>
      <c r="P101" s="13" t="str">
        <f>B41&amp;"/"&amp;B38&amp;"/"&amp;B39</f>
        <v>$/h/kW</v>
      </c>
      <c r="Q101" s="19">
        <v>3.1E-6</v>
      </c>
      <c r="R101" s="13" t="str">
        <f xml:space="preserve"> B41 &amp; "/" &amp; B39</f>
        <v>$/kW</v>
      </c>
      <c r="S101" s="13"/>
      <c r="T101" s="13"/>
    </row>
    <row r="102" spans="2:20" x14ac:dyDescent="0.2">
      <c r="B102" s="13" t="s">
        <v>36</v>
      </c>
      <c r="C102" s="19">
        <f>1673*C88</f>
        <v>1706.46</v>
      </c>
      <c r="D102" s="13">
        <f>12.8*C88</f>
        <v>13.056000000000001</v>
      </c>
      <c r="E102" s="38">
        <v>1.4999999999999999E-2</v>
      </c>
      <c r="F102" s="38"/>
      <c r="G102" s="13">
        <v>30</v>
      </c>
      <c r="H102" s="13">
        <f>C90*(1+C90)^G101/((1+C90)^G101-1)</f>
        <v>8.0586403511111196E-2</v>
      </c>
      <c r="I102" s="17">
        <f t="shared" ref="I102:I106" si="2">(C102+E102*C102)*H102+D102</f>
        <v>152.63623624760439</v>
      </c>
      <c r="J102" s="13"/>
      <c r="K102" s="13"/>
      <c r="L102" s="13"/>
      <c r="M102" s="13">
        <v>0.5</v>
      </c>
      <c r="N102" s="13"/>
      <c r="O102" s="19">
        <f t="shared" ref="O102:O106" si="3">I102/8760</f>
        <v>1.742422788214662E-2</v>
      </c>
      <c r="P102" s="13" t="str">
        <f>B41&amp;"/"&amp;B38&amp;"/"&amp;B39</f>
        <v>$/h/kW</v>
      </c>
      <c r="Q102" s="19">
        <v>1.2999999999999998E-6</v>
      </c>
      <c r="R102" s="13" t="str">
        <f xml:space="preserve"> B41 &amp; "/" &amp; B39</f>
        <v>$/kW</v>
      </c>
      <c r="S102" s="13"/>
      <c r="T102" s="13"/>
    </row>
    <row r="103" spans="2:20" x14ac:dyDescent="0.2">
      <c r="B103" s="13" t="s">
        <v>39</v>
      </c>
      <c r="C103" s="19">
        <f>1.96*C88</f>
        <v>1.9992000000000001</v>
      </c>
      <c r="D103" s="13">
        <f>1.5%*C103</f>
        <v>2.9988000000000001E-2</v>
      </c>
      <c r="E103" s="13"/>
      <c r="F103" s="13"/>
      <c r="G103" s="13">
        <v>30</v>
      </c>
      <c r="H103" s="13">
        <f>C90*(1+C90)^G101/((1+C90)^G101-1)</f>
        <v>8.0586403511111196E-2</v>
      </c>
      <c r="I103" s="17">
        <f>(C103+D103)*H103</f>
        <v>0.1635249629679047</v>
      </c>
      <c r="J103" s="13"/>
      <c r="K103" s="13"/>
      <c r="L103" s="13"/>
      <c r="M103" s="13"/>
      <c r="N103" s="13">
        <f>0.1%/24</f>
        <v>4.1666666666666665E-5</v>
      </c>
      <c r="O103" s="19">
        <f t="shared" si="3"/>
        <v>1.8667233215514235E-5</v>
      </c>
      <c r="P103" s="13" t="str">
        <f>B41&amp;"/"&amp;B38&amp;"/"&amp;B39</f>
        <v>$/h/kW</v>
      </c>
      <c r="Q103" s="19"/>
      <c r="R103" s="13" t="str">
        <f xml:space="preserve"> B41 &amp; "/" &amp; B39 &amp; B38</f>
        <v>$/kWh</v>
      </c>
      <c r="S103" s="13"/>
      <c r="T103" s="13"/>
    </row>
    <row r="104" spans="2:20" x14ac:dyDescent="0.2">
      <c r="B104" s="13" t="s">
        <v>40</v>
      </c>
      <c r="C104" s="19">
        <f>1387*C88</f>
        <v>1414.74</v>
      </c>
      <c r="D104" s="13">
        <f>12.8*C88</f>
        <v>13.056000000000001</v>
      </c>
      <c r="E104" s="38">
        <v>1.4999999999999999E-2</v>
      </c>
      <c r="F104" s="38"/>
      <c r="G104" s="13">
        <v>30</v>
      </c>
      <c r="H104" s="13">
        <f>C90*(1+C90)^G101/((1+C90)^G101-1)</f>
        <v>8.0586403511111196E-2</v>
      </c>
      <c r="I104" s="17">
        <f t="shared" si="2"/>
        <v>128.77494063085911</v>
      </c>
      <c r="J104" s="13"/>
      <c r="K104" s="13"/>
      <c r="L104" s="13"/>
      <c r="M104" s="13">
        <v>0.71</v>
      </c>
      <c r="N104" s="13"/>
      <c r="O104" s="19">
        <f t="shared" si="3"/>
        <v>1.4700335688454236E-2</v>
      </c>
      <c r="P104" s="13" t="str">
        <f>B41&amp;"/"&amp;B38&amp;"/"&amp;B39</f>
        <v>$/h/kW</v>
      </c>
      <c r="Q104" s="19">
        <v>5.1249999999999993E-4</v>
      </c>
      <c r="R104" s="13" t="str">
        <f xml:space="preserve"> B41 &amp; "/" &amp; B39</f>
        <v>$/kW</v>
      </c>
      <c r="S104" s="13"/>
      <c r="T104" s="13"/>
    </row>
    <row r="105" spans="2:20" x14ac:dyDescent="0.2">
      <c r="B105" s="13" t="s">
        <v>118</v>
      </c>
      <c r="C105" s="19">
        <f>103.1*C88</f>
        <v>105.16199999999999</v>
      </c>
      <c r="D105" s="13">
        <f>1.5%*C105</f>
        <v>1.5774299999999999</v>
      </c>
      <c r="E105" s="13"/>
      <c r="F105" s="13"/>
      <c r="G105" s="13">
        <v>30</v>
      </c>
      <c r="H105" s="13">
        <f>C90*(1+C90)^G101/((1+C90)^G101-1)</f>
        <v>8.0586403511111196E-2</v>
      </c>
      <c r="I105" s="17">
        <f>(C105+D105)*H105</f>
        <v>8.6017467765260083</v>
      </c>
      <c r="J105" s="19"/>
      <c r="K105" s="13"/>
      <c r="L105" s="13"/>
      <c r="M105" s="13"/>
      <c r="N105" s="13"/>
      <c r="O105" s="19">
        <f t="shared" si="3"/>
        <v>9.8193456353036631E-4</v>
      </c>
      <c r="P105" s="13"/>
      <c r="Q105" s="19"/>
      <c r="R105" s="13" t="str">
        <f xml:space="preserve"> B41 &amp; "/" &amp; B39 &amp; B38</f>
        <v>$/kWh</v>
      </c>
      <c r="S105" s="13"/>
      <c r="T105" s="13"/>
    </row>
    <row r="106" spans="2:20" x14ac:dyDescent="0.2">
      <c r="B106" s="13" t="s">
        <v>119</v>
      </c>
      <c r="C106" s="19">
        <f>1612*C88</f>
        <v>1644.24</v>
      </c>
      <c r="D106" s="13">
        <f>12.5*C88</f>
        <v>12.75</v>
      </c>
      <c r="E106" s="38">
        <v>1.4999999999999999E-2</v>
      </c>
      <c r="F106" s="38"/>
      <c r="G106" s="13">
        <v>30</v>
      </c>
      <c r="H106" s="13">
        <f>C90*(1+C90)^G101/((1+C90)^G101-1)</f>
        <v>8.0586403511111196E-2</v>
      </c>
      <c r="I106" s="17">
        <f t="shared" si="2"/>
        <v>147.24093893074613</v>
      </c>
      <c r="J106" s="19"/>
      <c r="K106" s="13"/>
      <c r="L106" s="13"/>
      <c r="M106" s="13">
        <v>0.81</v>
      </c>
      <c r="N106" s="13"/>
      <c r="O106" s="19">
        <f t="shared" si="3"/>
        <v>1.680832636195732E-2</v>
      </c>
      <c r="P106" s="13"/>
      <c r="Q106" s="19">
        <v>2.9999999999999999E-7</v>
      </c>
      <c r="R106" s="13" t="str">
        <f xml:space="preserve"> B41 &amp; "/" &amp; B39</f>
        <v>$/kW</v>
      </c>
      <c r="S106" s="13"/>
      <c r="T106" s="13"/>
    </row>
    <row r="107" spans="2:20" x14ac:dyDescent="0.2">
      <c r="B107" s="13" t="s">
        <v>98</v>
      </c>
      <c r="C107" s="19"/>
      <c r="D107" s="13"/>
      <c r="E107" s="13"/>
      <c r="F107" s="13"/>
      <c r="G107" s="13"/>
      <c r="H107" s="13"/>
      <c r="I107" s="13"/>
      <c r="J107" s="19"/>
      <c r="K107" s="13"/>
      <c r="L107" s="13"/>
      <c r="M107" s="13"/>
      <c r="N107" s="13"/>
      <c r="O107" s="19"/>
      <c r="P107" s="13"/>
      <c r="Q107" s="19"/>
      <c r="R107" s="13" t="str">
        <f xml:space="preserve"> B41 &amp; "/" &amp; B39 &amp; B38</f>
        <v>$/kWh</v>
      </c>
      <c r="S107" s="13"/>
      <c r="T107" s="13"/>
    </row>
    <row r="109" spans="2:20" x14ac:dyDescent="0.2">
      <c r="B109" t="s">
        <v>117</v>
      </c>
    </row>
    <row r="110" spans="2:20" ht="16" x14ac:dyDescent="0.2"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</sheetData>
  <hyperlinks>
    <hyperlink ref="C81" r:id="rId1" display="https://atb.nrel.gov/" xr:uid="{FDAACE4C-EEBF-8245-B992-53B8086970DC}"/>
    <hyperlink ref="C82" r:id="rId2" xr:uid="{CDACD0CF-3E87-1D48-85AE-004D57BDEA41}"/>
    <hyperlink ref="C85" r:id="rId3" xr:uid="{53E5629A-906B-1C43-957A-88DBCCC90896}"/>
  </hyperlinks>
  <pageMargins left="0.7" right="0.7" top="0.75" bottom="0.75" header="0.3" footer="0.3"/>
  <pageSetup orientation="portrait" horizontalDpi="1200" verticalDpi="1200" r:id="rId4"/>
  <ignoredErrors>
    <ignoredError sqref="I10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2023-03-14T20:50:13Z</dcterms:modified>
</cp:coreProperties>
</file>