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"/>
    </mc:Choice>
  </mc:AlternateContent>
  <xr:revisionPtr revIDLastSave="0" documentId="13_ncr:1_{AECB34B9-06D4-4F48-89A7-892D3DEE3C23}" xr6:coauthVersionLast="47" xr6:coauthVersionMax="47" xr10:uidLastSave="{00000000-0000-0000-0000-000000000000}"/>
  <bookViews>
    <workbookView xWindow="700" yWindow="500" windowWidth="27920" windowHeight="1502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O58" i="1"/>
  <c r="O57" i="1"/>
  <c r="P90" i="1"/>
  <c r="P89" i="1"/>
  <c r="P88" i="1"/>
  <c r="P87" i="1"/>
  <c r="K53" i="1"/>
  <c r="K52" i="1"/>
  <c r="K51" i="1"/>
  <c r="Q59" i="1"/>
  <c r="M96" i="1"/>
  <c r="L90" i="1"/>
  <c r="L89" i="1"/>
  <c r="L88" i="1"/>
  <c r="L87" i="1"/>
  <c r="L62" i="1"/>
  <c r="L60" i="1"/>
  <c r="K62" i="1"/>
  <c r="J62" i="1"/>
  <c r="J61" i="1"/>
  <c r="J59" i="1"/>
  <c r="J60" i="1"/>
  <c r="Q97" i="1"/>
  <c r="Q95" i="1"/>
  <c r="Q94" i="1"/>
  <c r="Q99" i="1"/>
  <c r="Q98" i="1"/>
  <c r="G99" i="1"/>
  <c r="H99" i="1" s="1"/>
  <c r="N99" i="1" s="1"/>
  <c r="G98" i="1"/>
  <c r="G97" i="1"/>
  <c r="D99" i="1"/>
  <c r="C99" i="1"/>
  <c r="C98" i="1"/>
  <c r="D98" i="1" s="1"/>
  <c r="K60" i="1"/>
  <c r="K58" i="1"/>
  <c r="Q93" i="1"/>
  <c r="K57" i="1"/>
  <c r="G96" i="1"/>
  <c r="G95" i="1"/>
  <c r="G94" i="1"/>
  <c r="H94" i="1" s="1"/>
  <c r="N94" i="1" s="1"/>
  <c r="D97" i="1"/>
  <c r="D95" i="1"/>
  <c r="C97" i="1"/>
  <c r="C96" i="1"/>
  <c r="C95" i="1"/>
  <c r="O94" i="1"/>
  <c r="O93" i="1"/>
  <c r="D94" i="1"/>
  <c r="C94" i="1"/>
  <c r="C93" i="1"/>
  <c r="D93" i="1" s="1"/>
  <c r="L52" i="1"/>
  <c r="L51" i="1"/>
  <c r="J52" i="1"/>
  <c r="J51" i="1"/>
  <c r="Q88" i="1"/>
  <c r="Q87" i="1"/>
  <c r="O88" i="1"/>
  <c r="O87" i="1"/>
  <c r="G88" i="1"/>
  <c r="H88" i="1" s="1"/>
  <c r="N88" i="1" s="1"/>
  <c r="H97" i="1" l="1"/>
  <c r="N97" i="1" s="1"/>
  <c r="H95" i="1"/>
  <c r="N95" i="1" s="1"/>
  <c r="H98" i="1"/>
  <c r="N98" i="1" s="1"/>
  <c r="D96" i="1"/>
  <c r="H96" i="1" s="1"/>
  <c r="N96" i="1" s="1"/>
  <c r="L56" i="1"/>
  <c r="L54" i="1"/>
  <c r="J56" i="1"/>
  <c r="J54" i="1"/>
  <c r="J53" i="1"/>
  <c r="G92" i="1"/>
  <c r="H92" i="1" s="1"/>
  <c r="N92" i="1" s="1"/>
  <c r="O92" i="1"/>
  <c r="O91" i="1"/>
  <c r="O90" i="1"/>
  <c r="O89" i="1"/>
  <c r="B82" i="1"/>
  <c r="J84" i="1"/>
  <c r="K84" i="1"/>
  <c r="G90" i="1"/>
  <c r="H90" i="1" s="1"/>
  <c r="N90" i="1" s="1"/>
  <c r="G89" i="1"/>
  <c r="Q100" i="1"/>
  <c r="Q96" i="1"/>
  <c r="Q92" i="1"/>
  <c r="Q91" i="1"/>
  <c r="Q89" i="1"/>
  <c r="Q90" i="1"/>
  <c r="Q86" i="1"/>
  <c r="Q85" i="1"/>
  <c r="I84" i="1"/>
  <c r="J49" i="1" l="1"/>
  <c r="L49" i="1"/>
  <c r="L59" i="1"/>
  <c r="L58" i="1"/>
  <c r="L53" i="1"/>
  <c r="B32" i="1" l="1"/>
  <c r="B33" i="1" s="1"/>
  <c r="O97" i="1"/>
  <c r="O96" i="1"/>
  <c r="O95" i="1"/>
  <c r="O86" i="1"/>
  <c r="O85" i="1"/>
  <c r="G85" i="1"/>
  <c r="G87" i="1"/>
  <c r="H87" i="1" s="1"/>
  <c r="J58" i="1"/>
  <c r="I52" i="1" l="1"/>
  <c r="I62" i="1"/>
  <c r="I61" i="1"/>
  <c r="I56" i="1"/>
  <c r="I54" i="1"/>
  <c r="I58" i="1"/>
  <c r="I59" i="1"/>
  <c r="I60" i="1"/>
  <c r="G86" i="1"/>
  <c r="H86" i="1" s="1"/>
  <c r="N86" i="1" s="1"/>
  <c r="I50" i="1" s="1"/>
  <c r="H89" i="1"/>
  <c r="N89" i="1" s="1"/>
  <c r="I53" i="1" s="1"/>
  <c r="G93" i="1"/>
  <c r="H85" i="1"/>
  <c r="N85" i="1" s="1"/>
  <c r="I49" i="1" s="1"/>
  <c r="H84" i="1"/>
  <c r="N87" i="1"/>
  <c r="I51" i="1" s="1"/>
  <c r="D84" i="1"/>
  <c r="C84" i="1"/>
  <c r="R48" i="1"/>
  <c r="L50" i="1"/>
  <c r="L57" i="1"/>
  <c r="J50" i="1"/>
  <c r="J57" i="1"/>
  <c r="H93" i="1" l="1"/>
  <c r="N93" i="1" s="1"/>
  <c r="I57" i="1" s="1"/>
</calcChain>
</file>

<file path=xl/sharedStrings.xml><?xml version="1.0" encoding="utf-8"?>
<sst xmlns="http://schemas.openxmlformats.org/spreadsheetml/2006/main" count="200" uniqueCount="134">
  <si>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</si>
  <si>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</si>
  <si>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</si>
  <si>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</si>
  <si>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</si>
  <si>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</si>
  <si>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</si>
  <si>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</si>
  <si>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</si>
  <si>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</si>
  <si>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</si>
  <si>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</si>
  <si>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</si>
  <si>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</si>
  <si>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</si>
  <si>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</si>
  <si>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</si>
  <si>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</si>
  <si>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</si>
  <si>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</si>
  <si>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</si>
  <si>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</si>
  <si>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</si>
  <si>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</si>
  <si>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</si>
  <si>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</si>
  <si>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</si>
  <si>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</si>
  <si>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</si>
  <si>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</si>
  <si>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</si>
  <si>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</si>
  <si>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</si>
  <si>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</si>
  <si>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</si>
  <si>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</si>
  <si>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</si>
  <si>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</si>
  <si>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</si>
  <si>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</si>
  <si>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</si>
  <si>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</si>
  <si>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</si>
  <si>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</si>
  <si>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</si>
  <si>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</si>
  <si>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</si>
  <si>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</si>
  <si>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</si>
  <si>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</si>
  <si>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</si>
  <si>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</si>
  <si>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</si>
  <si>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</si>
  <si>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</si>
  <si>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</si>
  <si>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</si>
  <si>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</si>
  <si>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</si>
  <si>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</si>
  <si>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</si>
  <si>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</si>
  <si>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</si>
  <si>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</si>
  <si>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</si>
  <si>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</si>
  <si>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</si>
  <si>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</si>
  <si>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</si>
  <si>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</si>
  <si>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</si>
  <si>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</si>
  <si>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</si>
  <si>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</si>
  <si>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</si>
  <si>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</si>
  <si>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</si>
  <si>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</si>
  <si>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</si>
  <si>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</si>
  <si>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</si>
  <si>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</si>
  <si>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</si>
  <si>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</si>
  <si>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</si>
  <si>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</si>
  <si>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</si>
  <si>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</si>
  <si>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</si>
  <si>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</si>
  <si>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</si>
  <si>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</si>
  <si>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</si>
  <si>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</si>
  <si>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</si>
  <si>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</si>
  <si>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</si>
  <si>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</si>
  <si>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</si>
  <si>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</si>
  <si>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DAC</t>
  </si>
  <si>
    <t>co2_stored</t>
  </si>
  <si>
    <t>bioenergy</t>
  </si>
  <si>
    <t>hydropower</t>
  </si>
  <si>
    <t>geothermal</t>
  </si>
  <si>
    <t>Variable cost</t>
  </si>
  <si>
    <t>natgas_ccs</t>
  </si>
  <si>
    <t>NREL (National Renewable Energy Laboratory). 2021. "2021 Annual Technology Baseline." Golden, CO: National Renewable Energy Laboratory. https://atb.nrel.gov/. </t>
  </si>
  <si>
    <t>Source generation costs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</si>
  <si>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</si>
  <si>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</si>
  <si>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</si>
  <si>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</si>
  <si>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</si>
  <si>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battery energy</t>
  </si>
  <si>
    <t>battery power</t>
  </si>
  <si>
    <t>All Costs in $2019 USD</t>
  </si>
  <si>
    <t>2018 USD to 2019 USD</t>
  </si>
  <si>
    <t>Other fixed cost* (% of capital cost)</t>
  </si>
  <si>
    <t>* includes property, tax, insurance, licensing, permiting costs</t>
  </si>
  <si>
    <t>pumped_hydro_storage energy</t>
  </si>
  <si>
    <t>pumped_hydro_storage power</t>
  </si>
  <si>
    <t>biopower</t>
  </si>
  <si>
    <t>phs_energy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</si>
  <si>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</si>
  <si>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</si>
  <si>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</si>
  <si>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</si>
  <si>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</si>
  <si>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/carnegie/data/Shared/Labs/Caldeira Lab/Everyone/energy_demand_capacity_data/US_solar_wind_demand/</t>
  </si>
  <si>
    <t>all_firm_case</t>
  </si>
  <si>
    <t>all_firm</t>
  </si>
  <si>
    <t>#Generator</t>
  </si>
  <si>
    <t>Decay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</si>
</sst>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 wrapText="1"/>
    </xf>
    <xf numFmtId="0" fontId="0" fillId="35" borderId="0" xfId="0" applyFill="1" applyAlignment="1">
      <alignment horizontal="right"/>
    </xf>
    <xf numFmtId="49" fontId="0" fillId="35" borderId="0" xfId="0" applyNumberFormat="1" applyFill="1" applyAlignment="1">
      <alignment horizontal="right"/>
    </xf>
    <xf numFmtId="0" fontId="0" fillId="34" borderId="0" xfId="0" applyFont="1" applyFill="1"/>
    <xf numFmtId="0" fontId="21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/>
    </xf>
    <xf numFmtId="0" fontId="21" fillId="0" borderId="0" xfId="43"/>
    <xf numFmtId="0" fontId="0" fillId="34" borderId="11" xfId="0" applyFont="1" applyFill="1" applyBorder="1"/>
    <xf numFmtId="0" fontId="24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23" fillId="34" borderId="0" xfId="0" applyFont="1" applyFill="1" applyAlignment="1">
      <alignment vertical="center"/>
    </xf>
    <xf numFmtId="0" fontId="21" fillId="0" borderId="0" xfId="43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0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3"/>
  <sheetViews>
    <sheetView tabSelected="1" topLeftCell="A43" zoomScale="110" zoomScaleNormal="110" workbookViewId="0">
      <selection activeCell="O61" sqref="O61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1" customWidth="1"/>
    <col min="6" max="6" width="23" customWidth="1"/>
    <col min="7" max="7" width="11.1640625" customWidth="1"/>
    <col min="8" max="9" width="11.33203125" customWidth="1"/>
    <col min="10" max="10" width="13.5" customWidth="1"/>
    <col min="11" max="11" width="14.83203125" customWidth="1"/>
    <col min="12" max="12" width="13.5" customWidth="1"/>
    <col min="13" max="13" width="11.1640625" customWidth="1"/>
    <col min="14" max="14" width="12.83203125" customWidth="1"/>
    <col min="15" max="15" width="18.6640625" customWidth="1"/>
    <col min="16" max="17" width="11.5" customWidth="1"/>
    <col min="18" max="18" width="14.1640625" customWidth="1"/>
    <col min="19" max="19" width="11.1640625" customWidth="1"/>
  </cols>
  <sheetData>
    <row r="1" spans="1:7" x14ac:dyDescent="0.2">
      <c r="A1" s="3" t="s">
        <v>59</v>
      </c>
      <c r="B1" s="3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 t="s">
        <v>97</v>
      </c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 t="s">
        <v>0</v>
      </c>
      <c r="B5" s="3"/>
      <c r="C5" s="3"/>
      <c r="D5" s="3"/>
      <c r="E5" s="3"/>
      <c r="F5" s="3"/>
      <c r="G5" s="3"/>
    </row>
    <row r="6" spans="1:7" x14ac:dyDescent="0.2">
      <c r="A6" s="3" t="s">
        <v>1</v>
      </c>
      <c r="B6" s="3"/>
      <c r="C6" s="3"/>
      <c r="D6" s="3"/>
      <c r="E6" s="3"/>
      <c r="F6" s="3"/>
      <c r="G6" s="3"/>
    </row>
    <row r="7" spans="1:7" x14ac:dyDescent="0.2">
      <c r="A7" s="3" t="s">
        <v>70</v>
      </c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 t="s">
        <v>2</v>
      </c>
      <c r="B9" s="3"/>
      <c r="C9" s="3"/>
      <c r="D9" s="3"/>
      <c r="E9" s="3"/>
      <c r="F9" s="3"/>
      <c r="G9" s="3"/>
    </row>
    <row r="10" spans="1:7" x14ac:dyDescent="0.2">
      <c r="A10" s="3" t="s">
        <v>20</v>
      </c>
      <c r="B10" s="3" t="s">
        <v>60</v>
      </c>
      <c r="C10" s="3"/>
      <c r="D10" s="3"/>
      <c r="E10" s="3"/>
      <c r="F10" s="3"/>
      <c r="G10" s="3"/>
    </row>
    <row r="11" spans="1:7" x14ac:dyDescent="0.2">
      <c r="A11" s="3" t="s">
        <v>21</v>
      </c>
      <c r="B11" s="3" t="s">
        <v>61</v>
      </c>
      <c r="C11" s="3"/>
      <c r="D11" s="3"/>
      <c r="E11" s="3"/>
      <c r="F11" s="3"/>
      <c r="G11" s="3"/>
    </row>
    <row r="12" spans="1:7" x14ac:dyDescent="0.2">
      <c r="A12" s="3" t="s">
        <v>22</v>
      </c>
      <c r="B12" s="3" t="s">
        <v>62</v>
      </c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 t="s">
        <v>5</v>
      </c>
      <c r="B14" s="3"/>
      <c r="C14" s="3"/>
      <c r="D14" s="3"/>
      <c r="E14" s="3"/>
      <c r="F14" s="3"/>
      <c r="G14" s="3"/>
    </row>
    <row r="15" spans="1:7" x14ac:dyDescent="0.2">
      <c r="A15" s="3" t="s">
        <v>50</v>
      </c>
      <c r="B15" s="3" t="s">
        <v>63</v>
      </c>
      <c r="C15" s="3"/>
      <c r="D15" s="3"/>
      <c r="E15" s="3"/>
      <c r="F15" s="3"/>
      <c r="G15" s="3"/>
    </row>
    <row r="16" spans="1:7" x14ac:dyDescent="0.2">
      <c r="A16" s="3" t="s">
        <v>24</v>
      </c>
      <c r="B16" s="3" t="s">
        <v>64</v>
      </c>
      <c r="C16" s="3"/>
      <c r="D16" s="3"/>
      <c r="E16" s="3"/>
      <c r="F16" s="3"/>
      <c r="G16" s="3"/>
    </row>
    <row r="17" spans="1:7" x14ac:dyDescent="0.2">
      <c r="A17" s="3" t="s">
        <v>25</v>
      </c>
      <c r="B17" s="3" t="s">
        <v>65</v>
      </c>
      <c r="C17" s="3"/>
      <c r="D17" s="3"/>
      <c r="E17" s="3"/>
      <c r="F17" s="3"/>
      <c r="G17" s="3"/>
    </row>
    <row r="18" spans="1:7" x14ac:dyDescent="0.2">
      <c r="A18" s="3" t="s">
        <v>26</v>
      </c>
      <c r="B18" s="3" t="s">
        <v>66</v>
      </c>
      <c r="C18" s="3"/>
      <c r="D18" s="3"/>
      <c r="E18" s="3"/>
      <c r="F18" s="3"/>
      <c r="G18" s="3"/>
    </row>
    <row r="19" spans="1:7" x14ac:dyDescent="0.2">
      <c r="A19" s="3" t="s">
        <v>35</v>
      </c>
      <c r="B19" s="3" t="s">
        <v>68</v>
      </c>
      <c r="C19" s="3"/>
      <c r="D19" s="3"/>
      <c r="E19" s="3"/>
      <c r="F19" s="3"/>
      <c r="G19" s="3"/>
    </row>
    <row r="20" spans="1:7" x14ac:dyDescent="0.2">
      <c r="A20" s="3" t="s">
        <v>17</v>
      </c>
      <c r="B20" s="3" t="s">
        <v>67</v>
      </c>
      <c r="C20" s="3"/>
      <c r="D20" s="3"/>
      <c r="E20" s="3"/>
      <c r="F20" s="3"/>
      <c r="G20" s="3"/>
    </row>
    <row r="21" spans="1:7" x14ac:dyDescent="0.2">
      <c r="A21" s="3" t="s">
        <v>27</v>
      </c>
      <c r="B21" s="3" t="s">
        <v>69</v>
      </c>
      <c r="C21" s="3"/>
      <c r="D21" s="3"/>
      <c r="E21" s="3"/>
      <c r="F21" s="3"/>
      <c r="G21" s="3"/>
    </row>
    <row r="23" spans="1:7" x14ac:dyDescent="0.2">
      <c r="A23" t="s">
        <v>11</v>
      </c>
    </row>
    <row r="25" spans="1:7" x14ac:dyDescent="0.2">
      <c r="A25" t="s">
        <v>45</v>
      </c>
      <c r="B25" s="22" t="s">
        <v>129</v>
      </c>
    </row>
    <row r="26" spans="1:7" x14ac:dyDescent="0.2">
      <c r="A26" t="s">
        <v>13</v>
      </c>
      <c r="B26" t="s">
        <v>44</v>
      </c>
    </row>
    <row r="27" spans="1:7" x14ac:dyDescent="0.2">
      <c r="A27" t="s">
        <v>12</v>
      </c>
      <c r="B27" t="s">
        <v>130</v>
      </c>
    </row>
    <row r="28" spans="1:7" x14ac:dyDescent="0.2">
      <c r="A28" t="s">
        <v>41</v>
      </c>
      <c r="B28" t="s">
        <v>131</v>
      </c>
    </row>
    <row r="29" spans="1:7" x14ac:dyDescent="0.2">
      <c r="A29" t="s">
        <v>42</v>
      </c>
      <c r="B29" s="8" t="s">
        <v>94</v>
      </c>
      <c r="C29" s="8"/>
      <c r="D29" t="s">
        <v>46</v>
      </c>
    </row>
    <row r="30" spans="1:7" x14ac:dyDescent="0.2">
      <c r="A30" t="s">
        <v>43</v>
      </c>
      <c r="B30" s="8" t="s">
        <v>90</v>
      </c>
      <c r="C30" s="8"/>
    </row>
    <row r="31" spans="1:7" x14ac:dyDescent="0.2">
      <c r="A31" t="s">
        <v>88</v>
      </c>
      <c r="B31">
        <v>1</v>
      </c>
      <c r="C31" s="10"/>
    </row>
    <row r="32" spans="1:7" x14ac:dyDescent="0.2">
      <c r="A32" t="s">
        <v>95</v>
      </c>
      <c r="B32" s="21">
        <f>(B30-B29)*24/B31</f>
        <v>8784</v>
      </c>
      <c r="C32" t="s">
        <v>93</v>
      </c>
    </row>
    <row r="33" spans="1:19" x14ac:dyDescent="0.2">
      <c r="A33" t="s">
        <v>96</v>
      </c>
      <c r="B33" s="21">
        <f>B32*B31</f>
        <v>8784</v>
      </c>
    </row>
    <row r="34" spans="1:19" x14ac:dyDescent="0.2">
      <c r="B34" s="6"/>
      <c r="C34" s="6"/>
    </row>
    <row r="35" spans="1:19" x14ac:dyDescent="0.2">
      <c r="A35" t="s">
        <v>48</v>
      </c>
      <c r="B35" s="7" t="s">
        <v>49</v>
      </c>
      <c r="C35" s="7"/>
      <c r="D35" t="s">
        <v>56</v>
      </c>
    </row>
    <row r="36" spans="1:19" x14ac:dyDescent="0.2">
      <c r="A36" t="s">
        <v>14</v>
      </c>
      <c r="B36" s="1">
        <v>1</v>
      </c>
      <c r="C36" s="1"/>
      <c r="D36" t="s">
        <v>57</v>
      </c>
    </row>
    <row r="37" spans="1:19" x14ac:dyDescent="0.2">
      <c r="B37" s="1"/>
      <c r="C37" s="1"/>
    </row>
    <row r="38" spans="1:19" x14ac:dyDescent="0.2">
      <c r="A38" t="s">
        <v>74</v>
      </c>
      <c r="B38" s="1" t="s">
        <v>77</v>
      </c>
      <c r="C38" s="1"/>
    </row>
    <row r="39" spans="1:19" x14ac:dyDescent="0.2">
      <c r="A39" t="s">
        <v>75</v>
      </c>
      <c r="B39" s="1" t="s">
        <v>78</v>
      </c>
      <c r="C39" s="1"/>
    </row>
    <row r="40" spans="1:19" x14ac:dyDescent="0.2">
      <c r="A40" t="s">
        <v>76</v>
      </c>
      <c r="B40" s="1" t="s">
        <v>79</v>
      </c>
      <c r="C40" s="1"/>
    </row>
    <row r="41" spans="1:19" x14ac:dyDescent="0.2">
      <c r="B41" s="1"/>
      <c r="C41" s="1"/>
    </row>
    <row r="42" spans="1:19" x14ac:dyDescent="0.2">
      <c r="A42" t="s">
        <v>18</v>
      </c>
      <c r="J42" t="s">
        <v>89</v>
      </c>
    </row>
    <row r="43" spans="1:19" x14ac:dyDescent="0.2">
      <c r="D43" t="s">
        <v>73</v>
      </c>
      <c r="I43" t="s">
        <v>80</v>
      </c>
      <c r="P43" t="s">
        <v>72</v>
      </c>
    </row>
    <row r="44" spans="1:19" s="3" customFormat="1" x14ac:dyDescent="0.2">
      <c r="A44" s="3" t="s">
        <v>87</v>
      </c>
    </row>
    <row r="45" spans="1:19" s="4" customFormat="1" ht="16" x14ac:dyDescent="0.2">
      <c r="A45" s="4" t="s">
        <v>4</v>
      </c>
      <c r="B45" s="4" t="s">
        <v>3</v>
      </c>
      <c r="D45" s="4" t="s">
        <v>6</v>
      </c>
      <c r="H45" s="4" t="s">
        <v>15</v>
      </c>
      <c r="I45" s="4" t="s">
        <v>16</v>
      </c>
      <c r="J45" s="4" t="s">
        <v>7</v>
      </c>
      <c r="L45" s="4" t="s">
        <v>8</v>
      </c>
      <c r="N45" s="4" t="s">
        <v>9</v>
      </c>
      <c r="P45" s="5" t="s">
        <v>17</v>
      </c>
      <c r="Q45" s="5" t="s">
        <v>10</v>
      </c>
      <c r="R45" s="5"/>
    </row>
    <row r="46" spans="1:19" x14ac:dyDescent="0.2">
      <c r="A46" t="s">
        <v>98</v>
      </c>
    </row>
    <row r="47" spans="1:19" s="2" customFormat="1" ht="32" x14ac:dyDescent="0.2">
      <c r="A47" s="2" t="s">
        <v>20</v>
      </c>
      <c r="B47" s="2" t="s">
        <v>21</v>
      </c>
      <c r="C47" s="2" t="s">
        <v>58</v>
      </c>
      <c r="D47" s="2" t="s">
        <v>22</v>
      </c>
      <c r="E47" s="2" t="s">
        <v>37</v>
      </c>
      <c r="F47" s="2" t="s">
        <v>50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71</v>
      </c>
      <c r="Q47" s="2" t="s">
        <v>27</v>
      </c>
    </row>
    <row r="48" spans="1:19" x14ac:dyDescent="0.2">
      <c r="A48" s="8" t="s">
        <v>53</v>
      </c>
      <c r="B48" t="s">
        <v>19</v>
      </c>
      <c r="C48" t="s">
        <v>19</v>
      </c>
      <c r="D48" t="s">
        <v>22</v>
      </c>
      <c r="F48" t="s">
        <v>128</v>
      </c>
      <c r="I48" s="26"/>
      <c r="K48" s="15"/>
      <c r="R48" t="str">
        <f xml:space="preserve"> 1 &amp; "/" &amp; B38</f>
        <v>1/h</v>
      </c>
      <c r="S48" t="s">
        <v>32</v>
      </c>
    </row>
    <row r="49" spans="1:17" x14ac:dyDescent="0.2">
      <c r="A49" s="8" t="s">
        <v>52</v>
      </c>
      <c r="B49" t="s">
        <v>28</v>
      </c>
      <c r="C49" t="s">
        <v>28</v>
      </c>
      <c r="D49" t="s">
        <v>22</v>
      </c>
      <c r="F49" t="s">
        <v>126</v>
      </c>
      <c r="I49" s="26">
        <f>N85*B33</f>
        <v>135.46581245459663</v>
      </c>
      <c r="J49" t="str">
        <f>B40 &amp; "/time range/" &amp; B39</f>
        <v>$/time range/kW</v>
      </c>
      <c r="K49" s="15"/>
      <c r="L49" t="str">
        <f xml:space="preserve"> B40 &amp; "/" &amp; B39 &amp; B38</f>
        <v>$/kWh</v>
      </c>
    </row>
    <row r="50" spans="1:17" x14ac:dyDescent="0.2">
      <c r="A50" s="8" t="s">
        <v>52</v>
      </c>
      <c r="B50" t="s">
        <v>34</v>
      </c>
      <c r="C50" t="s">
        <v>34</v>
      </c>
      <c r="D50" t="s">
        <v>22</v>
      </c>
      <c r="F50" t="s">
        <v>127</v>
      </c>
      <c r="I50" s="26">
        <f>N86*B33</f>
        <v>159.15693044316652</v>
      </c>
      <c r="J50" t="str">
        <f>B40 &amp; "/time range/" &amp; B39</f>
        <v>$/time range/kW</v>
      </c>
      <c r="K50" s="15"/>
      <c r="L50" t="str">
        <f xml:space="preserve"> B40 &amp; "/" &amp; B39 &amp; B38</f>
        <v>$/kWh</v>
      </c>
    </row>
    <row r="51" spans="1:17" x14ac:dyDescent="0.2">
      <c r="A51" s="8" t="s">
        <v>132</v>
      </c>
      <c r="B51" t="s">
        <v>29</v>
      </c>
      <c r="C51" t="s">
        <v>29</v>
      </c>
      <c r="D51" t="s">
        <v>22</v>
      </c>
      <c r="I51" s="26">
        <f>N87*B33</f>
        <v>112.24474894263096</v>
      </c>
      <c r="J51" t="str">
        <f>B40 &amp; "/time range/" &amp; B39</f>
        <v>$/time range/kW</v>
      </c>
      <c r="K51" s="15">
        <f>I87 + J87/L87</f>
        <v>1.6911456050362664E-2</v>
      </c>
      <c r="L51" t="str">
        <f xml:space="preserve"> B40 &amp; "/" &amp; B39 &amp; B38</f>
        <v>$/kWh</v>
      </c>
    </row>
    <row r="52" spans="1:17" x14ac:dyDescent="0.2">
      <c r="A52" s="8" t="s">
        <v>52</v>
      </c>
      <c r="B52" t="s">
        <v>106</v>
      </c>
      <c r="C52" t="s">
        <v>106</v>
      </c>
      <c r="D52" t="s">
        <v>22</v>
      </c>
      <c r="I52" s="27">
        <f>N88*B33</f>
        <v>280.93327462774823</v>
      </c>
      <c r="J52" t="str">
        <f>B40 &amp; "/time range/" &amp; B39</f>
        <v>$/time range/kW</v>
      </c>
      <c r="K52" s="15">
        <f>I88 + J88/L88</f>
        <v>1.8144865147936888E-2</v>
      </c>
      <c r="L52" t="str">
        <f xml:space="preserve"> B40 &amp; "/" &amp; B39 &amp; B38</f>
        <v>$/kWh</v>
      </c>
    </row>
    <row r="53" spans="1:17" x14ac:dyDescent="0.2">
      <c r="A53" s="8" t="s">
        <v>52</v>
      </c>
      <c r="B53" t="s">
        <v>33</v>
      </c>
      <c r="C53" t="s">
        <v>33</v>
      </c>
      <c r="D53" t="s">
        <v>22</v>
      </c>
      <c r="I53" s="26">
        <f>N89*B33</f>
        <v>742.40076653499398</v>
      </c>
      <c r="J53" t="str">
        <f>B40 &amp; "/time range/" &amp; B39</f>
        <v>$/time range/kW</v>
      </c>
      <c r="K53" s="15">
        <f>I89 + J89/L89</f>
        <v>2.3458663758010111E-2</v>
      </c>
      <c r="L53" t="str">
        <f xml:space="preserve"> B40 &amp; "/" &amp; B39 &amp; B38</f>
        <v>$/kWh</v>
      </c>
    </row>
    <row r="54" spans="1:17" x14ac:dyDescent="0.2">
      <c r="A54" s="8" t="s">
        <v>52</v>
      </c>
      <c r="B54" t="s">
        <v>122</v>
      </c>
      <c r="C54" t="s">
        <v>102</v>
      </c>
      <c r="D54" t="s">
        <v>22</v>
      </c>
      <c r="I54" s="26">
        <f>N90*B33</f>
        <v>501.59899872684895</v>
      </c>
      <c r="J54" t="str">
        <f>B40 &amp; "/time range/" &amp; B39</f>
        <v>$/time range/kW</v>
      </c>
      <c r="K54" s="15"/>
      <c r="L54" t="str">
        <f xml:space="preserve"> B40 &amp; "/" &amp; B39 &amp; B38</f>
        <v>$/kWh</v>
      </c>
    </row>
    <row r="55" spans="1:17" x14ac:dyDescent="0.2">
      <c r="A55" s="8" t="s">
        <v>132</v>
      </c>
      <c r="B55" t="s">
        <v>103</v>
      </c>
      <c r="C55" t="s">
        <v>103</v>
      </c>
      <c r="D55" t="s">
        <v>22</v>
      </c>
      <c r="I55" s="26"/>
      <c r="K55" s="15"/>
    </row>
    <row r="56" spans="1:17" x14ac:dyDescent="0.2">
      <c r="A56" s="8" t="s">
        <v>52</v>
      </c>
      <c r="B56" t="s">
        <v>104</v>
      </c>
      <c r="C56" t="s">
        <v>104</v>
      </c>
      <c r="D56" t="s">
        <v>22</v>
      </c>
      <c r="I56" s="27">
        <f>N92*B33</f>
        <v>1883.019444812541</v>
      </c>
      <c r="J56" t="str">
        <f>B40 &amp; "/time range/" &amp; B39</f>
        <v>$/time range/kW</v>
      </c>
      <c r="K56" s="15"/>
      <c r="L56" t="str">
        <f xml:space="preserve"> B40 &amp; "/" &amp; B39 &amp; B38</f>
        <v>$/kWh</v>
      </c>
    </row>
    <row r="57" spans="1:17" x14ac:dyDescent="0.2">
      <c r="A57" s="8" t="s">
        <v>54</v>
      </c>
      <c r="B57" t="s">
        <v>30</v>
      </c>
      <c r="C57" t="s">
        <v>30</v>
      </c>
      <c r="D57" t="s">
        <v>22</v>
      </c>
      <c r="I57" s="27">
        <f>(N93+N94)*B33</f>
        <v>56.563262262275956</v>
      </c>
      <c r="J57" t="str">
        <f>B40 &amp; "/time range/" &amp; B39</f>
        <v>$/time range/kW</v>
      </c>
      <c r="K57" s="15">
        <f>P94</f>
        <v>3.1E-6</v>
      </c>
      <c r="L57" t="str">
        <f xml:space="preserve"> B40 &amp; "/" &amp; B39 &amp; B38</f>
        <v>$/kWh</v>
      </c>
      <c r="M57">
        <v>4</v>
      </c>
      <c r="N57" t="b">
        <v>1</v>
      </c>
      <c r="O57">
        <f>L94</f>
        <v>0.86</v>
      </c>
    </row>
    <row r="58" spans="1:17" x14ac:dyDescent="0.2">
      <c r="A58" s="8" t="s">
        <v>91</v>
      </c>
      <c r="B58" t="s">
        <v>36</v>
      </c>
      <c r="C58" t="s">
        <v>36</v>
      </c>
      <c r="D58" t="s">
        <v>22</v>
      </c>
      <c r="E58" t="s">
        <v>38</v>
      </c>
      <c r="I58" s="26">
        <f>N95*B33</f>
        <v>153.0544177167759</v>
      </c>
      <c r="J58" t="str">
        <f>B40 &amp; "/time range/" &amp; B39</f>
        <v>$/time range/kW</v>
      </c>
      <c r="K58" s="15">
        <f>P95</f>
        <v>1.2999999999999998E-6</v>
      </c>
      <c r="L58" t="str">
        <f xml:space="preserve"> B40 &amp; "/" &amp; B39 &amp; B38</f>
        <v>$/kWh</v>
      </c>
      <c r="O58">
        <f>L95</f>
        <v>0.5</v>
      </c>
    </row>
    <row r="59" spans="1:17" x14ac:dyDescent="0.2">
      <c r="A59" s="8" t="s">
        <v>92</v>
      </c>
      <c r="B59" t="s">
        <v>39</v>
      </c>
      <c r="C59" t="s">
        <v>39</v>
      </c>
      <c r="D59" t="s">
        <v>38</v>
      </c>
      <c r="I59" s="26">
        <f>N96*B33</f>
        <v>0.16397297656507703</v>
      </c>
      <c r="J59" t="str">
        <f>B40 &amp; "/time range/" &amp; B39 &amp; B38</f>
        <v>$/time range/kWh</v>
      </c>
      <c r="K59" s="15"/>
      <c r="L59" t="str">
        <f xml:space="preserve"> B40 &amp; "/" &amp; B39 &amp; B38</f>
        <v>$/kWh</v>
      </c>
      <c r="Q59">
        <f>M96</f>
        <v>4.1666666666666665E-5</v>
      </c>
    </row>
    <row r="60" spans="1:17" x14ac:dyDescent="0.2">
      <c r="A60" s="8" t="s">
        <v>91</v>
      </c>
      <c r="B60" t="s">
        <v>40</v>
      </c>
      <c r="C60" t="s">
        <v>40</v>
      </c>
      <c r="D60" t="s">
        <v>38</v>
      </c>
      <c r="E60" t="s">
        <v>22</v>
      </c>
      <c r="I60" s="26">
        <f>N97*B33</f>
        <v>129.12774868738202</v>
      </c>
      <c r="J60" t="str">
        <f>B40 &amp; "/time range/" &amp; B39</f>
        <v>$/time range/kW</v>
      </c>
      <c r="K60" s="15">
        <f>P97</f>
        <v>5.1249999999999993E-4</v>
      </c>
      <c r="L60" t="str">
        <f xml:space="preserve"> B40 &amp; "/" &amp; B39 &amp; B38</f>
        <v>$/kWh</v>
      </c>
      <c r="O60">
        <f>L97</f>
        <v>0.71</v>
      </c>
    </row>
    <row r="61" spans="1:17" x14ac:dyDescent="0.2">
      <c r="A61" s="8" t="s">
        <v>54</v>
      </c>
      <c r="B61" t="s">
        <v>123</v>
      </c>
      <c r="C61" t="s">
        <v>123</v>
      </c>
      <c r="D61" t="s">
        <v>22</v>
      </c>
      <c r="I61" s="27">
        <f>N98*B33</f>
        <v>8.6253132060507376</v>
      </c>
      <c r="J61" t="str">
        <f>B40 &amp; "/time range/" &amp; B39 &amp; B38</f>
        <v>$/time range/kWh</v>
      </c>
      <c r="K61" s="15"/>
    </row>
    <row r="62" spans="1:17" x14ac:dyDescent="0.2">
      <c r="A62" s="8" t="s">
        <v>92</v>
      </c>
      <c r="B62" t="s">
        <v>124</v>
      </c>
      <c r="C62" t="s">
        <v>124</v>
      </c>
      <c r="D62" t="s">
        <v>22</v>
      </c>
      <c r="I62" s="27">
        <f>N99*B33</f>
        <v>147.6443387634331</v>
      </c>
      <c r="J62" t="str">
        <f>B40 &amp; "/time range/" &amp; B39</f>
        <v>$/time range/kW</v>
      </c>
      <c r="K62" s="15">
        <f>P99</f>
        <v>2.9999999999999999E-7</v>
      </c>
      <c r="L62" t="str">
        <f xml:space="preserve"> B40 &amp; "/" &amp; B39 &amp; B38</f>
        <v>$/kWh</v>
      </c>
    </row>
    <row r="63" spans="1:17" x14ac:dyDescent="0.2">
      <c r="A63" s="8" t="s">
        <v>125</v>
      </c>
      <c r="B63" t="s">
        <v>100</v>
      </c>
      <c r="C63" t="s">
        <v>100</v>
      </c>
      <c r="D63" t="s">
        <v>22</v>
      </c>
      <c r="E63" t="s">
        <v>101</v>
      </c>
      <c r="I63" s="26"/>
      <c r="K63" s="15"/>
    </row>
    <row r="66" spans="1:14" x14ac:dyDescent="0.2">
      <c r="A66" t="s">
        <v>99</v>
      </c>
    </row>
    <row r="68" spans="1:14" x14ac:dyDescent="0.2">
      <c r="A68" t="s">
        <v>47</v>
      </c>
    </row>
    <row r="69" spans="1:14" x14ac:dyDescent="0.2">
      <c r="A69" t="s">
        <v>31</v>
      </c>
    </row>
    <row r="70" spans="1:14" x14ac:dyDescent="0.2">
      <c r="A70" s="15" t="s">
        <v>55</v>
      </c>
      <c r="B70" s="15"/>
      <c r="C70" s="15"/>
      <c r="M70" s="9"/>
      <c r="N70" s="9"/>
    </row>
    <row r="71" spans="1:14" x14ac:dyDescent="0.2">
      <c r="A71" t="s">
        <v>86</v>
      </c>
      <c r="M71" s="9"/>
      <c r="N71" s="9"/>
    </row>
    <row r="73" spans="1:14" x14ac:dyDescent="0.2">
      <c r="A73" s="12" t="s">
        <v>81</v>
      </c>
      <c r="E73" s="11"/>
      <c r="F73" s="11"/>
      <c r="G73" s="11"/>
      <c r="H73" s="11"/>
      <c r="I73" s="11"/>
      <c r="J73" s="11"/>
      <c r="K73" s="11"/>
      <c r="L73" s="11"/>
      <c r="M73" s="2"/>
      <c r="N73" s="2"/>
    </row>
    <row r="74" spans="1:14" x14ac:dyDescent="0.2">
      <c r="A74" s="12"/>
      <c r="B74" s="30" t="s">
        <v>108</v>
      </c>
      <c r="C74" s="29" t="s">
        <v>107</v>
      </c>
      <c r="E74" s="11"/>
      <c r="F74" s="11"/>
      <c r="G74" s="11"/>
      <c r="H74" s="11"/>
      <c r="I74" s="11"/>
      <c r="J74" s="11"/>
      <c r="K74" s="11"/>
      <c r="L74" s="11"/>
      <c r="M74" s="2"/>
      <c r="N74" s="2"/>
    </row>
    <row r="75" spans="1:14" x14ac:dyDescent="0.2">
      <c r="A75" s="12"/>
      <c r="B75" s="30" t="s">
        <v>109</v>
      </c>
      <c r="C75" s="29" t="s">
        <v>110</v>
      </c>
      <c r="E75" s="11"/>
      <c r="F75" s="11"/>
      <c r="G75" s="11"/>
      <c r="H75" s="11"/>
      <c r="I75" s="11"/>
      <c r="J75" s="11"/>
      <c r="K75" s="11"/>
      <c r="L75" s="11"/>
      <c r="M75" s="2"/>
      <c r="N75" s="2"/>
    </row>
    <row r="76" spans="1:14" x14ac:dyDescent="0.2">
      <c r="A76" s="12"/>
      <c r="B76" s="30"/>
      <c r="C76" s="29"/>
      <c r="E76" s="11"/>
      <c r="F76" s="11"/>
      <c r="G76" s="11"/>
      <c r="H76" s="11"/>
      <c r="I76" s="11"/>
      <c r="J76" s="11"/>
      <c r="K76" s="11"/>
      <c r="L76" s="11"/>
      <c r="M76" s="2"/>
      <c r="N76" s="2"/>
    </row>
    <row r="77" spans="1:14" ht="15" customHeight="1" x14ac:dyDescent="0.2">
      <c r="A77" s="12"/>
      <c r="B77" s="30" t="s">
        <v>111</v>
      </c>
      <c r="C77" s="31" t="s">
        <v>112</v>
      </c>
      <c r="E77" s="11"/>
      <c r="F77" s="11"/>
      <c r="G77" s="11"/>
      <c r="H77" s="11"/>
      <c r="I77" s="11"/>
      <c r="J77" s="11"/>
      <c r="K77" s="11"/>
      <c r="L77" s="11"/>
      <c r="M77" s="2"/>
      <c r="N77" s="2"/>
    </row>
    <row r="78" spans="1:14" x14ac:dyDescent="0.2">
      <c r="A78" s="12"/>
      <c r="B78" s="29"/>
      <c r="C78" s="32" t="s">
        <v>113</v>
      </c>
      <c r="E78" s="11"/>
      <c r="F78" s="11"/>
      <c r="G78" s="11"/>
      <c r="H78" s="11"/>
      <c r="I78" s="11"/>
      <c r="J78" s="11"/>
      <c r="K78" s="11"/>
      <c r="L78" s="11"/>
      <c r="M78" s="2"/>
      <c r="N78" s="2"/>
    </row>
    <row r="79" spans="1:14" x14ac:dyDescent="0.2">
      <c r="A79" s="12"/>
      <c r="B79" s="29"/>
      <c r="C79" s="32"/>
      <c r="E79" s="11"/>
      <c r="F79" s="11"/>
      <c r="G79" s="11"/>
      <c r="H79" s="11"/>
      <c r="I79" s="11"/>
      <c r="J79" s="11"/>
      <c r="K79" s="11"/>
      <c r="L79" s="11"/>
      <c r="M79" s="2"/>
      <c r="N79" s="2"/>
    </row>
    <row r="80" spans="1:14" s="40" customFormat="1" ht="20" customHeight="1" x14ac:dyDescent="0.2">
      <c r="A80" s="37"/>
      <c r="B80" s="38" t="s">
        <v>116</v>
      </c>
      <c r="C80" s="39"/>
      <c r="E80" s="41"/>
      <c r="F80" s="41"/>
      <c r="G80" s="41"/>
      <c r="H80" s="41"/>
      <c r="I80" s="41"/>
      <c r="J80" s="41"/>
      <c r="K80" s="41"/>
      <c r="L80" s="41"/>
      <c r="M80" s="42"/>
      <c r="N80" s="42"/>
    </row>
    <row r="81" spans="1:17" ht="15" customHeight="1" x14ac:dyDescent="0.2">
      <c r="A81" s="12"/>
      <c r="B81" s="35" t="s">
        <v>117</v>
      </c>
      <c r="C81" s="36">
        <v>1.02</v>
      </c>
      <c r="D81" s="34"/>
      <c r="E81" s="34"/>
      <c r="F81" s="34"/>
      <c r="G81" s="14"/>
      <c r="H81" s="16"/>
      <c r="I81" s="16"/>
      <c r="J81" s="16"/>
      <c r="K81" s="16"/>
      <c r="L81" s="16"/>
      <c r="M81" s="16"/>
      <c r="N81" s="16"/>
      <c r="O81" s="13"/>
      <c r="P81" s="13"/>
      <c r="Q81" s="14"/>
    </row>
    <row r="82" spans="1:17" x14ac:dyDescent="0.2">
      <c r="A82" s="12"/>
      <c r="B82" s="16" t="str">
        <f xml:space="preserve"> "Btu/" &amp; B39 &amp; B38</f>
        <v>Btu/kWh</v>
      </c>
      <c r="C82" s="14">
        <v>3412.141633127942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3"/>
      <c r="P82" s="13"/>
      <c r="Q82" s="14"/>
    </row>
    <row r="83" spans="1:17" x14ac:dyDescent="0.2">
      <c r="A83" s="12"/>
      <c r="B83" s="16" t="s">
        <v>83</v>
      </c>
      <c r="C83" s="14">
        <v>7.0000000000000007E-2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4"/>
    </row>
    <row r="84" spans="1:17" ht="60" customHeight="1" x14ac:dyDescent="0.2">
      <c r="A84" s="2"/>
      <c r="B84" s="13" t="s">
        <v>21</v>
      </c>
      <c r="C84" s="19" t="str">
        <f xml:space="preserve"> "Overnight cost [" &amp; B40 &amp; "/" &amp; B39 &amp; "]"</f>
        <v>Overnight cost [$/kW]</v>
      </c>
      <c r="D84" s="13" t="str">
        <f xml:space="preserve"> "Fixed O&amp;M cost ["  &amp; B40 &amp; "/" &amp; B39 &amp; "year]"</f>
        <v>Fixed O&amp;M cost [$/kWyear]</v>
      </c>
      <c r="E84" s="13" t="s">
        <v>118</v>
      </c>
      <c r="F84" s="13" t="s">
        <v>84</v>
      </c>
      <c r="G84" s="13" t="s">
        <v>82</v>
      </c>
      <c r="H84" s="17" t="str">
        <f xml:space="preserve"> "Annual fixed costs [" &amp;B40 &amp; "/year]"</f>
        <v>Annual fixed costs [$/year]</v>
      </c>
      <c r="I84" s="13" t="str">
        <f xml:space="preserve"> "Variable O&amp;M [" &amp; B40 &amp; "/" &amp; B39 &amp; B38 &amp; "]"</f>
        <v>Variable O&amp;M [$/kWh]</v>
      </c>
      <c r="J84" s="13" t="str">
        <f xml:space="preserve"> "Fuel cost [" &amp; B40 &amp; "/" &amp; B39 &amp; B38 &amp; "]"</f>
        <v>Fuel cost [$/kWh]</v>
      </c>
      <c r="K84" s="13" t="str">
        <f xml:space="preserve"> "Heat rate [btu/" &amp; B39 &amp; B38 &amp; "]"</f>
        <v>Heat rate [btu/kWh]</v>
      </c>
      <c r="L84" s="16" t="s">
        <v>85</v>
      </c>
      <c r="M84" s="16" t="s">
        <v>133</v>
      </c>
      <c r="N84" s="19" t="s">
        <v>51</v>
      </c>
      <c r="O84" s="13"/>
      <c r="P84" s="19" t="s">
        <v>105</v>
      </c>
      <c r="Q84" s="13"/>
    </row>
    <row r="85" spans="1:17" x14ac:dyDescent="0.2">
      <c r="B85" s="14" t="s">
        <v>28</v>
      </c>
      <c r="C85" s="20">
        <v>1391</v>
      </c>
      <c r="D85" s="14">
        <v>23</v>
      </c>
      <c r="E85" s="14"/>
      <c r="F85" s="14">
        <v>30</v>
      </c>
      <c r="G85" s="14">
        <f>C83*(1+C83)^F85/((1+C83)^F85-1)</f>
        <v>8.0586403511111196E-2</v>
      </c>
      <c r="H85" s="18">
        <f>C85*G85+D85</f>
        <v>135.09568728395567</v>
      </c>
      <c r="I85" s="14"/>
      <c r="J85" s="14"/>
      <c r="K85" s="14"/>
      <c r="L85" s="14"/>
      <c r="M85" s="14"/>
      <c r="N85" s="20">
        <f>H85/8760</f>
        <v>1.5421882110040601E-2</v>
      </c>
      <c r="O85" s="14" t="str">
        <f>B40&amp;"/"&amp;B38&amp;"/"&amp;B39</f>
        <v>$/h/kW</v>
      </c>
      <c r="P85" s="20"/>
      <c r="Q85" s="14" t="str">
        <f xml:space="preserve"> B40 &amp; "/" &amp; B39 &amp; B38</f>
        <v>$/kWh</v>
      </c>
    </row>
    <row r="86" spans="1:17" x14ac:dyDescent="0.2">
      <c r="B86" s="14" t="s">
        <v>34</v>
      </c>
      <c r="C86" s="20">
        <v>1436</v>
      </c>
      <c r="D86" s="14">
        <v>43</v>
      </c>
      <c r="E86" s="14"/>
      <c r="F86" s="14">
        <v>30</v>
      </c>
      <c r="G86" s="14">
        <f>C83*(1+C83)^F86/((1+C83)^F86-1)</f>
        <v>8.0586403511111196E-2</v>
      </c>
      <c r="H86" s="18">
        <f>C86*G86+D86</f>
        <v>158.72207544195567</v>
      </c>
      <c r="I86" s="14"/>
      <c r="J86" s="14"/>
      <c r="K86" s="24"/>
      <c r="L86" s="14"/>
      <c r="M86" s="14"/>
      <c r="N86" s="20">
        <f>H86/8760</f>
        <v>1.8118958383784894E-2</v>
      </c>
      <c r="O86" s="14" t="str">
        <f>B40&amp;"/"&amp;B38&amp;"/"&amp;B39</f>
        <v>$/h/kW</v>
      </c>
      <c r="P86" s="20"/>
      <c r="Q86" s="14" t="str">
        <f xml:space="preserve"> B40 &amp; "/" &amp; B39 &amp; B38</f>
        <v>$/kWh</v>
      </c>
    </row>
    <row r="87" spans="1:17" x14ac:dyDescent="0.2">
      <c r="B87" s="14" t="s">
        <v>29</v>
      </c>
      <c r="C87" s="20">
        <v>1054</v>
      </c>
      <c r="D87" s="14">
        <v>27</v>
      </c>
      <c r="E87" s="14"/>
      <c r="F87" s="14">
        <v>30</v>
      </c>
      <c r="G87" s="14">
        <f>C83*(1+C83)^F87/((1+C83)^F87-1)</f>
        <v>8.0586403511111196E-2</v>
      </c>
      <c r="H87" s="18">
        <f>C87*G87+D87</f>
        <v>111.93806930071121</v>
      </c>
      <c r="I87" s="14">
        <v>2E-3</v>
      </c>
      <c r="J87" s="14">
        <v>8.0000000000000002E-3</v>
      </c>
      <c r="K87" s="14">
        <v>6360</v>
      </c>
      <c r="L87" s="14">
        <f>C82/K87</f>
        <v>0.53650025678112301</v>
      </c>
      <c r="M87" s="14"/>
      <c r="N87" s="20">
        <f>H87/8760</f>
        <v>1.2778318413323197E-2</v>
      </c>
      <c r="O87" s="14" t="str">
        <f>B40&amp;"/"&amp;B38&amp;"/"&amp;B39</f>
        <v>$/h/kW</v>
      </c>
      <c r="P87" s="20">
        <f>I87+J87/L87</f>
        <v>1.6911456050362664E-2</v>
      </c>
      <c r="Q87" s="14" t="str">
        <f xml:space="preserve"> B40 &amp; "/" &amp; B39 &amp; B38</f>
        <v>$/kWh</v>
      </c>
    </row>
    <row r="88" spans="1:17" x14ac:dyDescent="0.2">
      <c r="B88" s="14" t="s">
        <v>106</v>
      </c>
      <c r="C88" s="33">
        <v>2670</v>
      </c>
      <c r="D88" s="28">
        <v>65</v>
      </c>
      <c r="E88" s="28"/>
      <c r="F88" s="28">
        <v>30</v>
      </c>
      <c r="G88" s="14">
        <f>C83*(1+C83)^F88/((1+C83)^F88-1)</f>
        <v>8.0586403511111196E-2</v>
      </c>
      <c r="H88" s="18">
        <f>C88*G88+D88</f>
        <v>280.16569737466693</v>
      </c>
      <c r="I88" s="14">
        <v>6.0000000000000001E-3</v>
      </c>
      <c r="J88" s="14">
        <v>8.0000000000000002E-3</v>
      </c>
      <c r="K88" s="14">
        <v>5180</v>
      </c>
      <c r="L88" s="14">
        <f>C82/K88</f>
        <v>0.65871460098995016</v>
      </c>
      <c r="M88" s="14"/>
      <c r="N88" s="20">
        <f>H88/8760</f>
        <v>3.1982385545053303E-2</v>
      </c>
      <c r="O88" s="14" t="str">
        <f>B40&amp;"/"&amp;B38&amp;"/"&amp;B39</f>
        <v>$/h/kW</v>
      </c>
      <c r="P88" s="20">
        <f>I88+J88/L88</f>
        <v>1.8144865147936888E-2</v>
      </c>
      <c r="Q88" s="14" t="str">
        <f xml:space="preserve"> B40 &amp; "/" &amp; B39 &amp; B38</f>
        <v>$/kWh</v>
      </c>
    </row>
    <row r="89" spans="1:17" x14ac:dyDescent="0.2">
      <c r="B89" s="14" t="s">
        <v>33</v>
      </c>
      <c r="C89" s="20">
        <v>7388</v>
      </c>
      <c r="D89" s="14">
        <v>145</v>
      </c>
      <c r="E89" s="14"/>
      <c r="F89" s="14">
        <v>30</v>
      </c>
      <c r="G89" s="14">
        <f>C83*(1+C83)^F89/((1+C83)^F89-1)</f>
        <v>8.0586403511111196E-2</v>
      </c>
      <c r="H89" s="18">
        <f>C89*G89+D89</f>
        <v>740.37234914008957</v>
      </c>
      <c r="I89" s="14">
        <v>2E-3</v>
      </c>
      <c r="J89" s="14">
        <v>7.0000000000000001E-3</v>
      </c>
      <c r="K89" s="25">
        <v>10460</v>
      </c>
      <c r="L89" s="14">
        <f>C82/K89</f>
        <v>0.32620856913269042</v>
      </c>
      <c r="M89" s="14"/>
      <c r="N89" s="20">
        <f>H89/8760</f>
        <v>8.4517391454348126E-2</v>
      </c>
      <c r="O89" s="14" t="str">
        <f>B40&amp;"/"&amp;B38&amp;"/"&amp;B39</f>
        <v>$/h/kW</v>
      </c>
      <c r="P89" s="20">
        <f>I89+J89/L89</f>
        <v>2.3458663758010111E-2</v>
      </c>
      <c r="Q89" s="14" t="str">
        <f xml:space="preserve"> B40 &amp; "/" &amp; B39 &amp; B38</f>
        <v>$/kWh</v>
      </c>
    </row>
    <row r="90" spans="1:17" x14ac:dyDescent="0.2">
      <c r="B90" s="14" t="s">
        <v>122</v>
      </c>
      <c r="C90" s="20">
        <v>4346</v>
      </c>
      <c r="D90" s="14">
        <v>150</v>
      </c>
      <c r="E90" s="14"/>
      <c r="F90" s="14">
        <v>30</v>
      </c>
      <c r="G90" s="14">
        <f>C83*(1+C83)^F89/((1+C83)^F89-1)</f>
        <v>8.0586403511111196E-2</v>
      </c>
      <c r="H90" s="18">
        <f>C90*G90+D90</f>
        <v>500.22850965928927</v>
      </c>
      <c r="I90" s="14">
        <v>5.0000000000000001E-3</v>
      </c>
      <c r="J90" s="14">
        <v>0.25275123208355127</v>
      </c>
      <c r="K90" s="25">
        <v>13500</v>
      </c>
      <c r="L90" s="14">
        <f>C82/K90</f>
        <v>0.25275123208355127</v>
      </c>
      <c r="M90" s="14"/>
      <c r="N90" s="20">
        <f>H90/8760</f>
        <v>5.7103711148320691E-2</v>
      </c>
      <c r="O90" s="14" t="str">
        <f>B40&amp;"/"&amp;B38&amp;"/"&amp;B39</f>
        <v>$/h/kW</v>
      </c>
      <c r="P90" s="20">
        <f>I90+J90/L90</f>
        <v>1.0049999999999999</v>
      </c>
      <c r="Q90" s="14" t="str">
        <f xml:space="preserve"> B40 &amp; "/" &amp; B39 &amp; B38</f>
        <v>$/kWh</v>
      </c>
    </row>
    <row r="91" spans="1:17" x14ac:dyDescent="0.2">
      <c r="B91" s="14" t="s">
        <v>103</v>
      </c>
      <c r="C91" s="20"/>
      <c r="D91" s="14"/>
      <c r="E91" s="14"/>
      <c r="F91" s="14"/>
      <c r="G91" s="14"/>
      <c r="H91" s="18"/>
      <c r="I91" s="14"/>
      <c r="J91" s="14"/>
      <c r="K91" s="24"/>
      <c r="L91" s="14"/>
      <c r="M91" s="14"/>
      <c r="N91" s="20"/>
      <c r="O91" s="14" t="str">
        <f>B40&amp;"/"&amp;B38&amp;"/"&amp;B39</f>
        <v>$/h/kW</v>
      </c>
      <c r="P91" s="20"/>
      <c r="Q91" s="14" t="str">
        <f xml:space="preserve"> B40 &amp; "/" &amp; B39 &amp; B38</f>
        <v>$/kWh</v>
      </c>
    </row>
    <row r="92" spans="1:17" x14ac:dyDescent="0.2">
      <c r="B92" s="14" t="s">
        <v>104</v>
      </c>
      <c r="C92" s="20">
        <v>19977</v>
      </c>
      <c r="D92" s="14">
        <v>268</v>
      </c>
      <c r="E92" s="14"/>
      <c r="F92" s="14">
        <v>30</v>
      </c>
      <c r="G92" s="14">
        <f>C83*(1+C83)^F92/((1+C83)^F92-1)</f>
        <v>8.0586403511111196E-2</v>
      </c>
      <c r="H92" s="18">
        <f>C92*G92+D92</f>
        <v>1877.8745829414684</v>
      </c>
      <c r="I92" s="14"/>
      <c r="J92" s="14"/>
      <c r="K92" s="14"/>
      <c r="L92" s="14"/>
      <c r="M92" s="14"/>
      <c r="N92" s="20">
        <f>H92/8760</f>
        <v>0.21436924462802151</v>
      </c>
      <c r="O92" s="14" t="str">
        <f>B40&amp;"/"&amp;B38&amp;"/"&amp;B39</f>
        <v>$/h/kW</v>
      </c>
      <c r="P92" s="20"/>
      <c r="Q92" s="14" t="str">
        <f xml:space="preserve"> B40 &amp; "/" &amp; B39 &amp; B38</f>
        <v>$/kWh</v>
      </c>
    </row>
    <row r="93" spans="1:17" x14ac:dyDescent="0.2">
      <c r="B93" s="14" t="s">
        <v>114</v>
      </c>
      <c r="C93" s="20">
        <f>320*C81</f>
        <v>326.39999999999998</v>
      </c>
      <c r="D93" s="14">
        <f>0.0424*C93</f>
        <v>13.839359999999999</v>
      </c>
      <c r="E93" s="14"/>
      <c r="F93" s="14">
        <v>30</v>
      </c>
      <c r="G93" s="14">
        <f>C83*(1+C83)^F93/((1+C83)^F93-1)</f>
        <v>8.0586403511111196E-2</v>
      </c>
      <c r="H93" s="18">
        <f>(C93+D93)*G93</f>
        <v>27.418666355322223</v>
      </c>
      <c r="I93" s="14"/>
      <c r="J93" s="14"/>
      <c r="K93" s="14"/>
      <c r="L93" s="14"/>
      <c r="M93" s="14"/>
      <c r="N93" s="20">
        <f>H93/8760</f>
        <v>3.1299847437582448E-3</v>
      </c>
      <c r="O93" s="14" t="str">
        <f>B40&amp;"/"&amp;B38&amp;"/"&amp;B39</f>
        <v>$/h/kW</v>
      </c>
      <c r="P93" s="20"/>
      <c r="Q93" s="14" t="str">
        <f xml:space="preserve"> B40 &amp; "/" &amp; B39 &amp; B38</f>
        <v>$/kWh</v>
      </c>
    </row>
    <row r="94" spans="1:17" x14ac:dyDescent="0.2">
      <c r="B94" s="14" t="s">
        <v>115</v>
      </c>
      <c r="C94" s="20">
        <f>246*C81</f>
        <v>250.92000000000002</v>
      </c>
      <c r="D94" s="14">
        <f>8.3*C81</f>
        <v>8.4660000000000011</v>
      </c>
      <c r="E94" s="43">
        <v>1.4999999999999999E-2</v>
      </c>
      <c r="F94" s="14">
        <v>30</v>
      </c>
      <c r="G94" s="14">
        <f>C83*(1+C83)^F94/((1+C83)^F94-1)</f>
        <v>8.0586403511111196E-2</v>
      </c>
      <c r="H94" s="18">
        <f>(C94+E94*C94)*G94+D94</f>
        <v>28.990051474543144</v>
      </c>
      <c r="I94" s="14"/>
      <c r="J94" s="14"/>
      <c r="K94" s="14"/>
      <c r="L94" s="14">
        <v>0.86</v>
      </c>
      <c r="M94" s="14"/>
      <c r="N94" s="20">
        <f>H94/8760</f>
        <v>3.3093666066830074E-3</v>
      </c>
      <c r="O94" s="14" t="str">
        <f>B40&amp;"/"&amp;B38&amp;"/"&amp;B39</f>
        <v>$/h/kW</v>
      </c>
      <c r="P94" s="20">
        <v>3.1E-6</v>
      </c>
      <c r="Q94" s="14" t="str">
        <f xml:space="preserve"> B40 &amp; "/" &amp; B39</f>
        <v>$/kW</v>
      </c>
    </row>
    <row r="95" spans="1:17" x14ac:dyDescent="0.2">
      <c r="B95" s="14" t="s">
        <v>36</v>
      </c>
      <c r="C95" s="20">
        <f>1673*C81</f>
        <v>1706.46</v>
      </c>
      <c r="D95" s="14">
        <f>12.8*C81</f>
        <v>13.056000000000001</v>
      </c>
      <c r="E95" s="43">
        <v>1.4999999999999999E-2</v>
      </c>
      <c r="F95" s="14">
        <v>30</v>
      </c>
      <c r="G95" s="14">
        <f>C83*(1+C83)^F94/((1+C83)^F94-1)</f>
        <v>8.0586403511111196E-2</v>
      </c>
      <c r="H95" s="18">
        <f t="shared" ref="H95:H99" si="0">(C95+E95*C95)*G95+D95</f>
        <v>152.63623624760439</v>
      </c>
      <c r="I95" s="14"/>
      <c r="J95" s="14"/>
      <c r="K95" s="14"/>
      <c r="L95" s="14">
        <v>0.5</v>
      </c>
      <c r="M95" s="14"/>
      <c r="N95" s="20">
        <f t="shared" ref="N95:N99" si="1">H95/8760</f>
        <v>1.742422788214662E-2</v>
      </c>
      <c r="O95" s="14" t="str">
        <f>B40&amp;"/"&amp;B38&amp;"/"&amp;B39</f>
        <v>$/h/kW</v>
      </c>
      <c r="P95" s="20">
        <v>1.2999999999999998E-6</v>
      </c>
      <c r="Q95" s="14" t="str">
        <f xml:space="preserve"> B40 &amp; "/" &amp; B39</f>
        <v>$/kW</v>
      </c>
    </row>
    <row r="96" spans="1:17" x14ac:dyDescent="0.2">
      <c r="B96" s="14" t="s">
        <v>39</v>
      </c>
      <c r="C96" s="20">
        <f>1.96*C81</f>
        <v>1.9992000000000001</v>
      </c>
      <c r="D96" s="14">
        <f>1.5%*C96</f>
        <v>2.9988000000000001E-2</v>
      </c>
      <c r="E96" s="14"/>
      <c r="F96" s="14">
        <v>30</v>
      </c>
      <c r="G96" s="14">
        <f>C83*(1+C83)^F94/((1+C83)^F94-1)</f>
        <v>8.0586403511111196E-2</v>
      </c>
      <c r="H96" s="18">
        <f>(C96+D96)*G96</f>
        <v>0.1635249629679047</v>
      </c>
      <c r="I96" s="14"/>
      <c r="J96" s="14"/>
      <c r="K96" s="14"/>
      <c r="L96" s="14"/>
      <c r="M96" s="14">
        <f>0.1%/24</f>
        <v>4.1666666666666665E-5</v>
      </c>
      <c r="N96" s="20">
        <f t="shared" si="1"/>
        <v>1.8667233215514235E-5</v>
      </c>
      <c r="O96" s="14" t="str">
        <f>B40&amp;"/"&amp;B38&amp;"/"&amp;B39</f>
        <v>$/h/kW</v>
      </c>
      <c r="P96" s="20"/>
      <c r="Q96" s="14" t="str">
        <f xml:space="preserve"> B40 &amp; "/" &amp; B39 &amp; B38</f>
        <v>$/kWh</v>
      </c>
    </row>
    <row r="97" spans="2:17" x14ac:dyDescent="0.2">
      <c r="B97" s="14" t="s">
        <v>40</v>
      </c>
      <c r="C97" s="20">
        <f>1387*C81</f>
        <v>1414.74</v>
      </c>
      <c r="D97" s="14">
        <f>12.8*C81</f>
        <v>13.056000000000001</v>
      </c>
      <c r="E97" s="43">
        <v>1.4999999999999999E-2</v>
      </c>
      <c r="F97" s="14">
        <v>30</v>
      </c>
      <c r="G97" s="14">
        <f>C83*(1+C83)^F94/((1+C83)^F94-1)</f>
        <v>8.0586403511111196E-2</v>
      </c>
      <c r="H97" s="18">
        <f t="shared" si="0"/>
        <v>128.77494063085911</v>
      </c>
      <c r="I97" s="14"/>
      <c r="J97" s="14"/>
      <c r="K97" s="14"/>
      <c r="L97" s="14">
        <v>0.71</v>
      </c>
      <c r="M97" s="14"/>
      <c r="N97" s="20">
        <f t="shared" si="1"/>
        <v>1.4700335688454236E-2</v>
      </c>
      <c r="O97" s="14" t="str">
        <f>B40&amp;"/"&amp;B38&amp;"/"&amp;B39</f>
        <v>$/h/kW</v>
      </c>
      <c r="P97" s="20">
        <v>5.1249999999999993E-4</v>
      </c>
      <c r="Q97" s="14" t="str">
        <f xml:space="preserve"> B40 &amp; "/" &amp; B39</f>
        <v>$/kW</v>
      </c>
    </row>
    <row r="98" spans="2:17" x14ac:dyDescent="0.2">
      <c r="B98" s="14" t="s">
        <v>120</v>
      </c>
      <c r="C98" s="20">
        <f>103.1*C81</f>
        <v>105.16199999999999</v>
      </c>
      <c r="D98" s="14">
        <f>1.5%*C98</f>
        <v>1.5774299999999999</v>
      </c>
      <c r="E98" s="14"/>
      <c r="F98" s="14">
        <v>30</v>
      </c>
      <c r="G98" s="14">
        <f>C83*(1+C83)^F94/((1+C83)^F94-1)</f>
        <v>8.0586403511111196E-2</v>
      </c>
      <c r="H98" s="18">
        <f>(C98+D98)*G98</f>
        <v>8.6017467765260083</v>
      </c>
      <c r="I98" s="20"/>
      <c r="J98" s="14"/>
      <c r="K98" s="14"/>
      <c r="L98" s="14"/>
      <c r="M98" s="14"/>
      <c r="N98" s="20">
        <f t="shared" si="1"/>
        <v>9.8193456353036631E-4</v>
      </c>
      <c r="O98" s="14"/>
      <c r="P98" s="20"/>
      <c r="Q98" s="14" t="str">
        <f xml:space="preserve"> B40 &amp; "/" &amp; B39 &amp; B38</f>
        <v>$/kWh</v>
      </c>
    </row>
    <row r="99" spans="2:17" x14ac:dyDescent="0.2">
      <c r="B99" s="14" t="s">
        <v>121</v>
      </c>
      <c r="C99" s="20">
        <f>1612*C81</f>
        <v>1644.24</v>
      </c>
      <c r="D99" s="14">
        <f>12.5*C81</f>
        <v>12.75</v>
      </c>
      <c r="E99" s="43">
        <v>1.4999999999999999E-2</v>
      </c>
      <c r="F99" s="14">
        <v>30</v>
      </c>
      <c r="G99" s="14">
        <f>C83*(1+C83)^F94/((1+C83)^F94-1)</f>
        <v>8.0586403511111196E-2</v>
      </c>
      <c r="H99" s="18">
        <f t="shared" si="0"/>
        <v>147.24093893074613</v>
      </c>
      <c r="I99" s="20"/>
      <c r="J99" s="14"/>
      <c r="K99" s="14"/>
      <c r="L99" s="14">
        <v>0.81</v>
      </c>
      <c r="M99" s="14"/>
      <c r="N99" s="20">
        <f t="shared" si="1"/>
        <v>1.680832636195732E-2</v>
      </c>
      <c r="O99" s="14"/>
      <c r="P99" s="20">
        <v>2.9999999999999999E-7</v>
      </c>
      <c r="Q99" s="14" t="str">
        <f xml:space="preserve"> B40 &amp; "/" &amp; B39</f>
        <v>$/kW</v>
      </c>
    </row>
    <row r="100" spans="2:17" x14ac:dyDescent="0.2">
      <c r="B100" s="14" t="s">
        <v>100</v>
      </c>
      <c r="C100" s="20"/>
      <c r="D100" s="14"/>
      <c r="E100" s="14"/>
      <c r="F100" s="14"/>
      <c r="G100" s="14"/>
      <c r="H100" s="14"/>
      <c r="I100" s="20"/>
      <c r="J100" s="14"/>
      <c r="K100" s="14"/>
      <c r="L100" s="14"/>
      <c r="M100" s="14"/>
      <c r="N100" s="20"/>
      <c r="O100" s="14"/>
      <c r="P100" s="20"/>
      <c r="Q100" s="14" t="str">
        <f xml:space="preserve"> B40 &amp; "/" &amp; B39 &amp; B38</f>
        <v>$/kWh</v>
      </c>
    </row>
    <row r="102" spans="2:17" x14ac:dyDescent="0.2">
      <c r="B102" t="s">
        <v>119</v>
      </c>
    </row>
    <row r="103" spans="2:17" ht="16" x14ac:dyDescent="0.2"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</sheetData>
  <hyperlinks>
    <hyperlink ref="C74" r:id="rId1" display="https://atb.nrel.gov/" xr:uid="{FDAACE4C-EEBF-8245-B992-53B8086970DC}"/>
    <hyperlink ref="C75" r:id="rId2" xr:uid="{CDACD0CF-3E87-1D48-85AE-004D57BDEA41}"/>
    <hyperlink ref="C78" r:id="rId3" xr:uid="{53E5629A-906B-1C43-957A-88DBCCC90896}"/>
  </hyperlinks>
  <pageMargins left="0.7" right="0.7" top="0.75" bottom="0.75" header="0.3" footer="0.3"/>
  <pageSetup orientation="portrait" horizontalDpi="1200" verticalDpi="1200" r:id="rId4"/>
  <ignoredErrors>
    <ignoredError sqref="H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2023-03-07T01:20:53Z</dcterms:modified>
</cp:coreProperties>
</file>