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all_firm/"/>
    </mc:Choice>
  </mc:AlternateContent>
  <xr:revisionPtr revIDLastSave="0" documentId="13_ncr:1_{6C8E8E8E-D879-CC40-B42F-9C5ECC55BE4B}" xr6:coauthVersionLast="47" xr6:coauthVersionMax="47" xr10:uidLastSave="{00000000-0000-0000-0000-000000000000}"/>
  <bookViews>
    <workbookView xWindow="0" yWindow="500" windowWidth="32140" windowHeight="20300" xr2:uid="{00000000-000D-0000-FFFF-FFFF00000000}"/>
  </bookViews>
  <sheets>
    <sheet name="case_input_intermodel_one_node_" sheetId="1" r:id="rId1"/>
  </sheets>
  <externalReferences>
    <externalReference r:id="rId2"/>
  </externalReferences>
  <definedNames>
    <definedName name="Btu_per_kWh">'[1]Generation Techs'!$B$12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5" i="1" l="1"/>
  <c r="H133" i="1"/>
  <c r="P132" i="1"/>
  <c r="P130" i="1"/>
  <c r="P128" i="1"/>
  <c r="P126" i="1"/>
  <c r="P124" i="1"/>
  <c r="G128" i="1" l="1"/>
  <c r="H128" i="1" s="1"/>
  <c r="M128" i="1" s="1"/>
  <c r="M76" i="1"/>
  <c r="N73" i="1" l="1"/>
  <c r="W60" i="1"/>
  <c r="W58" i="1"/>
  <c r="V60" i="1"/>
  <c r="N59" i="1"/>
  <c r="N130" i="1"/>
  <c r="N126" i="1"/>
  <c r="O60" i="1"/>
  <c r="M60" i="1"/>
  <c r="G130" i="1"/>
  <c r="H130" i="1" s="1"/>
  <c r="M130" i="1" s="1"/>
  <c r="N55" i="1" l="1"/>
  <c r="C124" i="1"/>
  <c r="C123" i="1"/>
  <c r="G126" i="1"/>
  <c r="H126" i="1" s="1"/>
  <c r="M126" i="1" s="1"/>
  <c r="W62" i="1" l="1"/>
  <c r="O62" i="1"/>
  <c r="O59" i="1"/>
  <c r="M62" i="1"/>
  <c r="M59" i="1"/>
  <c r="W56" i="1" l="1"/>
  <c r="M64" i="1"/>
  <c r="O64" i="1"/>
  <c r="O58" i="1"/>
  <c r="O57" i="1"/>
  <c r="O56" i="1"/>
  <c r="M58" i="1"/>
  <c r="M57" i="1"/>
  <c r="M56" i="1"/>
  <c r="O63" i="1" l="1"/>
  <c r="M73" i="1"/>
  <c r="O73" i="1"/>
  <c r="O72" i="1"/>
  <c r="M55" i="1"/>
  <c r="O55" i="1"/>
  <c r="N124" i="1" l="1"/>
  <c r="D124" i="1"/>
  <c r="G124" i="1"/>
  <c r="J122" i="1"/>
  <c r="H124" i="1" l="1"/>
  <c r="M124" i="1" s="1"/>
  <c r="I122" i="1"/>
  <c r="H122" i="1"/>
  <c r="D122" i="1"/>
  <c r="C122" i="1"/>
  <c r="O53" i="1" l="1"/>
  <c r="M72" i="1"/>
  <c r="O54" i="1" l="1"/>
  <c r="M54" i="1"/>
  <c r="M63" i="1"/>
  <c r="N123" i="1" l="1"/>
  <c r="G123" i="1" l="1"/>
  <c r="D123" i="1" l="1"/>
  <c r="H123" i="1" l="1"/>
  <c r="M123" i="1" s="1"/>
  <c r="O71" i="1"/>
  <c r="M71" i="1"/>
  <c r="M70" i="1"/>
  <c r="W74" i="1" l="1"/>
  <c r="O74" i="1"/>
  <c r="O75" i="1"/>
  <c r="O70" i="1"/>
  <c r="M74" i="1"/>
  <c r="M75" i="1"/>
  <c r="M69" i="1"/>
  <c r="B33" i="1" l="1"/>
  <c r="L55" i="1" s="1"/>
  <c r="O69" i="1"/>
  <c r="O68" i="1"/>
  <c r="M67" i="1"/>
  <c r="M68" i="1"/>
  <c r="L59" i="1" l="1"/>
  <c r="B34" i="1"/>
  <c r="O61" i="1"/>
  <c r="M61" i="1"/>
  <c r="L72" i="1" l="1"/>
  <c r="L71" i="1"/>
  <c r="M53" i="1"/>
  <c r="O67" i="1"/>
  <c r="O66" i="1"/>
  <c r="M66" i="1" l="1"/>
  <c r="Y52" i="1" l="1"/>
  <c r="O65" i="1"/>
  <c r="M65" i="1"/>
</calcChain>
</file>

<file path=xl/sharedStrings.xml><?xml version="1.0" encoding="utf-8"?>
<sst xmlns="http://schemas.openxmlformats.org/spreadsheetml/2006/main" count="409" uniqueCount="216">
  <si>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</si>
  <si>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</si>
  <si>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</si>
  <si>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</si>
  <si>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</si>
  <si>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</si>
  <si>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</si>
  <si>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</si>
  <si>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</si>
  <si>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</si>
  <si>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</si>
  <si>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</si>
  <si>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</si>
  <si>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</si>
  <si>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</si>
  <si>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</si>
  <si>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</si>
  <si>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</si>
  <si>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</si>
  <si>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</si>
  <si>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</si>
  <si>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</si>
  <si>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</si>
  <si>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</si>
  <si>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</si>
  <si>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</si>
  <si>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</si>
  <si>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</si>
  <si>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</si>
  <si>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</si>
  <si>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</si>
  <si>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</si>
  <si>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</si>
  <si>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</si>
  <si>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</si>
  <si>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</si>
  <si>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</si>
  <si>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</si>
  <si>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</si>
  <si>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</si>
  <si>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</si>
  <si>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</si>
  <si>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</si>
  <si>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</si>
  <si>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</si>
  <si>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</si>
  <si>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</si>
  <si>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</si>
  <si>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</si>
  <si>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</si>
  <si>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</si>
  <si>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</si>
  <si>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</si>
  <si>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</si>
  <si>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</si>
  <si>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</si>
  <si>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</si>
  <si>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</si>
  <si>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</si>
  <si>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</si>
  <si>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</si>
  <si>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</si>
  <si>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</si>
  <si>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</si>
  <si>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</si>
  <si>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</si>
  <si>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</si>
  <si>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</si>
  <si>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</si>
  <si>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</si>
  <si>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</si>
  <si>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</si>
  <si>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</si>
  <si>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</si>
  <si>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</si>
  <si>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</si>
  <si>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</si>
  <si>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</si>
  <si>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co2_stored</t>
  </si>
  <si>
    <t>geothermal</t>
  </si>
  <si>
    <t>US_capacity_solar_25pctTop_unnormalized.csv</t>
  </si>
  <si>
    <t>US_capacity_wind_25pctTop_unnormalized.csv</t>
  </si>
  <si>
    <t>US_demand_unnormalized.csv</t>
  </si>
  <si>
    <t>p_min_pu</t>
  </si>
  <si>
    <t>Note: p_min_mu sets uni/bidirectionality</t>
  </si>
  <si>
    <t>h2o</t>
  </si>
  <si>
    <t>Note: one way efficiency should be square root of round-trip efficiecy</t>
  </si>
  <si>
    <t>Note: Be careful when designating storage costs that the source is for kWh stored and not what you get out after accounting for pump inefficiency.</t>
  </si>
  <si>
    <t>electricity</t>
  </si>
  <si>
    <t>natgas_out</t>
  </si>
  <si>
    <t>bus2</t>
  </si>
  <si>
    <t>efficiency2</t>
  </si>
  <si>
    <t>power_unit</t>
  </si>
  <si>
    <t>mass_unit</t>
  </si>
  <si>
    <t>t</t>
  </si>
  <si>
    <t>co2_atmosphere_out</t>
  </si>
  <si>
    <t>2016-01-01 00:00:00</t>
  </si>
  <si>
    <t>Note: p_nom is a factor multiplied to the given capacity, e_nom is assumed for stores</t>
  </si>
  <si>
    <t>costs_path</t>
  </si>
  <si>
    <t>https://raw.githubusercontent.com/PyPSA/technology-data/master/outputs/costs_2020.csv</t>
  </si>
  <si>
    <t>direct air capture</t>
  </si>
  <si>
    <t>MW</t>
  </si>
  <si>
    <t>onwind</t>
  </si>
  <si>
    <t>Note: To use PyPSA default costs, use same technology names as in costs_path</t>
  </si>
  <si>
    <t>hydro</t>
  </si>
  <si>
    <t>fuel cell</t>
  </si>
  <si>
    <t>battery storage</t>
  </si>
  <si>
    <t>StorageUnit</t>
  </si>
  <si>
    <t>2017-01-01 00:00:00</t>
  </si>
  <si>
    <t>CO2 storage tank</t>
  </si>
  <si>
    <t>hydrogen storage underground</t>
  </si>
  <si>
    <t>solar-utility</t>
  </si>
  <si>
    <t>Note: costing for nuclear heat has to be for kWh thermal (or other energy unit)</t>
  </si>
  <si>
    <t>Note: % indicates addition to standard PyPSA name which stands before the %</t>
  </si>
  <si>
    <t>CCGT % link</t>
  </si>
  <si>
    <t>Cost calculations</t>
  </si>
  <si>
    <t>Hunter et al. Techno-Economic Analysis of Long-Duration Energy Storage and Flexible Power Generation Technologies to Support High-Variable Renewable Energy Grids. Joule 2021, 5 (8), 2077–2101.</t>
  </si>
  <si>
    <t xml:space="preserve"> https://doi.org/10.1016/j.joule.2021.06.018.</t>
  </si>
  <si>
    <t>Discount rate</t>
  </si>
  <si>
    <t>Other fixed cost* (% of capital cost)</t>
  </si>
  <si>
    <t>Lifetime [years]</t>
  </si>
  <si>
    <t>Capital recovery factor [%/year]</t>
  </si>
  <si>
    <t>Efficiency</t>
  </si>
  <si>
    <t>Decay rate</t>
  </si>
  <si>
    <t>Hourly fixed costs</t>
  </si>
  <si>
    <t>pumped_hydro_storage energy</t>
  </si>
  <si>
    <t>pumped_hydro_storage power</t>
  </si>
  <si>
    <t>* includes property, tax, insurance, licensing, permiting costs</t>
  </si>
  <si>
    <t>carrier</t>
  </si>
  <si>
    <t>Note: carrier allows to group different technologies</t>
  </si>
  <si>
    <t>hydrogen</t>
  </si>
  <si>
    <t>phs</t>
  </si>
  <si>
    <t>natgas</t>
  </si>
  <si>
    <t>load shifting forward</t>
  </si>
  <si>
    <t>load shifting backward</t>
  </si>
  <si>
    <t>Note: cost per energy stored for Store/StoragUnit</t>
  </si>
  <si>
    <t>p_max_pu</t>
  </si>
  <si>
    <t>sign</t>
  </si>
  <si>
    <t>Source load shifting costs</t>
  </si>
  <si>
    <t>https://doi.org/10.20357/B7MS40</t>
  </si>
  <si>
    <t>Gerke et al. The California Demand Response Potential Study, Phase 3: Final Report on the Shift Resource through 2030.</t>
  </si>
  <si>
    <t>https://github.com/PyPSA/technology-data/blob/master/outputs/costs_2020.csv</t>
  </si>
  <si>
    <t>PyPSA technology data</t>
  </si>
  <si>
    <t>Source PHS costs</t>
  </si>
  <si>
    <t>Source all other costs</t>
  </si>
  <si>
    <t>Source natural gas CCS costs</t>
  </si>
  <si>
    <t>natural gas with CCS</t>
  </si>
  <si>
    <t>(NG combined cycle 95% CCS (H-frame basis -&gt; 2nd Gen Tech)), Moderate</t>
  </si>
  <si>
    <t>co2 atmosphere</t>
  </si>
  <si>
    <t>load shedding</t>
  </si>
  <si>
    <t>solver</t>
  </si>
  <si>
    <t>gurobi</t>
  </si>
  <si>
    <t>CCGT % wCCS</t>
  </si>
  <si>
    <t>CCGT % link wCCS</t>
  </si>
  <si>
    <t xml:space="preserve">CCGT </t>
  </si>
  <si>
    <t>load shifting</t>
  </si>
  <si>
    <t>geothermal % link</t>
  </si>
  <si>
    <t>geoth_out</t>
  </si>
  <si>
    <t>natgas_wCCS</t>
  </si>
  <si>
    <t>Note: Path to PyPSA database</t>
  </si>
  <si>
    <t>Data source</t>
  </si>
  <si>
    <t>PyPSA DB</t>
  </si>
  <si>
    <t>Gerke et al</t>
  </si>
  <si>
    <t>NREL</t>
  </si>
  <si>
    <t>-</t>
  </si>
  <si>
    <t>€</t>
  </si>
  <si>
    <t>Note: 2020 €</t>
  </si>
  <si>
    <t>2020 €/$</t>
  </si>
  <si>
    <t>BECCS</t>
  </si>
  <si>
    <t>Source lost load</t>
  </si>
  <si>
    <t>https://doi.org/10.1016/j.tej.2022.107187</t>
  </si>
  <si>
    <t>Gorman. The quest to quantify the value of lost load: A critical review of the economics of power outages</t>
  </si>
  <si>
    <t>https://atb-archive.nrel.gov/electricity/2020/data.php</t>
  </si>
  <si>
    <t>NREL (National Renewable Energy Laboratory). 2020. "2020 Annual Technology Baseline."</t>
  </si>
  <si>
    <t>Source BECCS</t>
  </si>
  <si>
    <t>https://www.nrel.gov/docs/fy22osti/81644.pdf</t>
  </si>
  <si>
    <t>CO2 emissions</t>
  </si>
  <si>
    <t>tCO2/MWh</t>
  </si>
  <si>
    <t>BECCS % link</t>
  </si>
  <si>
    <t>beccs</t>
  </si>
  <si>
    <t>beccs_out</t>
  </si>
  <si>
    <t>Gorman</t>
  </si>
  <si>
    <t>natgas_wCCS_out</t>
  </si>
  <si>
    <t>Variable cost [€/MWh]</t>
  </si>
  <si>
    <t>info</t>
  </si>
  <si>
    <t>db</t>
  </si>
  <si>
    <t>.05*db_co2_emissions</t>
  </si>
  <si>
    <t>db_co2_emissions</t>
  </si>
  <si>
    <t>-1*db_energy-input</t>
  </si>
  <si>
    <t>Compressed-Air-Adiabatic-bicharger</t>
  </si>
  <si>
    <t>Compressed-Air-Adiabatic-store</t>
  </si>
  <si>
    <t>comp_air</t>
  </si>
  <si>
    <t>compressed_air_store</t>
  </si>
  <si>
    <t>all_firm</t>
  </si>
  <si>
    <t>all_firm_case_all_stores</t>
  </si>
  <si>
    <t>/carnegie/data/Shared/Labs/Caldeira Lab/Everyone/energy_demand_capacity_data/US_solar_wind_demand/</t>
  </si>
  <si>
    <t>Pumped-Storage-Hydro-bicharger</t>
  </si>
  <si>
    <t>Pumped-Storage-Hydro-store</t>
  </si>
  <si>
    <t>Vanadium-Redox-Flow-bicharger</t>
  </si>
  <si>
    <t>Vanadium-Redox-Flow-store</t>
  </si>
  <si>
    <t>redox_store</t>
  </si>
  <si>
    <t>vanadium</t>
  </si>
  <si>
    <t>Zn-Air-bicharger</t>
  </si>
  <si>
    <t>Zn-Air-store</t>
  </si>
  <si>
    <t>zn_air_store</t>
  </si>
  <si>
    <t>zn_air</t>
  </si>
  <si>
    <t>Sand-charger</t>
  </si>
  <si>
    <t>Sand-store</t>
  </si>
  <si>
    <t>Sand-discharger</t>
  </si>
  <si>
    <t>sand_store</t>
  </si>
  <si>
    <t>sand</t>
  </si>
  <si>
    <t>Concrete-charger</t>
  </si>
  <si>
    <t>Concrete-store</t>
  </si>
  <si>
    <t>Concrete-discharger</t>
  </si>
  <si>
    <t>concrete_store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</si>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</sst>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 (Body)"/>
    </font>
    <font>
      <u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5A9"/>
        <bgColor indexed="64"/>
      </patternFill>
    </fill>
    <fill>
      <patternFill patternType="solid">
        <fgColor rgb="FFF6CAD1"/>
        <bgColor indexed="64"/>
      </patternFill>
    </fill>
    <fill>
      <patternFill patternType="solid">
        <fgColor rgb="FF99E7CA"/>
        <bgColor indexed="64"/>
      </patternFill>
    </fill>
    <fill>
      <patternFill patternType="solid">
        <fgColor rgb="FFABF0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F71"/>
        <bgColor indexed="64"/>
      </patternFill>
    </fill>
    <fill>
      <patternFill patternType="solid">
        <fgColor rgb="FFCD6CBA"/>
        <bgColor indexed="64"/>
      </patternFill>
    </fill>
    <fill>
      <patternFill patternType="solid">
        <fgColor rgb="FFFFCFE9"/>
        <bgColor indexed="64"/>
      </patternFill>
    </fill>
    <fill>
      <patternFill patternType="solid">
        <fgColor rgb="FFEFFEB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BC4C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4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0" fillId="34" borderId="0" xfId="0" applyNumberFormat="1" applyFill="1"/>
    <xf numFmtId="0" fontId="0" fillId="0" borderId="0" xfId="0" applyAlignment="1">
      <alignment vertical="center"/>
    </xf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0" fontId="19" fillId="0" borderId="0" xfId="0" applyFont="1"/>
    <xf numFmtId="49" fontId="0" fillId="37" borderId="0" xfId="0" applyNumberFormat="1" applyFill="1"/>
    <xf numFmtId="0" fontId="0" fillId="37" borderId="0" xfId="0" applyFill="1"/>
    <xf numFmtId="49" fontId="0" fillId="33" borderId="0" xfId="0" applyNumberFormat="1" applyFill="1"/>
    <xf numFmtId="49" fontId="0" fillId="38" borderId="0" xfId="0" applyNumberFormat="1" applyFill="1"/>
    <xf numFmtId="0" fontId="0" fillId="38" borderId="0" xfId="0" applyFill="1"/>
    <xf numFmtId="0" fontId="0" fillId="34" borderId="0" xfId="0" applyFill="1"/>
    <xf numFmtId="49" fontId="0" fillId="39" borderId="0" xfId="0" applyNumberFormat="1" applyFill="1"/>
    <xf numFmtId="0" fontId="0" fillId="39" borderId="0" xfId="0" applyFill="1"/>
    <xf numFmtId="49" fontId="0" fillId="40" borderId="0" xfId="0" applyNumberFormat="1" applyFill="1"/>
    <xf numFmtId="0" fontId="0" fillId="40" borderId="0" xfId="0" applyFill="1"/>
    <xf numFmtId="49" fontId="0" fillId="41" borderId="0" xfId="0" applyNumberFormat="1" applyFill="1"/>
    <xf numFmtId="0" fontId="0" fillId="41" borderId="0" xfId="0" applyFill="1"/>
    <xf numFmtId="49" fontId="0" fillId="42" borderId="0" xfId="0" applyNumberFormat="1" applyFill="1"/>
    <xf numFmtId="0" fontId="0" fillId="42" borderId="0" xfId="0" applyFill="1"/>
    <xf numFmtId="49" fontId="0" fillId="42" borderId="0" xfId="0" applyNumberFormat="1" applyFill="1" applyAlignment="1">
      <alignment horizontal="right"/>
    </xf>
    <xf numFmtId="49" fontId="0" fillId="43" borderId="0" xfId="0" applyNumberFormat="1" applyFill="1"/>
    <xf numFmtId="0" fontId="0" fillId="43" borderId="0" xfId="0" applyFill="1"/>
    <xf numFmtId="49" fontId="0" fillId="44" borderId="0" xfId="0" applyNumberFormat="1" applyFill="1"/>
    <xf numFmtId="0" fontId="0" fillId="44" borderId="0" xfId="0" applyFill="1"/>
    <xf numFmtId="0" fontId="16" fillId="0" borderId="0" xfId="0" applyFont="1"/>
    <xf numFmtId="0" fontId="20" fillId="0" borderId="0" xfId="0" applyFont="1"/>
    <xf numFmtId="0" fontId="21" fillId="0" borderId="0" xfId="43" applyFont="1" applyAlignment="1">
      <alignment horizontal="left" vertical="center"/>
    </xf>
    <xf numFmtId="0" fontId="18" fillId="0" borderId="0" xfId="43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18" fillId="0" borderId="0" xfId="42"/>
    <xf numFmtId="0" fontId="20" fillId="45" borderId="0" xfId="0" applyFont="1" applyFill="1" applyAlignment="1">
      <alignment vertical="center" wrapText="1"/>
    </xf>
    <xf numFmtId="0" fontId="19" fillId="45" borderId="0" xfId="0" applyFont="1" applyFill="1" applyAlignment="1">
      <alignment vertical="center" wrapText="1"/>
    </xf>
    <xf numFmtId="0" fontId="19" fillId="45" borderId="0" xfId="0" applyFont="1" applyFill="1" applyAlignment="1">
      <alignment horizontal="center" vertical="center" wrapText="1"/>
    </xf>
    <xf numFmtId="0" fontId="0" fillId="45" borderId="0" xfId="0" applyFill="1"/>
    <xf numFmtId="0" fontId="16" fillId="45" borderId="0" xfId="0" applyFont="1" applyFill="1"/>
    <xf numFmtId="0" fontId="16" fillId="45" borderId="0" xfId="0" applyFont="1" applyFill="1" applyAlignment="1">
      <alignment wrapText="1"/>
    </xf>
    <xf numFmtId="0" fontId="16" fillId="45" borderId="10" xfId="0" applyFont="1" applyFill="1" applyBorder="1" applyAlignment="1">
      <alignment wrapText="1"/>
    </xf>
    <xf numFmtId="0" fontId="16" fillId="45" borderId="11" xfId="0" applyFont="1" applyFill="1" applyBorder="1" applyAlignment="1">
      <alignment wrapText="1"/>
    </xf>
    <xf numFmtId="0" fontId="0" fillId="45" borderId="10" xfId="0" applyFill="1" applyBorder="1"/>
    <xf numFmtId="0" fontId="0" fillId="45" borderId="11" xfId="0" applyFill="1" applyBorder="1"/>
    <xf numFmtId="10" fontId="0" fillId="45" borderId="0" xfId="0" applyNumberFormat="1" applyFill="1"/>
    <xf numFmtId="0" fontId="0" fillId="3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1" borderId="0" xfId="0" applyFill="1" applyAlignment="1">
      <alignment horizontal="right"/>
    </xf>
    <xf numFmtId="49" fontId="0" fillId="46" borderId="0" xfId="0" applyNumberFormat="1" applyFill="1"/>
    <xf numFmtId="0" fontId="0" fillId="46" borderId="0" xfId="0" applyFill="1"/>
    <xf numFmtId="49" fontId="0" fillId="47" borderId="0" xfId="0" applyNumberFormat="1" applyFill="1"/>
    <xf numFmtId="0" fontId="0" fillId="47" borderId="0" xfId="0" applyFill="1"/>
    <xf numFmtId="0" fontId="18" fillId="0" borderId="0" xfId="43"/>
    <xf numFmtId="49" fontId="0" fillId="48" borderId="0" xfId="0" applyNumberFormat="1" applyFill="1"/>
    <xf numFmtId="0" fontId="0" fillId="48" borderId="0" xfId="0" applyFill="1"/>
    <xf numFmtId="0" fontId="1" fillId="0" borderId="0" xfId="42" applyFont="1"/>
    <xf numFmtId="49" fontId="0" fillId="49" borderId="0" xfId="0" applyNumberFormat="1" applyFill="1"/>
    <xf numFmtId="0" fontId="0" fillId="49" borderId="0" xfId="0" applyFill="1"/>
    <xf numFmtId="49" fontId="0" fillId="50" borderId="0" xfId="0" applyNumberFormat="1" applyFill="1"/>
    <xf numFmtId="0" fontId="0" fillId="50" borderId="0" xfId="0" applyFill="1"/>
    <xf numFmtId="164" fontId="0" fillId="0" borderId="0" xfId="0" applyNumberFormat="1" applyAlignment="1">
      <alignment horizontal="right"/>
    </xf>
    <xf numFmtId="11" fontId="0" fillId="41" borderId="0" xfId="0" applyNumberFormat="1" applyFill="1"/>
    <xf numFmtId="49" fontId="0" fillId="51" borderId="0" xfId="0" applyNumberFormat="1" applyFill="1"/>
    <xf numFmtId="0" fontId="0" fillId="51" borderId="0" xfId="0" applyFill="1"/>
    <xf numFmtId="0" fontId="0" fillId="51" borderId="0" xfId="0" applyFill="1" applyAlignment="1">
      <alignment horizontal="right"/>
    </xf>
    <xf numFmtId="49" fontId="0" fillId="44" borderId="0" xfId="0" applyNumberFormat="1" applyFill="1" applyAlignment="1">
      <alignment horizontal="right"/>
    </xf>
    <xf numFmtId="0" fontId="22" fillId="0" borderId="0" xfId="43" applyFont="1"/>
    <xf numFmtId="49" fontId="0" fillId="46" borderId="0" xfId="0" applyNumberFormat="1" applyFill="1" applyAlignment="1">
      <alignment horizontal="right"/>
    </xf>
    <xf numFmtId="49" fontId="0" fillId="47" borderId="0" xfId="0" applyNumberFormat="1" applyFill="1" applyAlignment="1">
      <alignment horizontal="right"/>
    </xf>
    <xf numFmtId="49" fontId="0" fillId="50" borderId="0" xfId="0" applyNumberFormat="1" applyFill="1" applyAlignment="1">
      <alignment horizontal="right"/>
    </xf>
    <xf numFmtId="0" fontId="0" fillId="49" borderId="0" xfId="0" applyFill="1" applyAlignment="1">
      <alignment horizontal="right"/>
    </xf>
    <xf numFmtId="0" fontId="0" fillId="43" borderId="0" xfId="0" applyFill="1" applyAlignment="1">
      <alignment horizontal="right"/>
    </xf>
    <xf numFmtId="49" fontId="0" fillId="37" borderId="0" xfId="0" applyNumberFormat="1" applyFill="1" applyAlignment="1">
      <alignment horizontal="right"/>
    </xf>
    <xf numFmtId="0" fontId="24" fillId="0" borderId="0" xfId="43" applyFont="1"/>
    <xf numFmtId="0" fontId="0" fillId="52" borderId="0" xfId="0" applyFill="1"/>
    <xf numFmtId="0" fontId="16" fillId="52" borderId="0" xfId="0" applyFont="1" applyFill="1"/>
    <xf numFmtId="49" fontId="0" fillId="35" borderId="0" xfId="0" applyNumberFormat="1" applyFill="1" applyAlignment="1">
      <alignment horizontal="right"/>
    </xf>
    <xf numFmtId="11" fontId="0" fillId="33" borderId="0" xfId="0" applyNumberFormat="1" applyFill="1" applyAlignment="1">
      <alignment horizontal="right"/>
    </xf>
    <xf numFmtId="11" fontId="0" fillId="34" borderId="0" xfId="0" applyNumberFormat="1" applyFill="1" applyAlignment="1">
      <alignment horizontal="right"/>
    </xf>
    <xf numFmtId="0" fontId="0" fillId="48" borderId="0" xfId="0" applyFill="1" applyAlignment="1">
      <alignment horizontal="right"/>
    </xf>
    <xf numFmtId="0" fontId="0" fillId="37" borderId="0" xfId="0" applyFill="1" applyAlignment="1">
      <alignment horizontal="right"/>
    </xf>
    <xf numFmtId="11" fontId="0" fillId="39" borderId="0" xfId="0" applyNumberFormat="1" applyFill="1" applyAlignment="1">
      <alignment horizontal="right"/>
    </xf>
    <xf numFmtId="0" fontId="0" fillId="44" borderId="0" xfId="0" applyFill="1" applyAlignment="1">
      <alignment horizontal="right"/>
    </xf>
    <xf numFmtId="11" fontId="0" fillId="36" borderId="0" xfId="0" applyNumberFormat="1" applyFill="1" applyAlignment="1">
      <alignment horizontal="right"/>
    </xf>
    <xf numFmtId="11" fontId="0" fillId="41" borderId="0" xfId="0" applyNumberFormat="1" applyFill="1" applyAlignment="1">
      <alignment horizontal="right"/>
    </xf>
    <xf numFmtId="0" fontId="0" fillId="42" borderId="0" xfId="0" applyFill="1" applyAlignment="1">
      <alignment horizontal="right"/>
    </xf>
    <xf numFmtId="11" fontId="0" fillId="42" borderId="0" xfId="0" applyNumberFormat="1" applyFill="1" applyAlignment="1">
      <alignment horizontal="right"/>
    </xf>
    <xf numFmtId="11" fontId="0" fillId="46" borderId="0" xfId="0" applyNumberFormat="1" applyFill="1" applyAlignment="1">
      <alignment horizontal="right"/>
    </xf>
    <xf numFmtId="11" fontId="0" fillId="47" borderId="0" xfId="0" applyNumberFormat="1" applyFill="1" applyAlignment="1">
      <alignment horizontal="right"/>
    </xf>
    <xf numFmtId="0" fontId="0" fillId="50" borderId="0" xfId="0" applyFill="1" applyAlignment="1">
      <alignment horizontal="right"/>
    </xf>
    <xf numFmtId="11" fontId="0" fillId="49" borderId="0" xfId="0" applyNumberFormat="1" applyFill="1" applyAlignment="1">
      <alignment horizontal="right"/>
    </xf>
    <xf numFmtId="11" fontId="0" fillId="48" borderId="0" xfId="0" applyNumberFormat="1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45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5" borderId="0" xfId="0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 xr:uid="{7A02E8E7-1985-254B-A613-AE36939A1A5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C4C3"/>
      <color rgb="FFC6E0B4"/>
      <color rgb="FFFD5646"/>
      <color rgb="FFEFFEB1"/>
      <color rgb="FFFF6654"/>
      <color rgb="FFFF9385"/>
      <color rgb="FFFFA58D"/>
      <color rgb="FFFF8B87"/>
      <color rgb="FFFFCFE9"/>
      <color rgb="FFCD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ciawongel/CLab/MEM/2022_08_24_MEM_Costs.xlsx" TargetMode="External"/><Relationship Id="rId1" Type="http://schemas.openxmlformats.org/officeDocument/2006/relationships/externalLinkPath" Target="/Users/aliciawongel/CLab/MEM/2022_08_24_MEM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age Techs"/>
      <sheetName val="Gravitational"/>
      <sheetName val="Generation Techs"/>
      <sheetName val="Sheet1"/>
    </sheetNames>
    <sheetDataSet>
      <sheetData sheetId="0">
        <row r="24">
          <cell r="B24">
            <v>3.1299847437582448E-3</v>
          </cell>
        </row>
      </sheetData>
      <sheetData sheetId="1"/>
      <sheetData sheetId="2">
        <row r="12">
          <cell r="B12">
            <v>3412.141633127942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ej.2022.107187" TargetMode="External"/><Relationship Id="rId2" Type="http://schemas.openxmlformats.org/officeDocument/2006/relationships/hyperlink" Target="https://doi.org/10.20357/B7MS40" TargetMode="External"/><Relationship Id="rId1" Type="http://schemas.openxmlformats.org/officeDocument/2006/relationships/hyperlink" Target="https://doi.org/10.1016/j.joule.2021.06.018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PyPSA/technology-data/master/outputs/costs_202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A11" zoomScale="120" zoomScaleNormal="120" workbookViewId="0">
      <selection activeCell="C31" sqref="C31"/>
    </sheetView>
  </sheetViews>
  <sheetFormatPr baseColWidth="10" defaultColWidth="8.83203125" defaultRowHeight="15" x14ac:dyDescent="0.2"/>
  <cols>
    <col min="1" max="1" width="20.5" customWidth="1"/>
    <col min="2" max="2" width="27.1640625" customWidth="1"/>
    <col min="3" max="3" width="18.1640625" customWidth="1"/>
    <col min="4" max="4" width="17.33203125" customWidth="1"/>
    <col min="5" max="5" width="15.33203125" customWidth="1"/>
    <col min="6" max="6" width="18.1640625" customWidth="1"/>
    <col min="7" max="7" width="15.33203125" customWidth="1"/>
    <col min="8" max="8" width="23" customWidth="1"/>
    <col min="9" max="9" width="11.1640625" customWidth="1"/>
    <col min="10" max="11" width="11.33203125" customWidth="1"/>
    <col min="12" max="12" width="13.5" customWidth="1"/>
    <col min="13" max="13" width="14.83203125" customWidth="1"/>
    <col min="14" max="14" width="13.5" customWidth="1"/>
    <col min="15" max="15" width="9.1640625" customWidth="1"/>
    <col min="16" max="16" width="10.6640625" customWidth="1"/>
    <col min="17" max="17" width="11.5" customWidth="1"/>
    <col min="18" max="18" width="18.6640625" customWidth="1"/>
    <col min="19" max="19" width="11.5" customWidth="1"/>
    <col min="20" max="20" width="8.5" customWidth="1"/>
    <col min="21" max="21" width="12.6640625" customWidth="1"/>
    <col min="22" max="22" width="17.83203125" customWidth="1"/>
    <col min="23" max="23" width="14.1640625" customWidth="1"/>
    <col min="24" max="24" width="12.33203125" customWidth="1"/>
  </cols>
  <sheetData>
    <row r="1" spans="1:9" x14ac:dyDescent="0.2">
      <c r="A1" s="3" t="s">
        <v>48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75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59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20</v>
      </c>
      <c r="B10" s="3" t="s">
        <v>49</v>
      </c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21</v>
      </c>
      <c r="B11" s="3" t="s">
        <v>50</v>
      </c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22</v>
      </c>
      <c r="B12" s="3" t="s">
        <v>51</v>
      </c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43</v>
      </c>
      <c r="B15" s="3" t="s">
        <v>52</v>
      </c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24</v>
      </c>
      <c r="B16" s="3" t="s">
        <v>53</v>
      </c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25</v>
      </c>
      <c r="B17" s="3" t="s">
        <v>54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26</v>
      </c>
      <c r="B18" s="3" t="s">
        <v>55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31</v>
      </c>
      <c r="B19" s="3" t="s">
        <v>57</v>
      </c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17</v>
      </c>
      <c r="B20" s="3" t="s">
        <v>56</v>
      </c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27</v>
      </c>
      <c r="B21" s="3" t="s">
        <v>58</v>
      </c>
      <c r="C21" s="3"/>
      <c r="D21" s="3"/>
      <c r="E21" s="3"/>
      <c r="F21" s="3"/>
      <c r="G21" s="3"/>
      <c r="H21" s="3"/>
      <c r="I21" s="3"/>
    </row>
    <row r="23" spans="1:9" x14ac:dyDescent="0.2">
      <c r="A23" t="s">
        <v>11</v>
      </c>
    </row>
    <row r="25" spans="1:9" x14ac:dyDescent="0.2">
      <c r="A25" t="s">
        <v>39</v>
      </c>
      <c r="B25" s="16" t="s">
        <v>195</v>
      </c>
    </row>
    <row r="26" spans="1:9" x14ac:dyDescent="0.2">
      <c r="A26" t="s">
        <v>98</v>
      </c>
      <c r="B26" s="65" t="s">
        <v>99</v>
      </c>
      <c r="F26" t="s">
        <v>159</v>
      </c>
    </row>
    <row r="27" spans="1:9" x14ac:dyDescent="0.2">
      <c r="A27" t="s">
        <v>13</v>
      </c>
      <c r="B27" t="s">
        <v>38</v>
      </c>
    </row>
    <row r="28" spans="1:9" x14ac:dyDescent="0.2">
      <c r="A28" t="s">
        <v>12</v>
      </c>
      <c r="B28" t="s">
        <v>194</v>
      </c>
    </row>
    <row r="29" spans="1:9" x14ac:dyDescent="0.2">
      <c r="A29" t="s">
        <v>35</v>
      </c>
      <c r="B29" t="s">
        <v>193</v>
      </c>
    </row>
    <row r="30" spans="1:9" x14ac:dyDescent="0.2">
      <c r="A30" t="s">
        <v>36</v>
      </c>
      <c r="B30" s="8" t="s">
        <v>96</v>
      </c>
      <c r="D30" t="s">
        <v>40</v>
      </c>
    </row>
    <row r="31" spans="1:9" x14ac:dyDescent="0.2">
      <c r="A31" t="s">
        <v>37</v>
      </c>
      <c r="B31" s="8" t="s">
        <v>108</v>
      </c>
    </row>
    <row r="32" spans="1:9" x14ac:dyDescent="0.2">
      <c r="A32" t="s">
        <v>68</v>
      </c>
      <c r="B32">
        <v>1</v>
      </c>
    </row>
    <row r="33" spans="1:25" x14ac:dyDescent="0.2">
      <c r="A33" t="s">
        <v>73</v>
      </c>
      <c r="B33" s="10">
        <f>(B31-B30)*24/B32</f>
        <v>8784</v>
      </c>
      <c r="D33" t="s">
        <v>72</v>
      </c>
    </row>
    <row r="34" spans="1:25" x14ac:dyDescent="0.2">
      <c r="A34" t="s">
        <v>74</v>
      </c>
      <c r="B34" s="10">
        <f>B33*B32</f>
        <v>8784</v>
      </c>
    </row>
    <row r="35" spans="1:25" x14ac:dyDescent="0.2">
      <c r="B35" s="6"/>
    </row>
    <row r="36" spans="1:25" x14ac:dyDescent="0.2">
      <c r="A36" t="s">
        <v>150</v>
      </c>
      <c r="B36" s="73" t="s">
        <v>151</v>
      </c>
    </row>
    <row r="37" spans="1:25" x14ac:dyDescent="0.2">
      <c r="A37" t="s">
        <v>42</v>
      </c>
      <c r="B37" s="7" t="s">
        <v>184</v>
      </c>
      <c r="D37" t="s">
        <v>46</v>
      </c>
    </row>
    <row r="38" spans="1:25" x14ac:dyDescent="0.2">
      <c r="A38" t="s">
        <v>14</v>
      </c>
      <c r="B38" s="1">
        <v>1</v>
      </c>
      <c r="D38" t="s">
        <v>47</v>
      </c>
    </row>
    <row r="39" spans="1:25" x14ac:dyDescent="0.2">
      <c r="B39" s="1"/>
      <c r="C39" s="1"/>
    </row>
    <row r="40" spans="1:25" x14ac:dyDescent="0.2">
      <c r="A40" t="s">
        <v>63</v>
      </c>
      <c r="B40" s="1" t="s">
        <v>65</v>
      </c>
      <c r="C40" s="1"/>
    </row>
    <row r="41" spans="1:25" x14ac:dyDescent="0.2">
      <c r="A41" t="s">
        <v>92</v>
      </c>
      <c r="B41" s="1" t="s">
        <v>101</v>
      </c>
      <c r="C41" s="1"/>
    </row>
    <row r="42" spans="1:25" x14ac:dyDescent="0.2">
      <c r="A42" t="s">
        <v>93</v>
      </c>
      <c r="B42" s="1" t="s">
        <v>94</v>
      </c>
      <c r="C42" s="1"/>
    </row>
    <row r="43" spans="1:25" x14ac:dyDescent="0.2">
      <c r="A43" t="s">
        <v>64</v>
      </c>
      <c r="B43" s="1" t="s">
        <v>165</v>
      </c>
      <c r="C43" s="1"/>
      <c r="D43" t="s">
        <v>166</v>
      </c>
    </row>
    <row r="44" spans="1:25" x14ac:dyDescent="0.2">
      <c r="B44" s="1"/>
      <c r="C44" s="1"/>
    </row>
    <row r="45" spans="1:25" x14ac:dyDescent="0.2">
      <c r="B45" s="1"/>
      <c r="C45" s="1"/>
    </row>
    <row r="46" spans="1:25" x14ac:dyDescent="0.2">
      <c r="A46" t="s">
        <v>18</v>
      </c>
      <c r="B46" s="1" t="s">
        <v>103</v>
      </c>
      <c r="G46" t="s">
        <v>84</v>
      </c>
      <c r="K46" t="s">
        <v>69</v>
      </c>
      <c r="P46" t="s">
        <v>135</v>
      </c>
    </row>
    <row r="47" spans="1:25" x14ac:dyDescent="0.2">
      <c r="C47" t="s">
        <v>62</v>
      </c>
      <c r="J47" t="s">
        <v>97</v>
      </c>
      <c r="R47" t="s">
        <v>61</v>
      </c>
    </row>
    <row r="48" spans="1:25" x14ac:dyDescent="0.2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6" s="36" customFormat="1" ht="32" x14ac:dyDescent="0.2">
      <c r="A49" s="4" t="s">
        <v>4</v>
      </c>
      <c r="B49" s="4" t="s">
        <v>3</v>
      </c>
      <c r="C49" s="4"/>
      <c r="D49" s="4" t="s">
        <v>6</v>
      </c>
      <c r="E49" s="4"/>
      <c r="F49" s="4"/>
      <c r="G49" s="4"/>
      <c r="H49" s="4"/>
      <c r="I49" s="4"/>
      <c r="J49" s="4" t="s">
        <v>15</v>
      </c>
      <c r="K49" s="4" t="s">
        <v>16</v>
      </c>
      <c r="L49" s="4" t="s">
        <v>7</v>
      </c>
      <c r="M49" s="4"/>
      <c r="N49" s="4" t="s">
        <v>8</v>
      </c>
      <c r="O49" s="4"/>
      <c r="P49" s="4"/>
      <c r="Q49" s="4"/>
      <c r="R49" s="4" t="s">
        <v>9</v>
      </c>
      <c r="S49" s="4"/>
      <c r="T49" s="5" t="s">
        <v>17</v>
      </c>
      <c r="U49" s="4"/>
      <c r="V49" s="5"/>
      <c r="W49" s="5"/>
      <c r="X49" s="5" t="s">
        <v>10</v>
      </c>
      <c r="Y49" s="5"/>
    </row>
    <row r="50" spans="1:26" x14ac:dyDescent="0.2">
      <c r="A50" t="s">
        <v>76</v>
      </c>
      <c r="P50" t="s">
        <v>160</v>
      </c>
    </row>
    <row r="51" spans="1:26" s="2" customFormat="1" ht="32" x14ac:dyDescent="0.2">
      <c r="A51" s="2" t="s">
        <v>20</v>
      </c>
      <c r="B51" s="2" t="s">
        <v>21</v>
      </c>
      <c r="C51" s="2" t="s">
        <v>128</v>
      </c>
      <c r="D51" s="2" t="s">
        <v>22</v>
      </c>
      <c r="E51" s="2" t="s">
        <v>33</v>
      </c>
      <c r="F51" s="2" t="s">
        <v>90</v>
      </c>
      <c r="G51" s="2" t="s">
        <v>83</v>
      </c>
      <c r="H51" s="2" t="s">
        <v>136</v>
      </c>
      <c r="I51" s="2" t="s">
        <v>43</v>
      </c>
      <c r="J51" s="2" t="s">
        <v>15</v>
      </c>
      <c r="K51" s="2" t="s">
        <v>23</v>
      </c>
      <c r="L51" s="2" t="s">
        <v>24</v>
      </c>
      <c r="N51" s="2" t="s">
        <v>25</v>
      </c>
      <c r="Q51" s="2" t="s">
        <v>137</v>
      </c>
      <c r="R51" s="2" t="s">
        <v>26</v>
      </c>
      <c r="S51" s="2" t="s">
        <v>31</v>
      </c>
      <c r="T51" s="2" t="s">
        <v>17</v>
      </c>
      <c r="U51" s="2" t="s">
        <v>60</v>
      </c>
      <c r="V51" s="2" t="s">
        <v>91</v>
      </c>
      <c r="X51" s="2" t="s">
        <v>27</v>
      </c>
    </row>
    <row r="52" spans="1:26" x14ac:dyDescent="0.2">
      <c r="A52" s="20" t="s">
        <v>45</v>
      </c>
      <c r="B52" s="21" t="s">
        <v>19</v>
      </c>
      <c r="C52" s="21"/>
      <c r="D52" s="21" t="s">
        <v>88</v>
      </c>
      <c r="E52" s="21"/>
      <c r="F52" s="21"/>
      <c r="G52" s="21"/>
      <c r="H52" s="21"/>
      <c r="I52" s="21" t="s">
        <v>82</v>
      </c>
      <c r="J52" s="21"/>
      <c r="K52" s="21"/>
      <c r="L52" s="53"/>
      <c r="M52" s="21"/>
      <c r="N52" s="21"/>
      <c r="O52" s="21"/>
      <c r="P52" s="21"/>
      <c r="Q52" s="21"/>
      <c r="R52" s="21"/>
      <c r="S52" s="21"/>
      <c r="T52" s="53"/>
      <c r="U52" s="21"/>
      <c r="V52" s="20"/>
      <c r="W52" s="21"/>
      <c r="X52" s="21"/>
      <c r="Y52" s="21" t="str">
        <f xml:space="preserve"> 1 &amp; "/" &amp; B40</f>
        <v>1/h</v>
      </c>
      <c r="Z52" t="s">
        <v>29</v>
      </c>
    </row>
    <row r="53" spans="1:26" x14ac:dyDescent="0.2">
      <c r="A53" s="19" t="s">
        <v>44</v>
      </c>
      <c r="B53" s="3" t="s">
        <v>111</v>
      </c>
      <c r="C53" s="3"/>
      <c r="D53" s="3" t="s">
        <v>88</v>
      </c>
      <c r="E53" s="3"/>
      <c r="F53" s="3"/>
      <c r="G53" s="3"/>
      <c r="H53" s="3"/>
      <c r="I53" s="3" t="s">
        <v>80</v>
      </c>
      <c r="J53" s="3"/>
      <c r="K53" s="3"/>
      <c r="L53" s="54" t="s">
        <v>185</v>
      </c>
      <c r="M53" s="3" t="str">
        <f>B43 &amp; "/time range/" &amp; B41</f>
        <v>€/time range/MW</v>
      </c>
      <c r="N53" s="90" t="s">
        <v>185</v>
      </c>
      <c r="O53" s="3" t="str">
        <f xml:space="preserve"> B43 &amp; "/" &amp; B41 &amp; B40</f>
        <v>€/MWh</v>
      </c>
      <c r="P53" s="3" t="s">
        <v>161</v>
      </c>
      <c r="Q53" s="3"/>
      <c r="R53" s="3"/>
      <c r="S53" s="3"/>
      <c r="T53" s="54"/>
      <c r="U53" s="3"/>
      <c r="V53" s="19"/>
      <c r="W53" s="3"/>
      <c r="X53" s="3"/>
      <c r="Y53" s="3"/>
    </row>
    <row r="54" spans="1:26" x14ac:dyDescent="0.2">
      <c r="A54" s="10" t="s">
        <v>44</v>
      </c>
      <c r="B54" s="22" t="s">
        <v>102</v>
      </c>
      <c r="C54" s="22"/>
      <c r="D54" s="22" t="s">
        <v>88</v>
      </c>
      <c r="E54" s="22"/>
      <c r="F54" s="22"/>
      <c r="G54" s="22"/>
      <c r="H54" s="22"/>
      <c r="I54" s="22" t="s">
        <v>81</v>
      </c>
      <c r="J54" s="22"/>
      <c r="K54" s="22"/>
      <c r="L54" s="55" t="s">
        <v>185</v>
      </c>
      <c r="M54" s="22" t="str">
        <f>B43 &amp; "/time range/" &amp; B41</f>
        <v>€/time range/MW</v>
      </c>
      <c r="N54" s="91" t="s">
        <v>185</v>
      </c>
      <c r="O54" s="22" t="str">
        <f xml:space="preserve"> B43 &amp; "/" &amp; B41 &amp; B40</f>
        <v>€/MWh</v>
      </c>
      <c r="P54" s="22" t="s">
        <v>161</v>
      </c>
      <c r="Q54" s="22"/>
      <c r="R54" s="22"/>
      <c r="S54" s="22"/>
      <c r="T54" s="55"/>
      <c r="U54" s="22"/>
      <c r="V54" s="10"/>
      <c r="W54" s="22"/>
      <c r="X54" s="22"/>
      <c r="Y54" s="22"/>
    </row>
    <row r="55" spans="1:26" x14ac:dyDescent="0.2">
      <c r="A55" s="17" t="s">
        <v>44</v>
      </c>
      <c r="B55" s="18" t="s">
        <v>152</v>
      </c>
      <c r="C55" s="18" t="s">
        <v>158</v>
      </c>
      <c r="D55" s="18" t="s">
        <v>182</v>
      </c>
      <c r="E55" s="18"/>
      <c r="F55" s="18"/>
      <c r="G55" s="18"/>
      <c r="H55" s="18"/>
      <c r="I55" s="18"/>
      <c r="J55" s="18"/>
      <c r="K55" s="18"/>
      <c r="L55" s="85">
        <f>M126*B33</f>
        <v>143326.43376881725</v>
      </c>
      <c r="M55" s="18" t="str">
        <f>B43 &amp; "/time range/" &amp; B41</f>
        <v>€/time range/MW</v>
      </c>
      <c r="N55" s="93">
        <f>P126</f>
        <v>39.223057644110277</v>
      </c>
      <c r="O55" s="18" t="str">
        <f xml:space="preserve"> B43 &amp; "/" &amp; B41 &amp; B40</f>
        <v>€/MWh</v>
      </c>
      <c r="P55" s="18" t="s">
        <v>163</v>
      </c>
      <c r="Q55" s="18"/>
      <c r="R55" s="18"/>
      <c r="S55" s="18"/>
      <c r="T55" s="93" t="s">
        <v>185</v>
      </c>
      <c r="U55" s="18"/>
      <c r="V55" s="17"/>
      <c r="W55" s="18"/>
      <c r="X55" s="18"/>
      <c r="Y55" s="18"/>
    </row>
    <row r="56" spans="1:26" x14ac:dyDescent="0.2">
      <c r="A56" s="17" t="s">
        <v>70</v>
      </c>
      <c r="B56" s="18" t="s">
        <v>153</v>
      </c>
      <c r="C56" s="18" t="s">
        <v>158</v>
      </c>
      <c r="D56" s="18" t="s">
        <v>182</v>
      </c>
      <c r="E56" s="18" t="s">
        <v>88</v>
      </c>
      <c r="F56" s="18" t="s">
        <v>95</v>
      </c>
      <c r="G56" s="18"/>
      <c r="H56" s="18"/>
      <c r="I56" s="18"/>
      <c r="J56" s="18"/>
      <c r="K56" s="18"/>
      <c r="L56" s="18">
        <v>0</v>
      </c>
      <c r="M56" s="18" t="str">
        <f>B43 &amp; "/time range/" &amp; B41</f>
        <v>€/time range/MW</v>
      </c>
      <c r="N56" s="93">
        <v>0</v>
      </c>
      <c r="O56" s="18" t="str">
        <f xml:space="preserve"> B43 &amp; "/" &amp; B41 &amp; B40</f>
        <v>€/MWh</v>
      </c>
      <c r="P56" s="18" t="s">
        <v>161</v>
      </c>
      <c r="Q56" s="18"/>
      <c r="R56" s="18"/>
      <c r="S56" s="18"/>
      <c r="T56" s="93">
        <v>1</v>
      </c>
      <c r="U56" s="18"/>
      <c r="V56" s="17" t="s">
        <v>186</v>
      </c>
      <c r="W56" s="18" t="str">
        <f>B42 &amp; "/" &amp;B41 &amp; B40</f>
        <v>t/MWh</v>
      </c>
      <c r="X56" s="18"/>
      <c r="Y56" s="18"/>
    </row>
    <row r="57" spans="1:26" x14ac:dyDescent="0.2">
      <c r="A57" s="75" t="s">
        <v>44</v>
      </c>
      <c r="B57" s="76" t="s">
        <v>154</v>
      </c>
      <c r="C57" s="76" t="s">
        <v>132</v>
      </c>
      <c r="D57" s="76" t="s">
        <v>89</v>
      </c>
      <c r="E57" s="76"/>
      <c r="F57" s="76"/>
      <c r="G57" s="76"/>
      <c r="H57" s="76"/>
      <c r="I57" s="76"/>
      <c r="J57" s="76"/>
      <c r="K57" s="76"/>
      <c r="L57" s="77" t="s">
        <v>185</v>
      </c>
      <c r="M57" s="76" t="str">
        <f>B43 &amp; "/time range/" &amp; B41</f>
        <v>€/time range/MW</v>
      </c>
      <c r="N57" s="77" t="s">
        <v>185</v>
      </c>
      <c r="O57" s="76" t="str">
        <f xml:space="preserve"> B43 &amp; "/" &amp; B41 &amp; B40</f>
        <v>€/MWh</v>
      </c>
      <c r="P57" s="76" t="s">
        <v>161</v>
      </c>
      <c r="Q57" s="76"/>
      <c r="R57" s="76"/>
      <c r="S57" s="76"/>
      <c r="T57" s="77" t="s">
        <v>185</v>
      </c>
      <c r="U57" s="76"/>
      <c r="V57" s="75"/>
      <c r="W57" s="76"/>
      <c r="X57" s="76"/>
      <c r="Y57" s="76"/>
    </row>
    <row r="58" spans="1:26" x14ac:dyDescent="0.2">
      <c r="A58" s="75" t="s">
        <v>70</v>
      </c>
      <c r="B58" s="76" t="s">
        <v>114</v>
      </c>
      <c r="C58" s="76" t="s">
        <v>132</v>
      </c>
      <c r="D58" s="76" t="s">
        <v>89</v>
      </c>
      <c r="E58" s="76" t="s">
        <v>88</v>
      </c>
      <c r="F58" s="76" t="s">
        <v>95</v>
      </c>
      <c r="G58" s="76"/>
      <c r="H58" s="76"/>
      <c r="I58" s="76"/>
      <c r="J58" s="76"/>
      <c r="K58" s="76"/>
      <c r="L58" s="76">
        <v>0</v>
      </c>
      <c r="M58" s="76" t="str">
        <f>B43 &amp; "/time range/" &amp; B41</f>
        <v>€/time range/MW</v>
      </c>
      <c r="N58" s="77">
        <v>0</v>
      </c>
      <c r="O58" s="76" t="str">
        <f xml:space="preserve"> B43 &amp; "/" &amp; B41 &amp; B40</f>
        <v>€/MWh</v>
      </c>
      <c r="P58" s="76" t="s">
        <v>161</v>
      </c>
      <c r="Q58" s="76"/>
      <c r="R58" s="76"/>
      <c r="S58" s="76"/>
      <c r="T58" s="77">
        <v>1</v>
      </c>
      <c r="U58" s="76"/>
      <c r="V58" s="75" t="s">
        <v>187</v>
      </c>
      <c r="W58" s="76" t="str">
        <f>B42 &amp; "/" &amp;B41 &amp; B40</f>
        <v>t/MWh</v>
      </c>
      <c r="X58" s="76"/>
      <c r="Y58" s="76"/>
    </row>
    <row r="59" spans="1:26" x14ac:dyDescent="0.2">
      <c r="A59" s="12" t="s">
        <v>44</v>
      </c>
      <c r="B59" s="13" t="s">
        <v>168</v>
      </c>
      <c r="C59" s="13" t="s">
        <v>179</v>
      </c>
      <c r="D59" s="13" t="s">
        <v>180</v>
      </c>
      <c r="E59" s="13"/>
      <c r="F59" s="13"/>
      <c r="G59" s="13"/>
      <c r="H59" s="13"/>
      <c r="I59" s="13"/>
      <c r="J59" s="13"/>
      <c r="K59" s="13"/>
      <c r="L59" s="89">
        <f>M130*B33</f>
        <v>407013.04782420816</v>
      </c>
      <c r="M59" s="13" t="str">
        <f>B43 &amp; "/time range/" &amp; B41</f>
        <v>€/time range/MW</v>
      </c>
      <c r="N59" s="56">
        <f>P130</f>
        <v>14.561403508771932</v>
      </c>
      <c r="O59" s="13" t="str">
        <f xml:space="preserve"> B43 &amp; "/" &amp; B41 &amp; B40</f>
        <v>€/MWh</v>
      </c>
      <c r="P59" s="13" t="s">
        <v>163</v>
      </c>
      <c r="Q59" s="13"/>
      <c r="R59" s="13"/>
      <c r="S59" s="13"/>
      <c r="T59" s="56"/>
      <c r="U59" s="13"/>
      <c r="V59" s="12"/>
      <c r="W59" s="13"/>
      <c r="X59" s="13"/>
      <c r="Y59" s="13"/>
    </row>
    <row r="60" spans="1:26" x14ac:dyDescent="0.2">
      <c r="A60" s="12" t="s">
        <v>70</v>
      </c>
      <c r="B60" s="13" t="s">
        <v>178</v>
      </c>
      <c r="C60" s="13" t="s">
        <v>179</v>
      </c>
      <c r="D60" s="13" t="s">
        <v>180</v>
      </c>
      <c r="E60" s="13" t="s">
        <v>88</v>
      </c>
      <c r="F60" s="13" t="s">
        <v>95</v>
      </c>
      <c r="G60" s="13"/>
      <c r="H60" s="13"/>
      <c r="I60" s="13"/>
      <c r="J60" s="13"/>
      <c r="K60" s="13"/>
      <c r="L60" s="56">
        <v>0</v>
      </c>
      <c r="M60" s="13" t="str">
        <f>B43 &amp; "/time range/" &amp; B41</f>
        <v>€/time range/MW</v>
      </c>
      <c r="N60" s="56">
        <v>0</v>
      </c>
      <c r="O60" s="13" t="str">
        <f xml:space="preserve"> B43 &amp; "/" &amp; B41 &amp; B40</f>
        <v>€/MWh</v>
      </c>
      <c r="P60" s="13" t="s">
        <v>163</v>
      </c>
      <c r="Q60" s="13"/>
      <c r="R60" s="13"/>
      <c r="S60" s="13"/>
      <c r="T60" s="56"/>
      <c r="U60" s="13"/>
      <c r="V60" s="13">
        <f>Q130</f>
        <v>-1.22</v>
      </c>
      <c r="W60" s="13" t="str">
        <f>B42 &amp; "/" &amp;B41 &amp; B40</f>
        <v>t/MWh</v>
      </c>
      <c r="X60" s="13"/>
      <c r="Y60" s="13"/>
    </row>
    <row r="61" spans="1:26" x14ac:dyDescent="0.2">
      <c r="A61" s="23" t="s">
        <v>44</v>
      </c>
      <c r="B61" s="24" t="s">
        <v>79</v>
      </c>
      <c r="C61" s="24" t="s">
        <v>79</v>
      </c>
      <c r="D61" s="24" t="s">
        <v>157</v>
      </c>
      <c r="E61" s="24"/>
      <c r="F61" s="24"/>
      <c r="G61" s="24"/>
      <c r="H61" s="24"/>
      <c r="I61" s="24"/>
      <c r="J61" s="24"/>
      <c r="K61" s="24"/>
      <c r="L61" s="57" t="s">
        <v>185</v>
      </c>
      <c r="M61" s="24" t="str">
        <f>B43 &amp; "/time range/" &amp; B41</f>
        <v>€/time range/MW</v>
      </c>
      <c r="N61" s="94" t="s">
        <v>185</v>
      </c>
      <c r="O61" s="24" t="str">
        <f xml:space="preserve"> B43 &amp; "/" &amp; B41 &amp; B40</f>
        <v>€/MWh</v>
      </c>
      <c r="P61" s="24" t="s">
        <v>161</v>
      </c>
      <c r="Q61" s="24"/>
      <c r="R61" s="24"/>
      <c r="S61" s="24"/>
      <c r="T61" s="57" t="s">
        <v>185</v>
      </c>
      <c r="U61" s="24"/>
      <c r="V61" s="23"/>
      <c r="W61" s="24"/>
      <c r="X61" s="24"/>
      <c r="Y61" s="24"/>
    </row>
    <row r="62" spans="1:26" x14ac:dyDescent="0.2">
      <c r="A62" s="23" t="s">
        <v>70</v>
      </c>
      <c r="B62" s="24" t="s">
        <v>156</v>
      </c>
      <c r="C62" s="24" t="s">
        <v>79</v>
      </c>
      <c r="D62" s="24" t="s">
        <v>157</v>
      </c>
      <c r="E62" s="24" t="s">
        <v>88</v>
      </c>
      <c r="F62" s="24" t="s">
        <v>95</v>
      </c>
      <c r="G62" s="24"/>
      <c r="H62" s="24"/>
      <c r="I62" s="24"/>
      <c r="J62" s="24"/>
      <c r="K62" s="24"/>
      <c r="L62" s="57">
        <v>0</v>
      </c>
      <c r="M62" s="24" t="str">
        <f>B43 &amp; "/time range/" &amp; B41</f>
        <v>€/time range/MW</v>
      </c>
      <c r="N62" s="57">
        <v>0</v>
      </c>
      <c r="O62" s="24" t="str">
        <f xml:space="preserve"> B43 &amp; "/" &amp; B41 &amp; B40</f>
        <v>€/MWh</v>
      </c>
      <c r="P62" s="24" t="s">
        <v>161</v>
      </c>
      <c r="Q62" s="24"/>
      <c r="R62" s="24"/>
      <c r="S62" s="24"/>
      <c r="T62" s="57">
        <v>1</v>
      </c>
      <c r="U62" s="24"/>
      <c r="V62" s="23" t="s">
        <v>187</v>
      </c>
      <c r="W62" s="24" t="str">
        <f>B42 &amp; "/" &amp;B41 &amp; B40</f>
        <v>t/MWh</v>
      </c>
      <c r="X62" s="24"/>
      <c r="Y62" s="24"/>
    </row>
    <row r="63" spans="1:26" x14ac:dyDescent="0.2">
      <c r="A63" s="34" t="s">
        <v>44</v>
      </c>
      <c r="B63" s="35" t="s">
        <v>30</v>
      </c>
      <c r="C63" s="35"/>
      <c r="D63" s="35" t="s">
        <v>88</v>
      </c>
      <c r="E63" s="35"/>
      <c r="F63" s="35"/>
      <c r="G63" s="35"/>
      <c r="H63" s="35"/>
      <c r="I63" s="35"/>
      <c r="J63" s="35"/>
      <c r="K63" s="35"/>
      <c r="L63" s="78" t="s">
        <v>185</v>
      </c>
      <c r="M63" s="35" t="str">
        <f>B43 &amp; "/time range/" &amp; B41</f>
        <v>€/time range/MW</v>
      </c>
      <c r="N63" s="95" t="s">
        <v>185</v>
      </c>
      <c r="O63" s="35" t="str">
        <f xml:space="preserve"> B43 &amp; "/" &amp; B41 &amp; B40</f>
        <v>€/MWh</v>
      </c>
      <c r="P63" s="35" t="s">
        <v>161</v>
      </c>
      <c r="Q63" s="35"/>
      <c r="R63" s="35"/>
      <c r="S63" s="35"/>
      <c r="T63" s="95" t="s">
        <v>185</v>
      </c>
      <c r="U63" s="35"/>
      <c r="V63" s="34"/>
      <c r="W63" s="35"/>
      <c r="X63" s="35"/>
      <c r="Y63" s="35"/>
    </row>
    <row r="64" spans="1:26" x14ac:dyDescent="0.2">
      <c r="A64" s="14" t="s">
        <v>44</v>
      </c>
      <c r="B64" s="15" t="s">
        <v>104</v>
      </c>
      <c r="C64" s="15"/>
      <c r="D64" s="15" t="s">
        <v>88</v>
      </c>
      <c r="E64" s="15"/>
      <c r="F64" s="15"/>
      <c r="G64" s="15"/>
      <c r="H64" s="15"/>
      <c r="I64" s="15"/>
      <c r="J64" s="15"/>
      <c r="K64" s="15"/>
      <c r="L64" s="58" t="s">
        <v>185</v>
      </c>
      <c r="M64" s="15" t="str">
        <f>B43 &amp; "/time range/" &amp; B41</f>
        <v>€/time range/MW</v>
      </c>
      <c r="N64" s="96" t="s">
        <v>185</v>
      </c>
      <c r="O64" s="15" t="str">
        <f xml:space="preserve"> B43 &amp; "/" &amp; B41 &amp; B40</f>
        <v>€/MWh</v>
      </c>
      <c r="P64" s="15" t="s">
        <v>161</v>
      </c>
      <c r="Q64" s="15"/>
      <c r="R64" s="15"/>
      <c r="S64" s="15"/>
      <c r="T64" s="58" t="s">
        <v>185</v>
      </c>
      <c r="U64" s="15"/>
      <c r="V64" s="14"/>
      <c r="W64" s="15"/>
      <c r="X64" s="15"/>
      <c r="Y64" s="15"/>
    </row>
    <row r="65" spans="1:26" x14ac:dyDescent="0.2">
      <c r="A65" s="25" t="s">
        <v>107</v>
      </c>
      <c r="B65" s="26" t="s">
        <v>106</v>
      </c>
      <c r="C65" s="26"/>
      <c r="D65" s="26" t="s">
        <v>88</v>
      </c>
      <c r="E65" s="26"/>
      <c r="F65" s="26"/>
      <c r="G65" s="26"/>
      <c r="H65" s="26"/>
      <c r="I65" s="26"/>
      <c r="J65" s="26"/>
      <c r="K65" s="26"/>
      <c r="L65" s="59" t="str">
        <f xml:space="preserve"> R65&amp;"*db_capital_cost"</f>
        <v>6*db_capital_cost</v>
      </c>
      <c r="M65" s="26" t="str">
        <f>B43 &amp; "/time range/" &amp; B41</f>
        <v>€/time range/MW</v>
      </c>
      <c r="N65" s="59">
        <v>1.4999999999999999E-2</v>
      </c>
      <c r="O65" s="26" t="str">
        <f xml:space="preserve"> B43 &amp; "/" &amp; B41 &amp; B40</f>
        <v>€/MWh</v>
      </c>
      <c r="P65" s="26" t="s">
        <v>161</v>
      </c>
      <c r="Q65" s="26"/>
      <c r="R65" s="26">
        <v>6</v>
      </c>
      <c r="S65" s="26" t="b">
        <v>1</v>
      </c>
      <c r="T65" s="59"/>
      <c r="U65" s="26"/>
      <c r="V65" s="25"/>
      <c r="W65" s="26"/>
      <c r="X65" s="26"/>
      <c r="Y65" s="26"/>
    </row>
    <row r="66" spans="1:26" x14ac:dyDescent="0.2">
      <c r="A66" s="27" t="s">
        <v>70</v>
      </c>
      <c r="B66" s="28" t="s">
        <v>32</v>
      </c>
      <c r="C66" s="28" t="s">
        <v>130</v>
      </c>
      <c r="D66" s="28" t="s">
        <v>88</v>
      </c>
      <c r="E66" s="28" t="s">
        <v>34</v>
      </c>
      <c r="F66" s="28"/>
      <c r="G66" s="28"/>
      <c r="H66" s="28"/>
      <c r="I66" s="28"/>
      <c r="J66" s="28"/>
      <c r="K66" s="28"/>
      <c r="L66" s="60" t="s">
        <v>185</v>
      </c>
      <c r="M66" s="28" t="str">
        <f>B43 &amp; "/time range/" &amp; B41</f>
        <v>€/time range/MW</v>
      </c>
      <c r="N66" s="60">
        <v>0.02</v>
      </c>
      <c r="O66" s="28" t="str">
        <f xml:space="preserve"> B43 &amp; "/" &amp; B41 &amp; B40</f>
        <v>€/MWh</v>
      </c>
      <c r="P66" s="28" t="s">
        <v>161</v>
      </c>
      <c r="Q66" s="28"/>
      <c r="R66" s="28"/>
      <c r="S66" s="28"/>
      <c r="T66" s="60" t="s">
        <v>185</v>
      </c>
      <c r="U66" s="28"/>
      <c r="V66" s="27"/>
      <c r="W66" s="28"/>
      <c r="X66" s="28"/>
      <c r="Y66" s="28"/>
    </row>
    <row r="67" spans="1:26" x14ac:dyDescent="0.2">
      <c r="A67" s="27" t="s">
        <v>71</v>
      </c>
      <c r="B67" s="28" t="s">
        <v>110</v>
      </c>
      <c r="C67" s="28" t="s">
        <v>130</v>
      </c>
      <c r="D67" s="28" t="s">
        <v>34</v>
      </c>
      <c r="E67" s="28"/>
      <c r="F67" s="28"/>
      <c r="G67" s="28"/>
      <c r="H67" s="28"/>
      <c r="I67" s="28"/>
      <c r="J67" s="28"/>
      <c r="K67" s="28"/>
      <c r="L67" s="60" t="s">
        <v>185</v>
      </c>
      <c r="M67" s="28" t="str">
        <f>B43 &amp; "/time range/" &amp; B41 &amp; B40</f>
        <v>€/time range/MWh</v>
      </c>
      <c r="N67" s="97" t="s">
        <v>185</v>
      </c>
      <c r="O67" s="28" t="str">
        <f xml:space="preserve"> B43 &amp; "/" &amp; B41 &amp; B40</f>
        <v>€/MWh</v>
      </c>
      <c r="P67" s="28" t="s">
        <v>161</v>
      </c>
      <c r="Q67" s="28"/>
      <c r="R67" s="28"/>
      <c r="S67" s="28" t="b">
        <v>1</v>
      </c>
      <c r="T67" s="60" t="s">
        <v>185</v>
      </c>
      <c r="U67" s="28"/>
      <c r="V67" s="27"/>
      <c r="W67" s="28"/>
      <c r="X67" s="74">
        <v>3.9999999999999998E-6</v>
      </c>
      <c r="Y67" s="28"/>
    </row>
    <row r="68" spans="1:26" x14ac:dyDescent="0.2">
      <c r="A68" s="27" t="s">
        <v>70</v>
      </c>
      <c r="B68" s="28" t="s">
        <v>105</v>
      </c>
      <c r="C68" s="28" t="s">
        <v>130</v>
      </c>
      <c r="D68" s="28" t="s">
        <v>34</v>
      </c>
      <c r="E68" s="28" t="s">
        <v>88</v>
      </c>
      <c r="F68" s="28"/>
      <c r="G68" s="28"/>
      <c r="H68" s="28"/>
      <c r="I68" s="28"/>
      <c r="J68" s="28"/>
      <c r="K68" s="28"/>
      <c r="L68" s="60" t="s">
        <v>185</v>
      </c>
      <c r="M68" s="28" t="str">
        <f>B43 &amp; "/time range/" &amp; B41</f>
        <v>€/time range/MW</v>
      </c>
      <c r="N68" s="60">
        <v>3.0000000000000001E-3</v>
      </c>
      <c r="O68" s="28" t="str">
        <f xml:space="preserve"> B43 &amp; "/" &amp; B41 &amp; B40</f>
        <v>€/MWh</v>
      </c>
      <c r="P68" s="28" t="s">
        <v>161</v>
      </c>
      <c r="Q68" s="28"/>
      <c r="R68" s="28"/>
      <c r="S68" s="28"/>
      <c r="T68" s="60" t="s">
        <v>185</v>
      </c>
      <c r="U68" s="28"/>
      <c r="V68" s="27"/>
      <c r="W68" s="28"/>
      <c r="X68" s="28"/>
      <c r="Y68" s="28"/>
    </row>
    <row r="69" spans="1:26" x14ac:dyDescent="0.2">
      <c r="A69" s="29" t="s">
        <v>70</v>
      </c>
      <c r="B69" s="30" t="s">
        <v>196</v>
      </c>
      <c r="C69" s="30" t="s">
        <v>131</v>
      </c>
      <c r="D69" s="30" t="s">
        <v>88</v>
      </c>
      <c r="E69" s="30" t="s">
        <v>85</v>
      </c>
      <c r="F69" s="30"/>
      <c r="G69" s="30">
        <v>-1</v>
      </c>
      <c r="H69" s="30"/>
      <c r="I69" s="30"/>
      <c r="J69" s="30"/>
      <c r="K69" s="30"/>
      <c r="L69" s="31" t="s">
        <v>185</v>
      </c>
      <c r="M69" s="30" t="str">
        <f>B43 &amp; "/time range/" &amp; B41</f>
        <v>€/time range/MW</v>
      </c>
      <c r="N69" s="98" t="s">
        <v>185</v>
      </c>
      <c r="O69" s="30" t="str">
        <f xml:space="preserve"> B43 &amp; "/" &amp; B41 &amp; B40</f>
        <v>€/MWh</v>
      </c>
      <c r="P69" s="30" t="s">
        <v>161</v>
      </c>
      <c r="Q69" s="30"/>
      <c r="R69" s="30"/>
      <c r="S69" s="30"/>
      <c r="T69" s="98"/>
      <c r="U69" s="30"/>
      <c r="V69" s="29"/>
      <c r="W69" s="30"/>
      <c r="X69" s="30"/>
      <c r="Y69" s="30"/>
      <c r="Z69" t="s">
        <v>86</v>
      </c>
    </row>
    <row r="70" spans="1:26" x14ac:dyDescent="0.2">
      <c r="A70" s="29" t="s">
        <v>71</v>
      </c>
      <c r="B70" s="30" t="s">
        <v>197</v>
      </c>
      <c r="C70" s="30" t="s">
        <v>131</v>
      </c>
      <c r="D70" s="30" t="s">
        <v>85</v>
      </c>
      <c r="E70" s="30"/>
      <c r="F70" s="30"/>
      <c r="G70" s="30"/>
      <c r="H70" s="30"/>
      <c r="I70" s="30"/>
      <c r="J70" s="30"/>
      <c r="K70" s="30"/>
      <c r="L70" s="31" t="s">
        <v>185</v>
      </c>
      <c r="M70" s="30" t="str">
        <f>B43 &amp; "/time range/" &amp; B41 &amp; B40</f>
        <v>€/time range/MWh</v>
      </c>
      <c r="N70" s="99" t="s">
        <v>185</v>
      </c>
      <c r="O70" s="30" t="str">
        <f xml:space="preserve"> B43 &amp; "/" &amp; B41 &amp; B40</f>
        <v>€/MWh</v>
      </c>
      <c r="P70" s="30" t="s">
        <v>161</v>
      </c>
      <c r="Q70" s="30"/>
      <c r="R70" s="30"/>
      <c r="S70" s="30" t="b">
        <v>1</v>
      </c>
      <c r="T70" s="98"/>
      <c r="U70" s="30"/>
      <c r="V70" s="29"/>
      <c r="W70" s="30"/>
      <c r="X70" s="30"/>
      <c r="Y70" s="30"/>
      <c r="Z70" t="s">
        <v>87</v>
      </c>
    </row>
    <row r="71" spans="1:26" x14ac:dyDescent="0.2">
      <c r="A71" s="61" t="s">
        <v>71</v>
      </c>
      <c r="B71" s="62" t="s">
        <v>133</v>
      </c>
      <c r="C71" s="62"/>
      <c r="D71" s="62" t="s">
        <v>88</v>
      </c>
      <c r="E71" s="62"/>
      <c r="F71" s="62"/>
      <c r="G71" s="62"/>
      <c r="H71" s="62"/>
      <c r="I71" s="62"/>
      <c r="J71" s="62"/>
      <c r="K71" s="62"/>
      <c r="L71" s="80">
        <f>H133/8784*B34</f>
        <v>219298.24561403508</v>
      </c>
      <c r="M71" s="62" t="str">
        <f>B43 &amp; "/time range/" &amp; B41</f>
        <v>€/time range/MW</v>
      </c>
      <c r="N71" s="100"/>
      <c r="O71" s="62" t="str">
        <f xml:space="preserve"> B43 &amp; "/" &amp; B41 &amp; B40</f>
        <v>€/MWh</v>
      </c>
      <c r="P71" s="62" t="s">
        <v>162</v>
      </c>
      <c r="Q71" s="62">
        <v>-1</v>
      </c>
      <c r="R71" s="62"/>
      <c r="S71" s="62"/>
      <c r="T71" s="105"/>
      <c r="U71" s="62"/>
      <c r="V71" s="61"/>
      <c r="W71" s="62"/>
      <c r="X71" s="62"/>
      <c r="Y71" s="62"/>
    </row>
    <row r="72" spans="1:26" x14ac:dyDescent="0.2">
      <c r="A72" s="63" t="s">
        <v>71</v>
      </c>
      <c r="B72" s="64" t="s">
        <v>134</v>
      </c>
      <c r="C72" s="64"/>
      <c r="D72" s="64" t="s">
        <v>88</v>
      </c>
      <c r="E72" s="64"/>
      <c r="F72" s="64"/>
      <c r="G72" s="64"/>
      <c r="H72" s="64"/>
      <c r="I72" s="64"/>
      <c r="J72" s="64"/>
      <c r="K72" s="64"/>
      <c r="L72" s="81">
        <f>H133/8784*B34</f>
        <v>219298.24561403508</v>
      </c>
      <c r="M72" s="64" t="str">
        <f>B43 &amp; "/time range/" &amp; B41</f>
        <v>€/time range/MW</v>
      </c>
      <c r="N72" s="101"/>
      <c r="O72" s="64" t="str">
        <f xml:space="preserve"> B43 &amp; "/" &amp; B41 &amp; B40</f>
        <v>€/MWh</v>
      </c>
      <c r="P72" s="64" t="s">
        <v>162</v>
      </c>
      <c r="Q72" s="64"/>
      <c r="R72" s="64"/>
      <c r="S72" s="64"/>
      <c r="T72" s="106"/>
      <c r="U72" s="64"/>
      <c r="V72" s="63"/>
      <c r="W72" s="64"/>
      <c r="X72" s="64"/>
      <c r="Y72" s="64"/>
    </row>
    <row r="73" spans="1:26" x14ac:dyDescent="0.2">
      <c r="A73" s="71" t="s">
        <v>44</v>
      </c>
      <c r="B73" s="72" t="s">
        <v>149</v>
      </c>
      <c r="C73" s="72"/>
      <c r="D73" s="72" t="s">
        <v>88</v>
      </c>
      <c r="E73" s="72"/>
      <c r="F73" s="72"/>
      <c r="G73" s="72"/>
      <c r="H73" s="72"/>
      <c r="I73" s="72"/>
      <c r="J73" s="72"/>
      <c r="K73" s="72"/>
      <c r="L73" s="82"/>
      <c r="M73" s="72" t="str">
        <f>B43 &amp; "/time range/" &amp; B41</f>
        <v>€/time range/MW</v>
      </c>
      <c r="N73" s="102">
        <f>P132</f>
        <v>8771.9298245614045</v>
      </c>
      <c r="O73" s="72" t="str">
        <f xml:space="preserve"> B43 &amp; "/" &amp; B41 &amp; B40</f>
        <v>€/MWh</v>
      </c>
      <c r="P73" s="72" t="s">
        <v>181</v>
      </c>
      <c r="Q73" s="72"/>
      <c r="R73" s="72"/>
      <c r="S73" s="72"/>
      <c r="T73" s="102"/>
      <c r="U73" s="72"/>
      <c r="V73" s="71"/>
      <c r="W73" s="72"/>
      <c r="X73" s="72"/>
      <c r="Y73" s="72"/>
    </row>
    <row r="74" spans="1:26" x14ac:dyDescent="0.2">
      <c r="A74" s="69" t="s">
        <v>70</v>
      </c>
      <c r="B74" s="70" t="s">
        <v>100</v>
      </c>
      <c r="C74" s="70"/>
      <c r="D74" s="70" t="s">
        <v>95</v>
      </c>
      <c r="E74" s="70" t="s">
        <v>78</v>
      </c>
      <c r="F74" s="70" t="s">
        <v>88</v>
      </c>
      <c r="G74" s="70"/>
      <c r="H74" s="70"/>
      <c r="I74" s="70"/>
      <c r="J74" s="70"/>
      <c r="K74" s="70"/>
      <c r="L74" s="83" t="s">
        <v>185</v>
      </c>
      <c r="M74" s="70" t="str">
        <f>B43 &amp; "/time range/" &amp; B41</f>
        <v>€/time range/MW</v>
      </c>
      <c r="N74" s="103" t="s">
        <v>185</v>
      </c>
      <c r="O74" s="70" t="str">
        <f xml:space="preserve"> B43 &amp; "/" &amp; B41 &amp; B40</f>
        <v>€/MWh</v>
      </c>
      <c r="P74" s="70" t="s">
        <v>161</v>
      </c>
      <c r="Q74" s="70"/>
      <c r="R74" s="70"/>
      <c r="S74" s="70"/>
      <c r="T74" s="83"/>
      <c r="U74" s="70"/>
      <c r="V74" s="69" t="s">
        <v>188</v>
      </c>
      <c r="W74" s="70" t="str">
        <f xml:space="preserve"> B41 &amp; B40  &amp; "/" &amp;  B42</f>
        <v>MWh/t</v>
      </c>
      <c r="X74" s="70"/>
      <c r="Y74" s="70"/>
    </row>
    <row r="75" spans="1:26" x14ac:dyDescent="0.2">
      <c r="A75" s="32" t="s">
        <v>71</v>
      </c>
      <c r="B75" s="33" t="s">
        <v>148</v>
      </c>
      <c r="C75" s="33"/>
      <c r="D75" s="33" t="s">
        <v>95</v>
      </c>
      <c r="E75" s="33"/>
      <c r="F75" s="33"/>
      <c r="G75" s="33"/>
      <c r="H75" s="33"/>
      <c r="I75" s="33"/>
      <c r="J75" s="33"/>
      <c r="K75" s="33">
        <v>0</v>
      </c>
      <c r="L75" s="84"/>
      <c r="M75" s="33" t="str">
        <f>B43 &amp; "/time range/" &amp; B41</f>
        <v>€/time range/MW</v>
      </c>
      <c r="N75" s="84"/>
      <c r="O75" s="33" t="str">
        <f xml:space="preserve"> B43 &amp; "/" &amp; B41 &amp; B40</f>
        <v>€/MWh</v>
      </c>
      <c r="P75" s="33" t="s">
        <v>164</v>
      </c>
      <c r="Q75" s="33"/>
      <c r="R75" s="33"/>
      <c r="S75" s="33"/>
      <c r="T75" s="84"/>
      <c r="U75" s="33"/>
      <c r="V75" s="32"/>
      <c r="W75" s="33"/>
      <c r="X75" s="33"/>
      <c r="Y75" s="33"/>
    </row>
    <row r="76" spans="1:26" x14ac:dyDescent="0.2">
      <c r="A76" s="66" t="s">
        <v>71</v>
      </c>
      <c r="B76" s="67" t="s">
        <v>109</v>
      </c>
      <c r="C76" s="67"/>
      <c r="D76" s="67" t="s">
        <v>78</v>
      </c>
      <c r="E76" s="67"/>
      <c r="F76" s="67"/>
      <c r="G76" s="67"/>
      <c r="H76" s="67"/>
      <c r="I76" s="67"/>
      <c r="J76" s="67"/>
      <c r="K76" s="67"/>
      <c r="L76" s="92" t="s">
        <v>185</v>
      </c>
      <c r="M76" s="67" t="str">
        <f>B43 &amp; "/time range/" &amp; "CO2"</f>
        <v>€/time range/CO2</v>
      </c>
      <c r="N76" s="104" t="s">
        <v>185</v>
      </c>
      <c r="O76" s="67"/>
      <c r="P76" s="67" t="s">
        <v>161</v>
      </c>
      <c r="Q76" s="67"/>
      <c r="R76" s="67"/>
      <c r="S76" s="67"/>
      <c r="T76" s="92"/>
      <c r="U76" s="67"/>
      <c r="V76" s="66"/>
      <c r="W76" s="67"/>
      <c r="X76" s="67"/>
      <c r="Y76" s="67"/>
    </row>
    <row r="77" spans="1:26" x14ac:dyDescent="0.2">
      <c r="A77" s="35" t="s">
        <v>70</v>
      </c>
      <c r="B77" s="35" t="s">
        <v>189</v>
      </c>
      <c r="C77" s="35" t="s">
        <v>192</v>
      </c>
      <c r="D77" s="35" t="s">
        <v>88</v>
      </c>
      <c r="E77" s="35" t="s">
        <v>191</v>
      </c>
      <c r="F77" s="35"/>
      <c r="G77" s="35">
        <v>-1</v>
      </c>
      <c r="H77" s="35"/>
      <c r="I77" s="35"/>
      <c r="J77" s="35"/>
      <c r="K77" s="35"/>
      <c r="L77" s="95" t="s">
        <v>185</v>
      </c>
      <c r="M77" s="35"/>
      <c r="N77" s="95" t="s">
        <v>185</v>
      </c>
      <c r="O77" s="35"/>
      <c r="P77" s="35" t="s">
        <v>161</v>
      </c>
      <c r="Q77" s="35"/>
      <c r="R77" s="35"/>
      <c r="S77" s="35"/>
      <c r="T77" s="35"/>
      <c r="U77" s="35"/>
      <c r="V77" s="35"/>
      <c r="W77" s="35"/>
      <c r="X77" s="35"/>
      <c r="Y77" s="35"/>
    </row>
    <row r="78" spans="1:26" x14ac:dyDescent="0.2">
      <c r="A78" s="35" t="s">
        <v>71</v>
      </c>
      <c r="B78" s="35" t="s">
        <v>190</v>
      </c>
      <c r="C78" s="35" t="s">
        <v>192</v>
      </c>
      <c r="D78" s="35" t="s">
        <v>191</v>
      </c>
      <c r="E78" s="35"/>
      <c r="F78" s="35"/>
      <c r="G78" s="35"/>
      <c r="H78" s="35"/>
      <c r="I78" s="35"/>
      <c r="J78" s="35"/>
      <c r="K78" s="35"/>
      <c r="L78" s="95" t="s">
        <v>185</v>
      </c>
      <c r="M78" s="35"/>
      <c r="N78" s="95" t="s">
        <v>185</v>
      </c>
      <c r="O78" s="35"/>
      <c r="P78" s="35" t="s">
        <v>161</v>
      </c>
      <c r="Q78" s="35"/>
      <c r="R78" s="35"/>
      <c r="S78" s="35" t="b">
        <v>1</v>
      </c>
      <c r="T78" s="35"/>
      <c r="U78" s="35"/>
      <c r="V78" s="35"/>
      <c r="W78" s="35"/>
      <c r="X78" s="35"/>
      <c r="Y78" s="35"/>
    </row>
    <row r="79" spans="1:26" x14ac:dyDescent="0.2">
      <c r="A79" s="107" t="s">
        <v>70</v>
      </c>
      <c r="B79" s="107" t="s">
        <v>198</v>
      </c>
      <c r="C79" s="107" t="s">
        <v>200</v>
      </c>
      <c r="D79" s="107" t="s">
        <v>88</v>
      </c>
      <c r="E79" s="107" t="s">
        <v>201</v>
      </c>
      <c r="F79" s="107"/>
      <c r="G79" s="107">
        <v>-1</v>
      </c>
      <c r="H79" s="107"/>
      <c r="I79" s="107"/>
      <c r="J79" s="107"/>
      <c r="K79" s="107"/>
      <c r="L79" s="108" t="s">
        <v>185</v>
      </c>
      <c r="M79" s="107"/>
      <c r="N79" s="108" t="s">
        <v>185</v>
      </c>
      <c r="O79" s="107"/>
      <c r="P79" s="107" t="s">
        <v>161</v>
      </c>
      <c r="Q79" s="107"/>
      <c r="R79" s="107"/>
      <c r="S79" s="107"/>
      <c r="T79" s="107"/>
      <c r="U79" s="107"/>
      <c r="V79" s="107"/>
      <c r="W79" s="107"/>
      <c r="X79" s="107"/>
      <c r="Y79" s="107"/>
    </row>
    <row r="80" spans="1:26" x14ac:dyDescent="0.2">
      <c r="A80" s="107" t="s">
        <v>71</v>
      </c>
      <c r="B80" s="107" t="s">
        <v>199</v>
      </c>
      <c r="C80" s="107" t="s">
        <v>200</v>
      </c>
      <c r="D80" s="107" t="s">
        <v>201</v>
      </c>
      <c r="E80" s="107"/>
      <c r="F80" s="107"/>
      <c r="G80" s="107"/>
      <c r="H80" s="107"/>
      <c r="I80" s="107"/>
      <c r="J80" s="107"/>
      <c r="K80" s="107"/>
      <c r="L80" s="108" t="s">
        <v>185</v>
      </c>
      <c r="M80" s="107"/>
      <c r="N80" s="108" t="s">
        <v>185</v>
      </c>
      <c r="O80" s="107"/>
      <c r="P80" s="107" t="s">
        <v>161</v>
      </c>
      <c r="Q80" s="107"/>
      <c r="R80" s="107"/>
      <c r="S80" s="107" t="b">
        <v>1</v>
      </c>
      <c r="T80" s="107"/>
      <c r="U80" s="107"/>
      <c r="V80" s="107"/>
      <c r="W80" s="107"/>
      <c r="X80" s="107"/>
      <c r="Y80" s="107"/>
    </row>
    <row r="81" spans="1:25" x14ac:dyDescent="0.2">
      <c r="A81" s="45" t="s">
        <v>70</v>
      </c>
      <c r="B81" s="45" t="s">
        <v>202</v>
      </c>
      <c r="C81" s="45" t="s">
        <v>204</v>
      </c>
      <c r="D81" s="45" t="s">
        <v>88</v>
      </c>
      <c r="E81" s="45" t="s">
        <v>205</v>
      </c>
      <c r="F81" s="45"/>
      <c r="G81" s="45">
        <v>-1</v>
      </c>
      <c r="H81" s="45"/>
      <c r="I81" s="45"/>
      <c r="J81" s="45"/>
      <c r="K81" s="45"/>
      <c r="L81" s="109" t="s">
        <v>185</v>
      </c>
      <c r="M81" s="45"/>
      <c r="N81" s="109" t="s">
        <v>185</v>
      </c>
      <c r="O81" s="45"/>
      <c r="P81" s="45" t="s">
        <v>161</v>
      </c>
      <c r="Q81" s="45"/>
      <c r="R81" s="45"/>
      <c r="S81" s="45"/>
      <c r="T81" s="45"/>
      <c r="U81" s="45"/>
      <c r="V81" s="45"/>
      <c r="W81" s="45"/>
      <c r="X81" s="45"/>
      <c r="Y81" s="45"/>
    </row>
    <row r="82" spans="1:25" x14ac:dyDescent="0.2">
      <c r="A82" s="45" t="s">
        <v>71</v>
      </c>
      <c r="B82" s="45" t="s">
        <v>203</v>
      </c>
      <c r="C82" s="45" t="s">
        <v>204</v>
      </c>
      <c r="D82" s="45" t="s">
        <v>205</v>
      </c>
      <c r="E82" s="45"/>
      <c r="F82" s="45"/>
      <c r="G82" s="45"/>
      <c r="H82" s="45"/>
      <c r="I82" s="45"/>
      <c r="J82" s="45"/>
      <c r="K82" s="45"/>
      <c r="L82" s="109" t="s">
        <v>185</v>
      </c>
      <c r="M82" s="45"/>
      <c r="N82" s="109" t="s">
        <v>185</v>
      </c>
      <c r="O82" s="45"/>
      <c r="P82" s="45" t="s">
        <v>161</v>
      </c>
      <c r="Q82" s="45"/>
      <c r="R82" s="45"/>
      <c r="S82" s="45" t="b">
        <v>1</v>
      </c>
      <c r="T82" s="45"/>
      <c r="U82" s="45"/>
      <c r="V82" s="45"/>
      <c r="W82" s="45"/>
      <c r="X82" s="45"/>
      <c r="Y82" s="45"/>
    </row>
    <row r="83" spans="1:25" x14ac:dyDescent="0.2">
      <c r="A83" s="110" t="s">
        <v>70</v>
      </c>
      <c r="B83" s="110" t="s">
        <v>206</v>
      </c>
      <c r="C83" s="110" t="s">
        <v>209</v>
      </c>
      <c r="D83" s="110" t="s">
        <v>88</v>
      </c>
      <c r="E83" s="110" t="s">
        <v>210</v>
      </c>
      <c r="F83" s="110"/>
      <c r="G83" s="110"/>
      <c r="H83" s="110"/>
      <c r="I83" s="110"/>
      <c r="J83" s="110"/>
      <c r="K83" s="110"/>
      <c r="L83" s="111" t="s">
        <v>185</v>
      </c>
      <c r="M83" s="110"/>
      <c r="N83" s="111" t="s">
        <v>185</v>
      </c>
      <c r="O83" s="110"/>
      <c r="P83" s="110" t="s">
        <v>161</v>
      </c>
      <c r="Q83" s="110"/>
      <c r="R83" s="110"/>
      <c r="S83" s="110"/>
      <c r="T83" s="110"/>
      <c r="U83" s="110"/>
      <c r="V83" s="110"/>
      <c r="W83" s="110"/>
      <c r="X83" s="110"/>
      <c r="Y83" s="110"/>
    </row>
    <row r="84" spans="1:25" x14ac:dyDescent="0.2">
      <c r="A84" s="110" t="s">
        <v>71</v>
      </c>
      <c r="B84" s="110" t="s">
        <v>207</v>
      </c>
      <c r="C84" s="110" t="s">
        <v>209</v>
      </c>
      <c r="D84" s="110" t="s">
        <v>210</v>
      </c>
      <c r="E84" s="110"/>
      <c r="F84" s="110"/>
      <c r="G84" s="110"/>
      <c r="H84" s="110"/>
      <c r="I84" s="110"/>
      <c r="J84" s="110"/>
      <c r="K84" s="110"/>
      <c r="L84" s="111" t="s">
        <v>185</v>
      </c>
      <c r="M84" s="110"/>
      <c r="N84" s="111" t="s">
        <v>185</v>
      </c>
      <c r="O84" s="110"/>
      <c r="P84" s="110" t="s">
        <v>161</v>
      </c>
      <c r="Q84" s="110"/>
      <c r="R84" s="110"/>
      <c r="S84" s="110" t="b">
        <v>1</v>
      </c>
      <c r="T84" s="110"/>
      <c r="U84" s="110"/>
      <c r="V84" s="110"/>
      <c r="W84" s="110"/>
      <c r="X84" s="110"/>
      <c r="Y84" s="110"/>
    </row>
    <row r="85" spans="1:25" x14ac:dyDescent="0.2">
      <c r="A85" s="110" t="s">
        <v>70</v>
      </c>
      <c r="B85" s="110" t="s">
        <v>208</v>
      </c>
      <c r="C85" s="110" t="s">
        <v>209</v>
      </c>
      <c r="D85" s="110" t="s">
        <v>210</v>
      </c>
      <c r="E85" s="110" t="s">
        <v>88</v>
      </c>
      <c r="F85" s="110"/>
      <c r="G85" s="110"/>
      <c r="H85" s="110"/>
      <c r="I85" s="110"/>
      <c r="J85" s="110"/>
      <c r="K85" s="110"/>
      <c r="L85" s="111" t="s">
        <v>185</v>
      </c>
      <c r="M85" s="110"/>
      <c r="N85" s="111" t="s">
        <v>185</v>
      </c>
      <c r="O85" s="110"/>
      <c r="P85" s="110" t="s">
        <v>161</v>
      </c>
      <c r="Q85" s="110"/>
      <c r="R85" s="110"/>
      <c r="S85" s="110"/>
      <c r="T85" s="110"/>
      <c r="U85" s="110"/>
      <c r="V85" s="110"/>
      <c r="W85" s="110"/>
      <c r="X85" s="110"/>
      <c r="Y85" s="110"/>
    </row>
    <row r="86" spans="1:25" x14ac:dyDescent="0.2">
      <c r="A86" s="112" t="s">
        <v>70</v>
      </c>
      <c r="B86" s="112" t="s">
        <v>211</v>
      </c>
      <c r="C86" s="112" t="s">
        <v>214</v>
      </c>
      <c r="D86" s="112" t="s">
        <v>88</v>
      </c>
      <c r="E86" s="112" t="s">
        <v>210</v>
      </c>
      <c r="F86" s="112"/>
      <c r="G86" s="112"/>
      <c r="H86" s="112"/>
      <c r="I86" s="112"/>
      <c r="J86" s="112"/>
      <c r="K86" s="112"/>
      <c r="L86" s="113" t="s">
        <v>185</v>
      </c>
      <c r="M86" s="112"/>
      <c r="N86" s="113" t="s">
        <v>185</v>
      </c>
      <c r="O86" s="112"/>
      <c r="P86" s="112" t="s">
        <v>161</v>
      </c>
      <c r="Q86" s="112"/>
      <c r="R86" s="112"/>
      <c r="S86" s="112"/>
      <c r="T86" s="112"/>
      <c r="U86" s="112"/>
      <c r="V86" s="112"/>
      <c r="W86" s="112"/>
      <c r="X86" s="112"/>
      <c r="Y86" s="112"/>
    </row>
    <row r="87" spans="1:25" x14ac:dyDescent="0.2">
      <c r="A87" s="112" t="s">
        <v>71</v>
      </c>
      <c r="B87" s="112" t="s">
        <v>212</v>
      </c>
      <c r="C87" s="112" t="s">
        <v>214</v>
      </c>
      <c r="D87" s="112" t="s">
        <v>215</v>
      </c>
      <c r="E87" s="112"/>
      <c r="F87" s="112"/>
      <c r="G87" s="112"/>
      <c r="H87" s="112"/>
      <c r="I87" s="112"/>
      <c r="J87" s="112"/>
      <c r="K87" s="112"/>
      <c r="L87" s="113" t="s">
        <v>185</v>
      </c>
      <c r="M87" s="112"/>
      <c r="N87" s="113" t="s">
        <v>185</v>
      </c>
      <c r="O87" s="112"/>
      <c r="P87" s="112" t="s">
        <v>161</v>
      </c>
      <c r="Q87" s="112"/>
      <c r="R87" s="112"/>
      <c r="S87" s="112" t="b">
        <v>1</v>
      </c>
      <c r="T87" s="112"/>
      <c r="U87" s="112"/>
      <c r="V87" s="112"/>
      <c r="W87" s="112"/>
      <c r="X87" s="112"/>
      <c r="Y87" s="112"/>
    </row>
    <row r="88" spans="1:25" x14ac:dyDescent="0.2">
      <c r="A88" s="112" t="s">
        <v>70</v>
      </c>
      <c r="B88" s="112" t="s">
        <v>213</v>
      </c>
      <c r="C88" s="112" t="s">
        <v>214</v>
      </c>
      <c r="D88" s="112" t="s">
        <v>215</v>
      </c>
      <c r="E88" s="112" t="s">
        <v>88</v>
      </c>
      <c r="F88" s="112"/>
      <c r="G88" s="112"/>
      <c r="H88" s="112"/>
      <c r="I88" s="112"/>
      <c r="J88" s="112"/>
      <c r="K88" s="112"/>
      <c r="L88" s="113" t="s">
        <v>185</v>
      </c>
      <c r="M88" s="112"/>
      <c r="N88" s="113" t="s">
        <v>185</v>
      </c>
      <c r="O88" s="112"/>
      <c r="P88" s="112" t="s">
        <v>161</v>
      </c>
      <c r="Q88" s="112"/>
      <c r="R88" s="112"/>
      <c r="S88" s="112"/>
      <c r="T88" s="112"/>
      <c r="U88" s="112"/>
      <c r="V88" s="112"/>
      <c r="W88" s="112"/>
      <c r="X88" s="112"/>
      <c r="Y88" s="112"/>
    </row>
    <row r="90" spans="1:25" x14ac:dyDescent="0.2">
      <c r="A90" t="s">
        <v>77</v>
      </c>
    </row>
    <row r="92" spans="1:25" x14ac:dyDescent="0.2">
      <c r="A92" t="s">
        <v>41</v>
      </c>
    </row>
    <row r="93" spans="1:25" x14ac:dyDescent="0.2">
      <c r="A93" t="s">
        <v>28</v>
      </c>
    </row>
    <row r="94" spans="1:25" x14ac:dyDescent="0.2">
      <c r="A94" t="s">
        <v>66</v>
      </c>
      <c r="O94" s="9"/>
      <c r="P94" s="9"/>
      <c r="Q94" s="9"/>
    </row>
    <row r="96" spans="1:25" x14ac:dyDescent="0.2">
      <c r="A96" t="s">
        <v>112</v>
      </c>
    </row>
    <row r="97" spans="1:18" x14ac:dyDescent="0.2">
      <c r="A97" t="s">
        <v>113</v>
      </c>
    </row>
    <row r="98" spans="1:18" x14ac:dyDescent="0.2">
      <c r="A98" t="s">
        <v>129</v>
      </c>
    </row>
    <row r="100" spans="1:18" ht="15" customHeight="1" x14ac:dyDescent="0.2">
      <c r="A100" s="37" t="s">
        <v>115</v>
      </c>
      <c r="E100" s="36"/>
      <c r="F100" s="36"/>
      <c r="G100" s="36"/>
      <c r="H100" s="36"/>
      <c r="I100" s="36"/>
      <c r="J100" s="36"/>
      <c r="K100" s="36"/>
      <c r="L100" s="36"/>
      <c r="M100" s="2"/>
      <c r="N100" s="2"/>
    </row>
    <row r="101" spans="1:18" x14ac:dyDescent="0.2">
      <c r="A101" s="37"/>
      <c r="B101" s="38" t="s">
        <v>143</v>
      </c>
      <c r="C101" s="40" t="s">
        <v>116</v>
      </c>
      <c r="E101" s="36"/>
      <c r="F101" s="36"/>
      <c r="G101" s="36"/>
      <c r="H101" s="36"/>
      <c r="I101" s="36"/>
      <c r="J101" s="36"/>
      <c r="K101" s="36"/>
      <c r="L101" s="36"/>
      <c r="M101" s="2"/>
      <c r="N101" s="2"/>
    </row>
    <row r="102" spans="1:18" x14ac:dyDescent="0.2">
      <c r="A102" s="37"/>
      <c r="B102" s="39"/>
      <c r="C102" s="41" t="s">
        <v>117</v>
      </c>
      <c r="E102" s="36"/>
      <c r="F102" s="36"/>
      <c r="G102" s="36"/>
      <c r="H102" s="36"/>
      <c r="I102" s="36"/>
      <c r="J102" s="36"/>
      <c r="K102" s="36"/>
      <c r="L102" s="36"/>
      <c r="M102" s="2"/>
      <c r="N102" s="2"/>
    </row>
    <row r="103" spans="1:18" x14ac:dyDescent="0.2">
      <c r="A103" s="37"/>
      <c r="B103" s="39"/>
      <c r="C103" s="41"/>
      <c r="E103" s="36"/>
      <c r="F103" s="36"/>
      <c r="G103" s="36"/>
      <c r="H103" s="36"/>
      <c r="I103" s="36"/>
      <c r="J103" s="36"/>
      <c r="K103" s="36"/>
      <c r="L103" s="36"/>
      <c r="M103" s="2"/>
      <c r="N103" s="2"/>
    </row>
    <row r="104" spans="1:18" x14ac:dyDescent="0.2">
      <c r="A104" s="37"/>
      <c r="B104" s="38" t="s">
        <v>145</v>
      </c>
      <c r="C104" s="68" t="s">
        <v>173</v>
      </c>
      <c r="E104" s="36"/>
      <c r="F104" s="36"/>
      <c r="G104" s="36"/>
      <c r="H104" s="36"/>
      <c r="I104" s="36"/>
      <c r="J104" s="36"/>
      <c r="K104" s="36"/>
      <c r="L104" s="36"/>
      <c r="M104" s="2"/>
      <c r="N104" s="2"/>
    </row>
    <row r="105" spans="1:18" x14ac:dyDescent="0.2">
      <c r="A105" s="37"/>
      <c r="B105" s="38"/>
      <c r="C105" s="79" t="s">
        <v>172</v>
      </c>
      <c r="E105" s="36"/>
      <c r="F105" s="36"/>
      <c r="G105" s="36"/>
      <c r="H105" s="36"/>
      <c r="I105" s="36"/>
      <c r="J105" s="36"/>
      <c r="K105" s="36"/>
      <c r="L105" s="36"/>
      <c r="M105" s="2"/>
      <c r="N105" s="2"/>
    </row>
    <row r="106" spans="1:18" x14ac:dyDescent="0.2">
      <c r="A106" s="37"/>
      <c r="B106" s="38"/>
      <c r="C106" s="79"/>
      <c r="E106" s="36"/>
      <c r="F106" s="36"/>
      <c r="G106" s="36"/>
      <c r="H106" s="36"/>
      <c r="I106" s="36"/>
      <c r="J106" s="36"/>
      <c r="K106" s="36"/>
      <c r="L106" s="36"/>
      <c r="M106" s="2"/>
      <c r="N106" s="2"/>
    </row>
    <row r="107" spans="1:18" x14ac:dyDescent="0.2">
      <c r="A107" s="37"/>
      <c r="B107" s="38" t="s">
        <v>174</v>
      </c>
      <c r="C107" s="86" t="s">
        <v>163</v>
      </c>
      <c r="E107" s="36"/>
      <c r="F107" s="36"/>
      <c r="G107" s="36"/>
      <c r="H107" s="36"/>
      <c r="I107" s="36"/>
      <c r="J107" s="36"/>
      <c r="K107" s="36"/>
      <c r="L107" s="36"/>
      <c r="M107" s="2"/>
      <c r="N107" s="2"/>
    </row>
    <row r="108" spans="1:18" x14ac:dyDescent="0.2">
      <c r="A108" s="37"/>
      <c r="B108" s="38"/>
      <c r="C108" s="79" t="s">
        <v>175</v>
      </c>
      <c r="E108" s="36"/>
      <c r="F108" s="36"/>
      <c r="G108" s="36"/>
      <c r="H108" s="36"/>
      <c r="I108" s="36"/>
      <c r="J108" s="36"/>
      <c r="K108" s="36"/>
      <c r="L108" s="36"/>
      <c r="M108" s="2"/>
      <c r="N108" s="2"/>
    </row>
    <row r="109" spans="1:18" s="11" customFormat="1" ht="20" customHeight="1" x14ac:dyDescent="0.2">
      <c r="A109" s="37"/>
      <c r="B109" s="39"/>
      <c r="C109" s="41"/>
      <c r="D109"/>
      <c r="E109" s="36"/>
      <c r="F109" s="36"/>
      <c r="G109" s="36"/>
      <c r="H109" s="36"/>
      <c r="I109" s="36"/>
      <c r="J109" s="36"/>
      <c r="K109" s="36"/>
      <c r="L109" s="36"/>
      <c r="M109" s="2"/>
      <c r="N109" s="2"/>
      <c r="O109"/>
      <c r="P109"/>
      <c r="Q109"/>
      <c r="R109"/>
    </row>
    <row r="110" spans="1:18" ht="15" customHeight="1" x14ac:dyDescent="0.2">
      <c r="A110" s="37"/>
      <c r="B110" s="38" t="s">
        <v>138</v>
      </c>
      <c r="C110" t="s">
        <v>140</v>
      </c>
      <c r="E110" s="36"/>
      <c r="F110" s="36"/>
      <c r="G110" s="36"/>
      <c r="H110" s="36"/>
      <c r="I110" s="36"/>
      <c r="J110" s="36"/>
      <c r="K110" s="36"/>
      <c r="L110" s="36"/>
      <c r="M110" s="2"/>
      <c r="N110" s="2"/>
    </row>
    <row r="111" spans="1:18" x14ac:dyDescent="0.2">
      <c r="A111" s="37"/>
      <c r="B111" s="38"/>
      <c r="C111" s="65" t="s">
        <v>139</v>
      </c>
      <c r="E111" s="36"/>
      <c r="F111" s="36"/>
      <c r="G111" s="36"/>
      <c r="H111" s="36"/>
      <c r="I111" s="36"/>
      <c r="J111" s="36"/>
      <c r="K111" s="36"/>
      <c r="L111" s="36"/>
      <c r="M111" s="2"/>
      <c r="N111" s="2"/>
    </row>
    <row r="112" spans="1:18" x14ac:dyDescent="0.2">
      <c r="A112" s="37"/>
      <c r="B112" s="38"/>
      <c r="C112" s="65"/>
      <c r="E112" s="36"/>
      <c r="F112" s="36"/>
      <c r="G112" s="36"/>
      <c r="H112" s="36"/>
      <c r="I112" s="36"/>
      <c r="J112" s="36"/>
      <c r="K112" s="36"/>
      <c r="L112" s="36"/>
      <c r="M112" s="2"/>
      <c r="N112" s="2"/>
    </row>
    <row r="113" spans="1:18" x14ac:dyDescent="0.2">
      <c r="A113" s="37"/>
      <c r="B113" s="38" t="s">
        <v>169</v>
      </c>
      <c r="C113" s="86" t="s">
        <v>171</v>
      </c>
      <c r="E113" s="36"/>
      <c r="F113" s="36"/>
      <c r="G113" s="36"/>
      <c r="H113" s="36"/>
      <c r="I113" s="36"/>
      <c r="J113" s="36"/>
      <c r="K113" s="36"/>
      <c r="L113" s="36"/>
      <c r="M113" s="2"/>
      <c r="N113" s="2"/>
    </row>
    <row r="114" spans="1:18" x14ac:dyDescent="0.2">
      <c r="A114" s="37"/>
      <c r="B114" s="38"/>
      <c r="C114" s="65" t="s">
        <v>170</v>
      </c>
      <c r="E114" s="36"/>
      <c r="F114" s="36"/>
      <c r="G114" s="36"/>
      <c r="H114" s="36"/>
      <c r="I114" s="36"/>
      <c r="J114" s="36"/>
      <c r="K114" s="36"/>
      <c r="L114" s="36"/>
      <c r="M114" s="2"/>
      <c r="N114" s="2"/>
    </row>
    <row r="115" spans="1:18" x14ac:dyDescent="0.2">
      <c r="A115" s="37"/>
      <c r="E115" s="36"/>
      <c r="F115" s="36"/>
      <c r="G115" s="36"/>
      <c r="H115" s="36"/>
      <c r="I115" s="36"/>
      <c r="J115" s="36"/>
      <c r="K115" s="36"/>
      <c r="L115" s="36"/>
      <c r="M115" s="2"/>
      <c r="N115" s="2"/>
    </row>
    <row r="116" spans="1:18" x14ac:dyDescent="0.2">
      <c r="A116" s="37"/>
      <c r="B116" s="38" t="s">
        <v>144</v>
      </c>
      <c r="C116" t="s">
        <v>142</v>
      </c>
      <c r="F116" s="36"/>
      <c r="G116" s="36"/>
      <c r="H116" s="36"/>
      <c r="I116" s="36"/>
      <c r="J116" s="36"/>
      <c r="K116" s="36"/>
      <c r="L116" s="36"/>
      <c r="M116" s="2"/>
      <c r="N116" s="2"/>
    </row>
    <row r="117" spans="1:18" x14ac:dyDescent="0.2">
      <c r="A117" s="37"/>
      <c r="B117" s="38"/>
      <c r="C117" s="39" t="s">
        <v>141</v>
      </c>
      <c r="F117" s="36"/>
      <c r="G117" s="36"/>
      <c r="H117" s="36"/>
      <c r="I117" s="36"/>
      <c r="J117" s="36"/>
      <c r="K117" s="36"/>
      <c r="L117" s="36"/>
      <c r="M117" s="2"/>
      <c r="N117" s="2"/>
    </row>
    <row r="118" spans="1:18" x14ac:dyDescent="0.2">
      <c r="A118" s="37"/>
      <c r="B118" s="38"/>
      <c r="C118" s="39"/>
      <c r="F118" s="36"/>
      <c r="G118" s="36"/>
      <c r="H118" s="36"/>
      <c r="I118" s="36"/>
      <c r="J118" s="36"/>
      <c r="K118" s="36"/>
      <c r="L118" s="36"/>
      <c r="M118" s="2"/>
      <c r="N118" s="2"/>
    </row>
    <row r="119" spans="1:18" x14ac:dyDescent="0.2">
      <c r="A119" s="37"/>
      <c r="B119" s="39"/>
      <c r="E119" s="36"/>
      <c r="F119" s="36"/>
      <c r="G119" s="36"/>
      <c r="H119" s="36"/>
      <c r="I119" s="36"/>
      <c r="J119" s="36"/>
      <c r="K119" s="36"/>
      <c r="L119" s="36"/>
      <c r="M119" s="2"/>
      <c r="N119" s="2"/>
    </row>
    <row r="120" spans="1:18" ht="16" x14ac:dyDescent="0.2">
      <c r="A120" s="37"/>
      <c r="B120" s="42" t="s">
        <v>167</v>
      </c>
      <c r="C120" s="43">
        <v>1.1399999999999999</v>
      </c>
      <c r="D120" s="44"/>
      <c r="E120" s="44"/>
      <c r="F120" s="44"/>
      <c r="G120" s="45"/>
      <c r="H120" s="46"/>
      <c r="I120" s="46"/>
      <c r="J120" s="46"/>
      <c r="K120" s="46"/>
      <c r="L120" s="46"/>
      <c r="M120" s="46"/>
      <c r="N120" s="47"/>
      <c r="O120" s="47"/>
      <c r="P120" s="47"/>
      <c r="Q120" s="87"/>
      <c r="R120" s="87"/>
    </row>
    <row r="121" spans="1:18" x14ac:dyDescent="0.2">
      <c r="A121" s="37"/>
      <c r="B121" s="46" t="s">
        <v>118</v>
      </c>
      <c r="C121" s="45">
        <v>7.0000000000000007E-2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87"/>
      <c r="R121" s="87"/>
    </row>
    <row r="122" spans="1:18" ht="48" x14ac:dyDescent="0.2">
      <c r="A122" s="2"/>
      <c r="B122" s="47" t="s">
        <v>21</v>
      </c>
      <c r="C122" s="48" t="str">
        <f xml:space="preserve"> "Overnight cost [" &amp; B43 &amp; "/" &amp; B41 &amp; "]"</f>
        <v>Overnight cost [€/MW]</v>
      </c>
      <c r="D122" s="47" t="str">
        <f xml:space="preserve"> "Fixed O&amp;M cost ["  &amp; B43 &amp; "/" &amp; B41 &amp; "year]"</f>
        <v>Fixed O&amp;M cost [€/MWyear]</v>
      </c>
      <c r="E122" s="47" t="s">
        <v>119</v>
      </c>
      <c r="F122" s="47" t="s">
        <v>120</v>
      </c>
      <c r="G122" s="47" t="s">
        <v>121</v>
      </c>
      <c r="H122" s="49" t="str">
        <f xml:space="preserve"> "Annual fixed costs [" &amp;B43 &amp; "/year]"</f>
        <v>Annual fixed costs [€/year]</v>
      </c>
      <c r="I122" s="47" t="str">
        <f xml:space="preserve"> "Variable O&amp;M [" &amp; B43 &amp; "/" &amp; B41 &amp; B40 &amp; "]"</f>
        <v>Variable O&amp;M [€/MWh]</v>
      </c>
      <c r="J122" s="47" t="str">
        <f xml:space="preserve"> "Fuel cost [" &amp; B43 &amp; "/" &amp; B41 &amp; B40 &amp; "]"</f>
        <v>Fuel cost [€/MWh]</v>
      </c>
      <c r="K122" s="46" t="s">
        <v>122</v>
      </c>
      <c r="L122" s="46" t="s">
        <v>123</v>
      </c>
      <c r="M122" s="48" t="s">
        <v>124</v>
      </c>
      <c r="N122" s="47"/>
      <c r="O122" s="47"/>
      <c r="P122" s="48" t="s">
        <v>183</v>
      </c>
      <c r="Q122" s="88" t="s">
        <v>176</v>
      </c>
      <c r="R122" s="87"/>
    </row>
    <row r="123" spans="1:18" x14ac:dyDescent="0.2">
      <c r="B123" s="45" t="s">
        <v>125</v>
      </c>
      <c r="C123" s="50">
        <f>103100</f>
        <v>103100</v>
      </c>
      <c r="D123" s="45">
        <f>1.5%*C123</f>
        <v>1546.5</v>
      </c>
      <c r="E123" s="45"/>
      <c r="F123" s="45">
        <v>30</v>
      </c>
      <c r="G123" s="45">
        <f>C121*(1+C121)^F123/((1+C121)^F123-1)</f>
        <v>8.0586403511111196E-2</v>
      </c>
      <c r="H123" s="51">
        <f>(C123+D123)*G123</f>
        <v>8433.0850750254976</v>
      </c>
      <c r="I123" s="50"/>
      <c r="J123" s="45"/>
      <c r="K123" s="45"/>
      <c r="L123" s="45"/>
      <c r="M123" s="50">
        <f>H123/8760/C120</f>
        <v>0.84445696898036315</v>
      </c>
      <c r="N123" s="45" t="str">
        <f>B43 &amp; "/" &amp; B40 &amp; "/" &amp; B41</f>
        <v>€/h/MW</v>
      </c>
      <c r="O123" s="45"/>
      <c r="P123" s="50"/>
      <c r="Q123" s="87"/>
      <c r="R123" s="87"/>
    </row>
    <row r="124" spans="1:18" x14ac:dyDescent="0.2">
      <c r="B124" s="51" t="s">
        <v>126</v>
      </c>
      <c r="C124" s="45">
        <f>1612000</f>
        <v>1612000</v>
      </c>
      <c r="D124" s="45">
        <f>12500*C120</f>
        <v>14249.999999999998</v>
      </c>
      <c r="E124" s="52">
        <v>1.4999999999999999E-2</v>
      </c>
      <c r="F124" s="45">
        <v>30</v>
      </c>
      <c r="G124" s="45">
        <f>C121*(1+C121)^F124/((1+C121)^F124-1)</f>
        <v>8.0586403511111196E-2</v>
      </c>
      <c r="H124" s="51">
        <f>((C124+E124*C124)*G124+D124)</f>
        <v>146103.86169680991</v>
      </c>
      <c r="I124" s="50"/>
      <c r="J124" s="45"/>
      <c r="K124" s="45">
        <v>0.81</v>
      </c>
      <c r="L124" s="45"/>
      <c r="M124" s="50">
        <f>H124/8760/C120</f>
        <v>14.630283355043851</v>
      </c>
      <c r="N124" s="45" t="str">
        <f>B43 &amp; "/" &amp; B40 &amp; "/" &amp; B41</f>
        <v>€/h/MW</v>
      </c>
      <c r="O124" s="45"/>
      <c r="P124" s="50">
        <f>0.0003/C120</f>
        <v>2.631578947368421E-4</v>
      </c>
      <c r="Q124" s="87"/>
      <c r="R124" s="87"/>
    </row>
    <row r="125" spans="1:18" x14ac:dyDescent="0.2">
      <c r="B125" s="51"/>
      <c r="C125" s="45"/>
      <c r="D125" s="45"/>
      <c r="E125" s="52"/>
      <c r="F125" s="45"/>
      <c r="G125" s="45"/>
      <c r="H125" s="51"/>
      <c r="I125" s="45"/>
      <c r="J125" s="45"/>
      <c r="K125" s="45"/>
      <c r="L125" s="45"/>
      <c r="M125" s="50"/>
      <c r="N125" s="45"/>
      <c r="O125" s="51"/>
      <c r="P125" s="45"/>
      <c r="Q125" s="87"/>
      <c r="R125" s="87"/>
    </row>
    <row r="126" spans="1:18" x14ac:dyDescent="0.2">
      <c r="B126" s="51" t="s">
        <v>146</v>
      </c>
      <c r="C126" s="45">
        <v>1969000</v>
      </c>
      <c r="D126" s="45">
        <v>53000</v>
      </c>
      <c r="E126" s="52"/>
      <c r="F126" s="45">
        <v>30</v>
      </c>
      <c r="G126" s="45">
        <f>C121*(1+C121)^F126/((1+C121)^F126-1)</f>
        <v>8.0586403511111196E-2</v>
      </c>
      <c r="H126" s="51">
        <f>(C126+D126)*G126</f>
        <v>162945.70789946683</v>
      </c>
      <c r="I126" s="45">
        <v>9</v>
      </c>
      <c r="J126" s="45">
        <v>20</v>
      </c>
      <c r="K126" s="45">
        <v>0.56000000000000005</v>
      </c>
      <c r="L126" s="45"/>
      <c r="M126" s="50">
        <f>H126/8760/C120</f>
        <v>16.31676158570324</v>
      </c>
      <c r="N126" s="45" t="str">
        <f>B43 &amp; "/" &amp; B40 &amp; "/" &amp; B41</f>
        <v>€/h/MW</v>
      </c>
      <c r="O126" s="51"/>
      <c r="P126" s="45">
        <f>(I126+J126/K126)/C120</f>
        <v>39.223057644110277</v>
      </c>
      <c r="Q126" s="87"/>
      <c r="R126" s="87"/>
    </row>
    <row r="127" spans="1:18" x14ac:dyDescent="0.2">
      <c r="B127" s="45" t="s">
        <v>147</v>
      </c>
      <c r="C127" s="45"/>
      <c r="D127" s="45"/>
      <c r="E127" s="52"/>
      <c r="F127" s="45"/>
      <c r="G127" s="45"/>
      <c r="H127" s="51"/>
      <c r="I127" s="45"/>
      <c r="J127" s="45"/>
      <c r="K127" s="45"/>
      <c r="L127" s="45"/>
      <c r="M127" s="50"/>
      <c r="N127" s="45"/>
      <c r="O127" s="45"/>
      <c r="P127" s="45"/>
      <c r="Q127" s="87"/>
      <c r="R127" s="87"/>
    </row>
    <row r="128" spans="1:18" x14ac:dyDescent="0.2">
      <c r="B128" s="45"/>
      <c r="C128" s="45">
        <v>965000</v>
      </c>
      <c r="D128" s="45">
        <v>27000</v>
      </c>
      <c r="E128" s="52"/>
      <c r="F128" s="45">
        <v>30</v>
      </c>
      <c r="G128" s="45">
        <f>C121*(1+C121)^F128/((1+C121)^F128-1)</f>
        <v>8.0586403511111196E-2</v>
      </c>
      <c r="H128" s="51">
        <f t="shared" ref="H128" si="0">(C128+D128)*G128</f>
        <v>79941.712283022309</v>
      </c>
      <c r="I128" s="45">
        <v>2</v>
      </c>
      <c r="J128" s="45">
        <v>8</v>
      </c>
      <c r="K128" s="45">
        <v>0.56000000000000005</v>
      </c>
      <c r="L128" s="45"/>
      <c r="M128" s="50">
        <f>H128/8760/C120</f>
        <v>8.0050581073281979</v>
      </c>
      <c r="N128" s="45"/>
      <c r="O128" s="45"/>
      <c r="P128" s="45">
        <f>(I128+J128/K128)/C120</f>
        <v>14.285714285714286</v>
      </c>
      <c r="Q128" s="87"/>
      <c r="R128" s="87"/>
    </row>
    <row r="129" spans="2:18" x14ac:dyDescent="0.2">
      <c r="B129" s="45"/>
      <c r="C129" s="45"/>
      <c r="D129" s="45"/>
      <c r="E129" s="52"/>
      <c r="F129" s="45"/>
      <c r="G129" s="45"/>
      <c r="H129" s="51"/>
      <c r="I129" s="45"/>
      <c r="J129" s="45"/>
      <c r="K129" s="45"/>
      <c r="L129" s="45"/>
      <c r="M129" s="50"/>
      <c r="N129" s="45"/>
      <c r="O129" s="45"/>
      <c r="P129" s="45"/>
      <c r="Q129" s="87"/>
      <c r="R129" s="87"/>
    </row>
    <row r="130" spans="2:18" x14ac:dyDescent="0.2">
      <c r="B130" s="45" t="s">
        <v>168</v>
      </c>
      <c r="C130" s="45">
        <v>5580000</v>
      </c>
      <c r="D130" s="45">
        <v>162000</v>
      </c>
      <c r="E130" s="52"/>
      <c r="F130" s="45">
        <v>30</v>
      </c>
      <c r="G130" s="45">
        <f>C121*(1+C121)^F130/((1+C121)^F130-1)</f>
        <v>8.0586403511111196E-2</v>
      </c>
      <c r="H130" s="51">
        <f t="shared" ref="H130" si="1">(C130+D130)*G130</f>
        <v>462727.12896080047</v>
      </c>
      <c r="I130" s="45"/>
      <c r="J130" s="45"/>
      <c r="K130" s="45"/>
      <c r="L130" s="45"/>
      <c r="M130" s="50">
        <f>H130/8760/C120</f>
        <v>46.335729488183986</v>
      </c>
      <c r="N130" s="45" t="str">
        <f>B43 &amp; "/" &amp; B40 &amp; "/" &amp; B41</f>
        <v>€/h/MW</v>
      </c>
      <c r="O130" s="45"/>
      <c r="P130" s="45">
        <f>16.6/C120</f>
        <v>14.561403508771932</v>
      </c>
      <c r="Q130" s="87">
        <v>-1.22</v>
      </c>
      <c r="R130" s="87" t="s">
        <v>177</v>
      </c>
    </row>
    <row r="131" spans="2:18" x14ac:dyDescent="0.2">
      <c r="B131" s="45"/>
      <c r="C131" s="45"/>
      <c r="D131" s="45"/>
      <c r="E131" s="52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87"/>
      <c r="R131" s="87"/>
    </row>
    <row r="132" spans="2:18" x14ac:dyDescent="0.2">
      <c r="B132" s="45" t="s">
        <v>149</v>
      </c>
      <c r="C132" s="45"/>
      <c r="D132" s="45"/>
      <c r="E132" s="52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>
        <f>10000/C120</f>
        <v>8771.9298245614045</v>
      </c>
      <c r="Q132" s="87"/>
      <c r="R132" s="87"/>
    </row>
    <row r="133" spans="2:18" x14ac:dyDescent="0.2">
      <c r="B133" s="45" t="s">
        <v>155</v>
      </c>
      <c r="C133" s="45"/>
      <c r="D133" s="45"/>
      <c r="E133" s="52"/>
      <c r="F133" s="45"/>
      <c r="G133" s="45"/>
      <c r="H133" s="45">
        <f>250000/C120</f>
        <v>219298.24561403511</v>
      </c>
      <c r="I133" s="45"/>
      <c r="J133" s="45"/>
      <c r="K133" s="45"/>
      <c r="L133" s="45"/>
      <c r="M133" s="45"/>
      <c r="N133" s="45"/>
      <c r="O133" s="45"/>
      <c r="P133" s="45"/>
      <c r="Q133" s="87"/>
      <c r="R133" s="87"/>
    </row>
    <row r="135" spans="2:18" x14ac:dyDescent="0.2">
      <c r="B135" t="s">
        <v>127</v>
      </c>
    </row>
    <row r="137" spans="2:18" x14ac:dyDescent="0.2">
      <c r="I137" s="8"/>
    </row>
  </sheetData>
  <phoneticPr fontId="23" type="noConversion"/>
  <hyperlinks>
    <hyperlink ref="C102" r:id="rId1" xr:uid="{7E7F7A7C-890D-0E40-A83F-FA5282D3540A}"/>
    <hyperlink ref="C111" r:id="rId2" xr:uid="{6CD367E7-01A2-7E42-B77E-D24EE280FB31}"/>
    <hyperlink ref="C114" r:id="rId3" tooltip="Persistent link using digital object identifier" xr:uid="{A940AA27-0F2E-054F-87F5-05988AF7C9B4}"/>
    <hyperlink ref="B26" r:id="rId4" xr:uid="{D87F01B5-762F-B743-8E5C-245F04864626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2023-07-05T18:25:34Z</dcterms:modified>
</cp:coreProperties>
</file>