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616b882120f454/Desktop/Starter_Code/"/>
    </mc:Choice>
  </mc:AlternateContent>
  <xr:revisionPtr revIDLastSave="756" documentId="13_ncr:40009_{11C9D2FE-BDF6-5C46-B9DE-A4DF0C4A6734}" xr6:coauthVersionLast="47" xr6:coauthVersionMax="47" xr10:uidLastSave="{29DE8C35-5496-4023-AFE4-EB83FED60AA4}"/>
  <bookViews>
    <workbookView xWindow="-108" yWindow="-108" windowWidth="23256" windowHeight="12456" activeTab="4" xr2:uid="{00000000-000D-0000-FFFF-FFFF00000000}"/>
  </bookViews>
  <sheets>
    <sheet name="Crowdfunding" sheetId="1" r:id="rId1"/>
    <sheet name="Category" sheetId="3" r:id="rId2"/>
    <sheet name="Sub-Category" sheetId="4" r:id="rId3"/>
    <sheet name="LaunchDataOut" sheetId="11" r:id="rId4"/>
    <sheet name="GoalOut" sheetId="12" r:id="rId5"/>
    <sheet name="Backers" sheetId="13" r:id="rId6"/>
  </sheets>
  <definedNames>
    <definedName name="_xlnm._FilterDatabase" localSheetId="0" hidden="1">Crowdfunding!$G$1:$H$1001</definedName>
    <definedName name="_xlcn.WorksheetConnection_CrowdfundingA1T10011" hidden="1">Crowdfunding!$A$1:$T$1001</definedName>
  </definedNames>
  <calcPr calcId="191029" concurrentCalc="0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Month Index)" columnId="Date Created Conversion (Month Index)" contentType="monthsindex" isSelected="0"/>
                <x16:calculatedTimeColumn columnName="Date Created Conversion (Month)" columnId="Date Created Conversion (Month)" contentType="months" isSelected="0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2" l="1"/>
  <c r="B3" i="12"/>
  <c r="B2" i="12"/>
  <c r="C2" i="12"/>
  <c r="N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I9" i="13"/>
  <c r="I8" i="13"/>
  <c r="I7" i="13"/>
  <c r="I6" i="13"/>
  <c r="I5" i="13"/>
  <c r="I4" i="13"/>
  <c r="H5" i="13"/>
  <c r="H4" i="13"/>
  <c r="H9" i="13"/>
  <c r="H8" i="13"/>
  <c r="H7" i="13"/>
  <c r="H6" i="13"/>
  <c r="X5" i="1"/>
  <c r="D13" i="12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3" i="12"/>
  <c r="B13" i="12"/>
  <c r="B12" i="12"/>
  <c r="B11" i="12"/>
  <c r="B10" i="12"/>
  <c r="B9" i="12"/>
  <c r="B8" i="12"/>
  <c r="B7" i="12"/>
  <c r="B6" i="12"/>
  <c r="B5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E12" i="12"/>
  <c r="G12" i="12"/>
  <c r="E11" i="12"/>
  <c r="G11" i="12"/>
  <c r="E3" i="12"/>
  <c r="F3" i="12"/>
  <c r="E2" i="12"/>
  <c r="F2" i="12"/>
  <c r="E13" i="12"/>
  <c r="F13" i="12"/>
  <c r="E10" i="12"/>
  <c r="H10" i="12"/>
  <c r="E9" i="12"/>
  <c r="H9" i="12"/>
  <c r="E8" i="12"/>
  <c r="F8" i="12"/>
  <c r="E7" i="12"/>
  <c r="F7" i="12"/>
  <c r="E6" i="12"/>
  <c r="H6" i="12"/>
  <c r="E5" i="12"/>
  <c r="G5" i="12"/>
  <c r="E4" i="12"/>
  <c r="H4" i="1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11" i="12"/>
  <c r="F12" i="12"/>
  <c r="H12" i="12"/>
  <c r="H11" i="12"/>
  <c r="F6" i="12"/>
  <c r="F4" i="12"/>
  <c r="H2" i="12"/>
  <c r="G2" i="12"/>
  <c r="G6" i="12"/>
  <c r="H8" i="12"/>
  <c r="G8" i="12"/>
  <c r="G7" i="12"/>
  <c r="G10" i="12"/>
  <c r="H7" i="12"/>
  <c r="F5" i="12"/>
  <c r="H13" i="12"/>
  <c r="F10" i="12"/>
  <c r="F9" i="12"/>
  <c r="G3" i="12"/>
  <c r="H3" i="12"/>
  <c r="G13" i="12"/>
  <c r="H5" i="12"/>
  <c r="G9" i="12"/>
  <c r="G4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52CD8D-0262-4441-ABFE-C419798F66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4B89A82-B7AF-4D6A-967A-4890B302E13B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<sst xmlns="http://schemas.openxmlformats.org/spreadsheetml/2006/main" count="9062" uniqueCount="2113">
  <si>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</si>
  <si>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</si>
  <si>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</si>
  <si>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</si>
  <si>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</si>
  <si>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</si>
  <si>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</si>
  <si>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</si>
  <si>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</si>
  <si>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</si>
  <si>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</si>
  <si>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</si>
  <si>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</si>
  <si>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</si>
  <si>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</si>
  <si>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</si>
  <si>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</si>
  <si>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</si>
  <si>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</si>
  <si>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</si>
  <si>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</si>
  <si>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</si>
  <si>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</si>
  <si>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</si>
  <si>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</si>
  <si>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</si>
  <si>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</si>
  <si>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</si>
  <si>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</si>
  <si>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</si>
  <si>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</si>
  <si>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</si>
  <si>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</si>
  <si>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</si>
  <si>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</si>
  <si>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</si>
  <si>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</si>
  <si>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</si>
  <si>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</si>
  <si>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</si>
  <si>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</si>
  <si>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</si>
  <si>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</si>
  <si>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</si>
  <si>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</si>
  <si>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</si>
  <si>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</si>
  <si>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</si>
  <si>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</si>
  <si>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</si>
  <si>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</si>
  <si>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</si>
  <si>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</si>
  <si>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</si>
  <si>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</si>
  <si>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</si>
  <si>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</si>
  <si>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</si>
  <si>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</si>
  <si>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</si>
  <si>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</si>
  <si>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</si>
  <si>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</si>
  <si>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</si>
  <si>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</si>
  <si>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</si>
  <si>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</si>
  <si>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</si>
  <si>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</si>
  <si>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</si>
  <si>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</si>
  <si>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</si>
  <si>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</si>
  <si>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</si>
  <si>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</si>
  <si>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</si>
  <si>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</si>
  <si>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</si>
  <si>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</si>
  <si>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</si>
  <si>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</si>
  <si>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</si>
  <si>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</si>
  <si>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</si>
  <si>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</si>
  <si>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</si>
  <si>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</si>
  <si>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</si>
  <si>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</si>
  <si>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</si>
  <si>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</si>
  <si>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</si>
  <si>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</si>
  <si>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</si>
  <si>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</si>
  <si>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</si>
  <si>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</si>
  <si>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</si>
  <si>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</si>
  <si>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</si>
  <si>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</si>
  <si>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</si>
  <si>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</si>
  <si>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</si>
  <si>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</si>
  <si>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</si>
  <si>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</si>
  <si>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</si>
  <si>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</si>
  <si>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</si>
  <si>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</si>
  <si>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</si>
  <si>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</si>
  <si>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</si>
  <si>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</si>
  <si>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</si>
  <si>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</si>
  <si>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</si>
  <si>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</si>
  <si>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</si>
  <si>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</si>
  <si>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</si>
  <si>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</si>
  <si>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</si>
  <si>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</si>
  <si>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</si>
  <si>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</si>
  <si>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</si>
  <si>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</si>
  <si>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</si>
  <si>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</si>
  <si>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</si>
  <si>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</si>
  <si>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</si>
  <si>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</si>
  <si>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</si>
  <si>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</si>
  <si>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</si>
  <si>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</si>
  <si>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</si>
  <si>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</si>
  <si>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</si>
  <si>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</si>
  <si>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</si>
  <si>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</si>
  <si>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</si>
  <si>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</si>
  <si>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</si>
  <si>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</si>
  <si>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</si>
  <si>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</si>
  <si>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</si>
  <si>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</si>
  <si>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</si>
  <si>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</si>
  <si>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</si>
  <si>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</si>
  <si>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</si>
  <si>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</si>
  <si>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</si>
  <si>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</si>
  <si>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</si>
  <si>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</si>
  <si>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</si>
  <si>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</si>
  <si>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</si>
  <si>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</si>
  <si>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</si>
  <si>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</si>
  <si>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</si>
  <si>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</si>
  <si>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</si>
  <si>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</si>
  <si>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</si>
  <si>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</si>
  <si>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</si>
  <si>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</si>
  <si>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</si>
  <si>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</si>
  <si>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</si>
  <si>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</si>
  <si>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</si>
  <si>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</si>
  <si>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</si>
  <si>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</si>
  <si>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</si>
  <si>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</si>
  <si>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</si>
  <si>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</si>
  <si>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</si>
  <si>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</si>
  <si>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</si>
  <si>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</si>
  <si>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</si>
  <si>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</si>
  <si>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</si>
  <si>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</si>
  <si>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</si>
  <si>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</si>
  <si>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</si>
  <si>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</si>
  <si>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</si>
  <si>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</si>
  <si>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</si>
  <si>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</si>
  <si>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</si>
  <si>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</si>
  <si>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</si>
  <si>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</si>
  <si>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</si>
  <si>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</si>
  <si>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</si>
  <si>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</si>
  <si>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</si>
  <si>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</si>
  <si>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</si>
  <si>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</si>
  <si>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</si>
  <si>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</si>
  <si>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</si>
  <si>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</si>
  <si>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</si>
  <si>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</si>
  <si>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</si>
  <si>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</si>
  <si>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</si>
  <si>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</si>
  <si>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</si>
  <si>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</si>
  <si>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</si>
  <si>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</si>
  <si>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</si>
  <si>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</si>
  <si>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</si>
  <si>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</si>
  <si>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</si>
  <si>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</si>
  <si>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</si>
  <si>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</si>
  <si>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</si>
  <si>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</si>
  <si>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</si>
  <si>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</si>
  <si>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</si>
  <si>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</si>
  <si>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</si>
  <si>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</si>
  <si>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</si>
  <si>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</si>
  <si>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</si>
  <si>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</si>
  <si>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</si>
  <si>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</si>
  <si>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</si>
  <si>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</si>
  <si>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</si>
  <si>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</si>
  <si>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</si>
  <si>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</si>
  <si>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</si>
  <si>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</si>
  <si>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</si>
  <si>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</si>
  <si>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</si>
  <si>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</si>
  <si>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</si>
  <si>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</si>
  <si>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</si>
  <si>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</si>
  <si>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</si>
  <si>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</si>
  <si>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</si>
  <si>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</si>
  <si>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</si>
  <si>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</si>
  <si>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</si>
  <si>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</si>
  <si>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</si>
  <si>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</si>
  <si>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</si>
  <si>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</si>
  <si>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</si>
  <si>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</si>
  <si>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</si>
  <si>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</si>
  <si>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</si>
  <si>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</si>
  <si>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</si>
  <si>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</si>
  <si>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</si>
  <si>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</si>
  <si>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</si>
  <si>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</si>
  <si>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</si>
  <si>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</si>
  <si>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</si>
  <si>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</si>
  <si>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</si>
  <si>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</si>
  <si>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</si>
  <si>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</si>
  <si>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</si>
  <si>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</si>
  <si>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</si>
  <si>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</si>
  <si>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</si>
  <si>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</si>
  <si>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</si>
  <si>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</si>
  <si>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</si>
  <si>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</si>
  <si>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</si>
  <si>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</si>
  <si>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</si>
  <si>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</si>
  <si>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</si>
  <si>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</si>
  <si>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</si>
  <si>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</si>
  <si>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</si>
  <si>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</si>
  <si>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</si>
  <si>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</si>
  <si>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</si>
  <si>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</si>
  <si>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</si>
  <si>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</si>
  <si>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</si>
  <si>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</si>
  <si>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</si>
  <si>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</si>
  <si>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</si>
  <si>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</si>
  <si>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</si>
  <si>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</si>
  <si>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</si>
  <si>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</si>
  <si>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</si>
  <si>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</si>
  <si>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</si>
  <si>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</si>
  <si>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</si>
  <si>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</si>
  <si>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</si>
  <si>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</si>
  <si>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</si>
  <si>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</si>
  <si>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</si>
  <si>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</si>
  <si>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</si>
  <si>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</si>
  <si>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</si>
  <si>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</si>
  <si>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</si>
  <si>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</si>
  <si>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</si>
  <si>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</si>
  <si>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</si>
  <si>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</si>
  <si>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</si>
  <si>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</si>
  <si>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</si>
  <si>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</si>
  <si>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</si>
  <si>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</si>
  <si>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</si>
  <si>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</si>
  <si>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</si>
  <si>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</si>
  <si>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</si>
  <si>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</si>
  <si>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</si>
  <si>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</si>
  <si>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</si>
  <si>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</si>
  <si>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</si>
  <si>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</si>
  <si>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</si>
  <si>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</si>
  <si>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</si>
  <si>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</si>
  <si>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</si>
  <si>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</si>
  <si>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</si>
  <si>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</si>
  <si>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</si>
  <si>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</si>
  <si>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</si>
  <si>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</si>
  <si>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</si>
  <si>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</si>
  <si>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</si>
  <si>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</si>
  <si>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</si>
  <si>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</si>
  <si>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</si>
  <si>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</si>
  <si>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</si>
  <si>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</si>
  <si>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</si>
  <si>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</si>
  <si>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</si>
  <si>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</si>
  <si>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</si>
  <si>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</si>
  <si>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</si>
  <si>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</si>
  <si>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</si>
  <si>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</si>
  <si>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</si>
  <si>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</si>
  <si>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</si>
  <si>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</si>
  <si>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</si>
  <si>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</si>
  <si>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</si>
  <si>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</si>
  <si>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</si>
  <si>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</si>
  <si>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</si>
  <si>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</si>
  <si>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</si>
  <si>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</si>
  <si>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</si>
  <si>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</si>
  <si>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</si>
  <si>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</si>
  <si>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</si>
  <si>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</si>
  <si>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</si>
  <si>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</si>
  <si>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</si>
  <si>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</si>
  <si>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</si>
  <si>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</si>
  <si>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</si>
  <si>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</si>
  <si>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</si>
  <si>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</si>
  <si>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</si>
  <si>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</si>
  <si>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</si>
  <si>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</si>
  <si>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</si>
  <si>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</si>
  <si>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</si>
  <si>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</si>
  <si>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</si>
  <si>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</si>
  <si>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</si>
  <si>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</si>
  <si>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</si>
  <si>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</si>
  <si>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</si>
  <si>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</si>
  <si>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</si>
  <si>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</si>
  <si>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</si>
  <si>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</si>
  <si>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</si>
  <si>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</si>
  <si>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</si>
  <si>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</si>
  <si>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</si>
  <si>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</si>
  <si>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</si>
  <si>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</si>
  <si>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</si>
  <si>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</si>
  <si>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</si>
  <si>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</si>
  <si>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</si>
  <si>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</si>
  <si>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</si>
  <si>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</si>
  <si>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</si>
  <si>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</si>
  <si>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</si>
  <si>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</si>
  <si>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</si>
  <si>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</si>
  <si>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</si>
  <si>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</si>
  <si>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</si>
  <si>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</si>
  <si>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</si>
  <si>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</si>
  <si>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</si>
  <si>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</si>
  <si>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</si>
  <si>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</si>
  <si>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</si>
  <si>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</si>
  <si>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</si>
  <si>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</si>
  <si>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</si>
  <si>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</si>
  <si>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</si>
  <si>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</si>
  <si>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</si>
  <si>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</si>
  <si>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</si>
  <si>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</si>
  <si>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</si>
  <si>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</si>
  <si>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</si>
  <si>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</si>
  <si>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</si>
  <si>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</si>
  <si>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</si>
  <si>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</si>
  <si>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</si>
  <si>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</si>
  <si>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</si>
  <si>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</si>
  <si>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</si>
  <si>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</si>
  <si>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</si>
  <si>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</si>
  <si>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</si>
  <si>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</si>
  <si>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</si>
  <si>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</si>
  <si>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</si>
  <si>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</si>
  <si>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</si>
  <si>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</si>
  <si>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</si>
  <si>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</si>
  <si>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</si>
  <si>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</si>
  <si>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</si>
  <si>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</si>
  <si>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</si>
  <si>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</si>
  <si>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</si>
  <si>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</si>
  <si>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</si>
  <si>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</si>
  <si>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</si>
  <si>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</si>
  <si>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</si>
  <si>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</si>
  <si>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</si>
  <si>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</si>
  <si>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</si>
  <si>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</si>
  <si>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</si>
  <si>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</si>
  <si>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</si>
  <si>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</si>
  <si>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</si>
  <si>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</si>
  <si>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</si>
  <si>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</si>
  <si>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</si>
  <si>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</si>
  <si>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</si>
  <si>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</si>
  <si>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</si>
  <si>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</si>
  <si>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</si>
  <si>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</si>
  <si>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</si>
  <si>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</si>
  <si>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</si>
  <si>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</si>
  <si>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</si>
  <si>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</si>
  <si>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</si>
  <si>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</si>
  <si>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</si>
  <si>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</si>
  <si>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</si>
  <si>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</si>
  <si>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</si>
  <si>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</si>
  <si>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</si>
  <si>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</si>
  <si>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</si>
  <si>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</si>
  <si>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</si>
  <si>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</si>
  <si>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</si>
  <si>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</si>
  <si>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</si>
  <si>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</si>
  <si>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</si>
  <si>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</si>
  <si>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</si>
  <si>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</si>
  <si>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</si>
  <si>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</si>
  <si>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</si>
  <si>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</si>
  <si>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</si>
  <si>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</si>
  <si>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</si>
  <si>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</si>
  <si>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</si>
  <si>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</si>
  <si>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</si>
  <si>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</si>
  <si>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</si>
  <si>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</si>
  <si>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</si>
  <si>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</si>
  <si>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</si>
  <si>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</si>
  <si>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</si>
  <si>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</si>
  <si>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</si>
  <si>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</si>
  <si>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</si>
  <si>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</si>
  <si>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</si>
  <si>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</si>
  <si>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</si>
  <si>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</si>
  <si>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</si>
  <si>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</si>
  <si>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</si>
  <si>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</si>
  <si>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</si>
  <si>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</si>
  <si>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</si>
  <si>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</si>
  <si>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</si>
  <si>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</si>
  <si>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</si>
  <si>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</si>
  <si>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</si>
  <si>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</si>
  <si>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</si>
  <si>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</si>
  <si>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</si>
  <si>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</si>
  <si>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</si>
  <si>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</si>
  <si>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</si>
  <si>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</si>
  <si>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</si>
  <si>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</si>
  <si>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</si>
  <si>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</si>
  <si>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</si>
  <si>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</si>
  <si>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</si>
  <si>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</si>
  <si>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</si>
  <si>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</si>
  <si>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</si>
  <si>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</si>
  <si>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</si>
  <si>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</si>
  <si>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</si>
  <si>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</si>
  <si>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</si>
  <si>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</si>
  <si>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</si>
  <si>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</si>
  <si>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</si>
  <si>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</si>
  <si>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</si>
  <si>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</si>
  <si>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</si>
  <si>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</si>
  <si>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</si>
  <si>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</si>
  <si>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</si>
  <si>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</si>
  <si>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</si>
  <si>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</si>
  <si>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</si>
  <si>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</si>
  <si>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</si>
  <si>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</si>
  <si>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</si>
  <si>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</si>
  <si>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</si>
  <si>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</si>
  <si>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</si>
  <si>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</si>
  <si>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</si>
  <si>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</si>
  <si>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</si>
  <si>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</si>
  <si>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</si>
  <si>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</si>
  <si>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</si>
  <si>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</si>
  <si>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</si>
  <si>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</si>
  <si>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</si>
  <si>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</si>
  <si>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</si>
  <si>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</si>
  <si>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</si>
  <si>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</si>
  <si>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</si>
  <si>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</si>
  <si>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</si>
  <si>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</si>
  <si>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</si>
  <si>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</si>
  <si>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</si>
  <si>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</si>
  <si>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</si>
  <si>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</si>
  <si>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</si>
  <si>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</si>
  <si>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</si>
  <si>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</si>
  <si>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</si>
  <si>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</si>
  <si>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</si>
  <si>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</si>
  <si>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</si>
  <si>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</si>
  <si>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</si>
  <si>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</si>
  <si>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</si>
  <si>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</si>
  <si>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</si>
  <si>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</si>
  <si>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</si>
  <si>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</si>
  <si>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</si>
  <si>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</si>
  <si>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</si>
  <si>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</si>
  <si>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</si>
  <si>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</si>
  <si>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</si>
  <si>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</si>
  <si>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</si>
  <si>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</si>
  <si>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</si>
  <si>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</si>
  <si>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</si>
  <si>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</si>
  <si>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</si>
  <si>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</si>
  <si>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</si>
  <si>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</si>
  <si>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</si>
  <si>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</si>
  <si>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</si>
  <si>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</si>
  <si>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</si>
  <si>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</si>
  <si>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</si>
  <si>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</si>
  <si>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</si>
  <si>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</si>
  <si>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</si>
  <si>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</si>
  <si>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</si>
  <si>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</si>
  <si>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</si>
  <si>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</si>
  <si>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</si>
  <si>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</si>
  <si>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</si>
  <si>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</si>
  <si>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</si>
  <si>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</si>
  <si>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</si>
  <si>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</si>
  <si>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</si>
  <si>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</si>
  <si>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</si>
  <si>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</si>
  <si>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</si>
  <si>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</si>
  <si>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</si>
  <si>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</si>
  <si>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</si>
  <si>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</si>
  <si>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</si>
  <si>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</si>
  <si>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</si>
  <si>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</si>
  <si>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</si>
  <si>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</si>
  <si>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</si>
  <si>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</si>
  <si>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</si>
  <si>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</si>
  <si>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</si>
  <si>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</si>
  <si>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</si>
  <si>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</si>
  <si>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</si>
  <si>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</si>
  <si>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</si>
  <si>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</si>
  <si>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</si>
  <si>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</si>
  <si>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</si>
  <si>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</si>
  <si>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</si>
  <si>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</si>
  <si>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</si>
  <si>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</si>
  <si>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</si>
  <si>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</si>
  <si>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</si>
  <si>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</si>
  <si>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</si>
  <si>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</si>
  <si>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</si>
  <si>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</si>
  <si>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</si>
  <si>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</si>
  <si>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</si>
  <si>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</si>
  <si>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</si>
  <si>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</si>
  <si>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</si>
  <si>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</si>
  <si>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</si>
  <si>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</si>
  <si>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</si>
  <si>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</si>
  <si>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</si>
  <si>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</si>
  <si>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</si>
  <si>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</si>
  <si>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</si>
  <si>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</si>
  <si>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</si>
  <si>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</si>
  <si>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</si>
  <si>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</si>
  <si>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</si>
  <si>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</si>
  <si>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</si>
  <si>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</si>
  <si>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</si>
  <si>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</si>
  <si>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</si>
  <si>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</si>
  <si>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</si>
  <si>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</si>
  <si>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</si>
  <si>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</si>
  <si>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</si>
  <si>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</si>
  <si>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</si>
  <si>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</si>
  <si>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</si>
  <si>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</si>
  <si>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</si>
  <si>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</si>
  <si>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</si>
  <si>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</si>
  <si>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</si>
  <si>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</si>
  <si>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</si>
  <si>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</si>
  <si>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</si>
  <si>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</si>
  <si>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</si>
  <si>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</si>
  <si>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</si>
  <si>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</si>
  <si>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</si>
  <si>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</si>
  <si>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</si>
  <si>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</si>
  <si>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</si>
  <si>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</si>
  <si>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</si>
  <si>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</si>
  <si>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</si>
  <si>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</si>
  <si>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</si>
  <si>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</si>
  <si>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</si>
  <si>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</si>
  <si>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</si>
  <si>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</si>
  <si>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</si>
  <si>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</si>
  <si>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</si>
  <si>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</si>
  <si>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</si>
  <si>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</si>
  <si>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</si>
  <si>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</si>
  <si>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</si>
  <si>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</si>
  <si>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</si>
  <si>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</si>
  <si>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</si>
  <si>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</si>
  <si>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</si>
  <si>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</si>
  <si>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</si>
  <si>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</si>
  <si>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</si>
  <si>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</si>
  <si>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</si>
  <si>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</si>
  <si>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</si>
  <si>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</si>
  <si>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</si>
  <si>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</si>
  <si>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</si>
  <si>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</si>
  <si>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</si>
  <si>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</si>
  <si>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</si>
  <si>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</si>
  <si>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</si>
  <si>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</si>
  <si>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</si>
  <si>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</si>
  <si>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</si>
  <si>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</si>
  <si>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</si>
  <si>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</si>
  <si>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</si>
  <si>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</si>
  <si>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</si>
  <si>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</si>
  <si>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</si>
  <si>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</si>
  <si>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</si>
  <si>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</si>
  <si>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</si>
  <si>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</si>
  <si>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</si>
  <si>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</si>
  <si>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</si>
  <si>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</si>
  <si>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</si>
  <si>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</si>
  <si>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</si>
  <si>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</si>
  <si>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</si>
  <si>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</si>
  <si>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</si>
  <si>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</si>
  <si>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</si>
  <si>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</si>
  <si>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</si>
  <si>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</si>
  <si>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</si>
  <si>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</si>
  <si>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</si>
  <si>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</si>
  <si>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</si>
  <si>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</si>
  <si>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</si>
  <si>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</si>
  <si>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</si>
  <si>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</si>
  <si>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</si>
  <si>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</si>
  <si>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</si>
  <si>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</si>
  <si>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</si>
  <si>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</si>
  <si>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</si>
  <si>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</si>
  <si>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</si>
  <si>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</si>
  <si>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</si>
  <si>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</si>
  <si>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</si>
  <si>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</si>
  <si>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</si>
  <si>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</si>
  <si>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</si>
  <si>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</si>
  <si>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</si>
  <si>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</si>
  <si>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</si>
  <si>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</si>
  <si>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</si>
  <si>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</si>
  <si>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</si>
  <si>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</si>
  <si>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</si>
  <si>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</si>
  <si>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</si>
  <si>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</si>
  <si>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</si>
  <si>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</si>
  <si>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</si>
  <si>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</si>
  <si>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</si>
  <si>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</si>
  <si>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</si>
  <si>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</si>
  <si>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</si>
  <si>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</si>
  <si>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</si>
  <si>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</si>
  <si>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</si>
  <si>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</si>
  <si>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</si>
  <si>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</si>
  <si>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</si>
  <si>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</si>
  <si>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</si>
  <si>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</si>
  <si>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</si>
  <si>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</si>
  <si>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</si>
  <si>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</si>
  <si>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</si>
  <si>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</si>
  <si>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</si>
  <si>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</si>
  <si>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</si>
  <si>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</si>
  <si>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</si>
  <si>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</si>
  <si>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</si>
  <si>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</si>
  <si>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</si>
  <si>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</si>
  <si>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</si>
  <si>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</si>
  <si>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</si>
  <si>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</si>
  <si>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</si>
  <si>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</si>
  <si>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</si>
  <si>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</si>
  <si>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</si>
  <si>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</si>
  <si>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</si>
  <si>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</si>
  <si>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</si>
  <si>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</si>
  <si>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</si>
  <si>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</si>
  <si>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</si>
  <si>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</si>
  <si>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</si>
  <si>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</si>
  <si>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</si>
  <si>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</si>
  <si>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</si>
  <si>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</si>
  <si>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</si>
  <si>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</si>
  <si>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</si>
  <si>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</si>
  <si>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</si>
  <si>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</si>
  <si>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</si>
  <si>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</si>
  <si>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</si>
  <si>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</si>
  <si>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</si>
  <si>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</si>
  <si>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</si>
  <si>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</si>
  <si>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</si>
  <si>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</si>
  <si>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</si>
  <si>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</si>
  <si>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</si>
  <si>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</si>
  <si>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</si>
  <si>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</si>
  <si>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</si>
  <si>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</si>
  <si>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</si>
  <si>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</si>
  <si>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</si>
  <si>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</si>
  <si>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</si>
  <si>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</si>
  <si>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</si>
  <si>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</si>
  <si>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</si>
  <si>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</si>
  <si>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</si>
  <si>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</si>
  <si>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</si>
  <si>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</si>
  <si>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</si>
  <si>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</si>
  <si>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</si>
  <si>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</si>
  <si>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</si>
  <si>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</si>
  <si>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</si>
  <si>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</si>
  <si>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</si>
  <si>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</si>
  <si>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</si>
  <si>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</si>
  <si>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</si>
  <si>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</si>
  <si>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</si>
  <si>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</si>
  <si>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</si>
  <si>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</si>
  <si>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</si>
  <si>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</si>
  <si>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</si>
  <si>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</si>
  <si>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</si>
  <si>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</si>
  <si>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</si>
  <si>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</si>
  <si>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</si>
  <si>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</si>
  <si>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</si>
  <si>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</si>
  <si>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</si>
  <si>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</si>
  <si>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</si>
  <si>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</si>
  <si>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</si>
  <si>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</si>
  <si>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</si>
  <si>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</si>
  <si>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</si>
  <si>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</si>
  <si>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</si>
  <si>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</si>
  <si>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</si>
  <si>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</si>
  <si>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</si>
  <si>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</si>
  <si>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</si>
  <si>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</si>
  <si>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</si>
  <si>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</si>
  <si>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</si>
  <si>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</si>
  <si>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</si>
  <si>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</si>
  <si>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</si>
  <si>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</si>
  <si>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</si>
  <si>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</si>
  <si>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</si>
  <si>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</si>
  <si>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</si>
  <si>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</si>
  <si>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</si>
  <si>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</si>
  <si>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</si>
  <si>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</si>
  <si>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</si>
  <si>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</si>
  <si>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</si>
  <si>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</si>
  <si>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</si>
  <si>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</si>
  <si>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</si>
  <si>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</si>
  <si>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</si>
  <si>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</si>
  <si>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</si>
  <si>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</si>
  <si>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</si>
  <si>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</si>
  <si>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</si>
  <si>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</si>
  <si>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</si>
  <si>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</si>
  <si>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</si>
  <si>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</si>
  <si>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</si>
  <si>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</si>
  <si>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</si>
  <si>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</si>
  <si>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</si>
  <si>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</si>
  <si>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</si>
  <si>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</si>
  <si>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</si>
  <si>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</si>
  <si>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</si>
  <si>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</si>
  <si>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</si>
  <si>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</si>
  <si>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</si>
  <si>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</si>
  <si>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</si>
  <si>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</si>
  <si>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</si>
  <si>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</si>
  <si>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</si>
  <si>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</si>
  <si>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</si>
  <si>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</si>
  <si>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</si>
  <si>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</si>
  <si>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</si>
  <si>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</si>
  <si>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</si>
  <si>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</si>
  <si>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</si>
  <si>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</si>
  <si>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</si>
  <si>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</si>
  <si>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</si>
  <si>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</si>
  <si>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</si>
  <si>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</si>
  <si>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</si>
  <si>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</si>
  <si>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</si>
  <si>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</si>
  <si>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</si>
  <si>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</si>
  <si>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</si>
  <si>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</si>
  <si>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</si>
  <si>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</si>
  <si>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</si>
  <si>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</si>
  <si>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</si>
  <si>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</si>
  <si>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</si>
  <si>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</si>
  <si>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</si>
  <si>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</si>
  <si>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</si>
  <si>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</si>
  <si>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</si>
  <si>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</si>
  <si>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</si>
  <si>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</si>
  <si>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</si>
  <si>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</si>
  <si>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</si>
  <si>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</si>
  <si>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</si>
  <si>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</si>
  <si>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</si>
  <si>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</si>
  <si>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</si>
  <si>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</si>
  <si>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</si>
  <si>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</si>
  <si>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</si>
  <si>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</si>
  <si>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</si>
  <si>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</si>
  <si>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</si>
  <si>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</si>
  <si>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</si>
  <si>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</si>
  <si>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</si>
  <si>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</si>
  <si>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</si>
  <si>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</si>
  <si>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</si>
  <si>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</si>
  <si>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</si>
  <si>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</si>
  <si>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</si>
  <si>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</si>
  <si>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</si>
  <si>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</si>
  <si>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</si>
  <si>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</si>
  <si>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</si>
  <si>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</si>
  <si>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</si>
  <si>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</si>
  <si>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</si>
  <si>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</si>
  <si>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</si>
  <si>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</si>
  <si>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</si>
  <si>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</si>
  <si>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</si>
  <si>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</si>
  <si>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</si>
  <si>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</si>
  <si>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</si>
  <si>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</si>
  <si>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</si>
  <si>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</si>
  <si>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</si>
  <si>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</si>
  <si>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</si>
  <si>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</si>
  <si>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</si>
  <si>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</si>
  <si>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</si>
  <si>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</si>
  <si>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</si>
  <si>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</si>
  <si>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</si>
  <si>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</si>
  <si>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</si>
  <si>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</si>
  <si>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</si>
  <si>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</si>
  <si>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</si>
  <si>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</si>
  <si>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</si>
  <si>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</si>
  <si>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</si>
  <si>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</si>
  <si>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</si>
  <si>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</si>
  <si>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</si>
  <si>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</si>
  <si>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</si>
  <si>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</si>
  <si>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</si>
  <si>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</si>
  <si>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</si>
  <si>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</si>
  <si>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</si>
  <si>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</si>
  <si>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</si>
  <si>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</si>
  <si>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</si>
  <si>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</si>
  <si>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</si>
  <si>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</si>
  <si>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</si>
  <si>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</si>
  <si>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</si>
  <si>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</si>
  <si>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</si>
  <si>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</si>
  <si>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</si>
  <si>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</si>
  <si>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</si>
  <si>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</si>
  <si>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</si>
  <si>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</si>
  <si>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</si>
  <si>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</si>
  <si>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</si>
  <si>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</si>
  <si>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</si>
  <si>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</si>
  <si>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</si>
  <si>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</si>
  <si>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</si>
  <si>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</si>
  <si>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</si>
  <si>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</si>
  <si>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</si>
  <si>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</si>
  <si>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</si>
  <si>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</si>
  <si>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</si>
  <si>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</si>
  <si>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</si>
  <si>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</si>
  <si>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</si>
  <si>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</si>
  <si>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</si>
  <si>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</si>
  <si>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</si>
  <si>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</si>
  <si>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</si>
  <si>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</si>
  <si>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</si>
  <si>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</si>
  <si>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</si>
  <si>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</si>
  <si>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</si>
  <si>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</si>
  <si>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</si>
  <si>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</si>
  <si>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</si>
  <si>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</si>
  <si>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</si>
  <si>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</si>
  <si>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</si>
  <si>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</si>
  <si>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</si>
  <si>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</si>
  <si>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</si>
  <si>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</si>
  <si>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</si>
  <si>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</si>
  <si>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</si>
  <si>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</si>
  <si>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</si>
  <si>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</si>
  <si>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</si>
  <si>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</si>
  <si>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</si>
  <si>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</si>
  <si>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</si>
  <si>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</si>
  <si>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</si>
  <si>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</si>
  <si>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</si>
  <si>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</si>
  <si>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</si>
  <si>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</si>
  <si>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</si>
  <si>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</si>
  <si>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</si>
  <si>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</si>
  <si>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</si>
  <si>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</si>
  <si>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</si>
  <si>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</si>
  <si>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</si>
  <si>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</si>
  <si>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</si>
  <si>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</si>
  <si>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</si>
  <si>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</si>
  <si>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</si>
  <si>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</si>
  <si>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</si>
  <si>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</si>
  <si>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</si>
  <si>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</si>
  <si>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</si>
  <si>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</si>
  <si>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</si>
  <si>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</si>
  <si>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</si>
  <si>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</si>
  <si>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</si>
  <si>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</si>
  <si>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</si>
  <si>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</si>
  <si>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</si>
  <si>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</si>
  <si>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</si>
  <si>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</si>
  <si>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</si>
  <si>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</si>
  <si>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</si>
  <si>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</si>
  <si>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</si>
  <si>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</si>
  <si>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</si>
  <si>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</si>
  <si>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</si>
  <si>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</si>
  <si>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</si>
  <si>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</si>
  <si>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</si>
  <si>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</si>
  <si>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</si>
  <si>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</si>
  <si>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</si>
  <si>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</si>
  <si>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</si>
  <si>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</si>
  <si>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</si>
  <si>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</si>
  <si>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</si>
  <si>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</si>
  <si>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</si>
  <si>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</si>
  <si>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</si>
  <si>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</si>
  <si>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</si>
  <si>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</si>
  <si>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</si>
  <si>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</si>
  <si>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</si>
  <si>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</si>
  <si>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</si>
  <si>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</si>
  <si>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</si>
  <si>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</si>
  <si>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</si>
  <si>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</si>
  <si>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</si>
  <si>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</si>
  <si>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</si>
  <si>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</si>
  <si>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</si>
  <si>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</si>
  <si>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</si>
  <si>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</si>
  <si>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</si>
  <si>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</si>
  <si>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</si>
  <si>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</si>
  <si>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</si>
  <si>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</si>
  <si>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</si>
  <si>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</si>
  <si>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</si>
  <si>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</si>
  <si>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</si>
  <si>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</si>
  <si>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</si>
  <si>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</si>
  <si>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</si>
  <si>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</si>
  <si>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</si>
  <si>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</si>
  <si>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</si>
  <si>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</si>
  <si>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</si>
  <si>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</si>
  <si>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</si>
  <si>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</si>
  <si>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</si>
  <si>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</si>
  <si>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</si>
  <si>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</si>
  <si>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</si>
  <si>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</si>
  <si>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</si>
  <si>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</si>
  <si>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</si>
  <si>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</si>
  <si>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</si>
  <si>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</si>
  <si>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</si>
  <si>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</si>
  <si>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</si>
  <si>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</si>
  <si>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</si>
  <si>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</si>
  <si>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</si>
  <si>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</si>
  <si>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</si>
  <si>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</si>
  <si>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</si>
  <si>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</si>
  <si>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</si>
  <si>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</si>
  <si>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</si>
  <si>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</si>
  <si>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</si>
  <si>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</si>
  <si>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</si>
  <si>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</si>
  <si>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</si>
  <si>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</si>
  <si>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</si>
  <si>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</si>
  <si>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</si>
  <si>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</si>
  <si>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</si>
  <si>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</si>
  <si>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</si>
  <si>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</si>
  <si>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</si>
  <si>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</si>
  <si>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</si>
  <si>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</si>
  <si>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</si>
  <si>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</si>
  <si>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</si>
  <si>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</si>
  <si>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</si>
  <si>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</si>
  <si>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</si>
  <si>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</si>
  <si>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</si>
  <si>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</si>
  <si>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</si>
  <si>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</si>
  <si>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</si>
  <si>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</si>
  <si>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</si>
  <si>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</si>
  <si>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</si>
  <si>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</si>
  <si>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</si>
  <si>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</si>
  <si>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</si>
  <si>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</si>
  <si>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</si>
  <si>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</si>
  <si>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</si>
  <si>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</si>
  <si>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</si>
  <si>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</si>
  <si>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</si>
  <si>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</si>
  <si>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</si>
  <si>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</si>
  <si>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</si>
  <si>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</si>
  <si>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</si>
  <si>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</si>
  <si>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</si>
  <si>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</si>
  <si>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</si>
  <si>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</si>
  <si>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</si>
  <si>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</si>
  <si>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</si>
  <si>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</si>
  <si>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</si>
  <si>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</si>
  <si>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</si>
  <si>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</si>
  <si>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</si>
  <si>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</si>
  <si>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</si>
  <si>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</si>
  <si>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</si>
  <si>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</si>
  <si>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</si>
  <si>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</si>
  <si>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</si>
  <si>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</si>
  <si>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</si>
  <si>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</si>
  <si>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</si>
  <si>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</si>
  <si>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</si>
  <si>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</si>
  <si>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</si>
  <si>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</si>
  <si>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</si>
  <si>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</si>
  <si>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</si>
  <si>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</si>
  <si>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</si>
  <si>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</si>
  <si>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</si>
  <si>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</si>
  <si>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</si>
  <si>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</si>
  <si>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</si>
  <si>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</si>
  <si>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</si>
  <si>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</si>
  <si>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</si>
  <si>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</si>
  <si>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</si>
  <si>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</si>
  <si>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</si>
  <si>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</si>
  <si>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</si>
  <si>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</si>
  <si>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</si>
  <si>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</si>
  <si>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</si>
  <si>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</si>
  <si>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</si>
  <si>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</si>
  <si>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</si>
  <si>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</si>
  <si>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</si>
  <si>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</si>
  <si>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</si>
  <si>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</si>
  <si>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</si>
  <si>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</si>
  <si>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</si>
  <si>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</si>
  <si>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</si>
  <si>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</si>
  <si>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</si>
  <si>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</si>
  <si>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</si>
  <si>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</si>
  <si>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</si>
  <si>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</si>
  <si>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</si>
  <si>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</si>
  <si>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</si>
  <si>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</si>
  <si>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</si>
  <si>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</si>
  <si>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</si>
  <si>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</si>
  <si>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</si>
  <si>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</si>
  <si>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</si>
  <si>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</si>
  <si>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</si>
  <si>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</si>
  <si>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</si>
  <si>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</si>
  <si>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</si>
  <si>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</si>
  <si>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</si>
  <si>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</si>
  <si>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</si>
  <si>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</si>
  <si>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</si>
  <si>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</si>
  <si>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</si>
  <si>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</si>
  <si>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</si>
  <si>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</si>
  <si>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</si>
  <si>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</si>
  <si>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</si>
  <si>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</si>
  <si>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</si>
  <si>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</si>
  <si>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</si>
  <si>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</si>
  <si>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</si>
  <si>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</si>
  <si>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</si>
  <si>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</si>
  <si>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</si>
  <si>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</si>
  <si>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</si>
  <si>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</si>
  <si>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</si>
  <si>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</si>
  <si>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</si>
  <si>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</si>
  <si>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</si>
  <si>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</si>
  <si>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</si>
  <si>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</si>
  <si>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</si>
  <si>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</si>
  <si>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</si>
  <si>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</si>
  <si>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</si>
  <si>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</si>
  <si>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</si>
  <si>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</si>
  <si>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</si>
  <si>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</si>
  <si>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</si>
  <si>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</si>
  <si>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</si>
  <si>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</si>
  <si>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</si>
  <si>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</si>
  <si>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</si>
  <si>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</si>
  <si>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</si>
  <si>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</si>
  <si>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</si>
  <si>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</si>
  <si>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</si>
  <si>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</si>
  <si>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</si>
  <si>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</si>
  <si>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</si>
  <si>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</si>
  <si>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</si>
  <si>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</si>
  <si>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</si>
  <si>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</si>
  <si>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</si>
  <si>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</si>
  <si>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</si>
  <si>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</si>
  <si>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</si>
  <si>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</si>
  <si>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</si>
  <si>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</si>
  <si>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</si>
  <si>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</si>
  <si>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</si>
  <si>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</si>
  <si>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</si>
  <si>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</si>
  <si>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</si>
  <si>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</si>
  <si>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</si>
  <si>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</si>
  <si>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</si>
  <si>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</si>
  <si>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</si>
  <si>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</si>
  <si>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</si>
  <si>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</si>
  <si>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</si>
  <si>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</si>
  <si>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</si>
  <si>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</si>
  <si>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</si>
  <si>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</si>
  <si>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</si>
  <si>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</si>
  <si>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</si>
  <si>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</si>
  <si>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</si>
  <si>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</si>
  <si>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</si>
  <si>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</si>
  <si>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</si>
  <si>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</si>
  <si>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</si>
  <si>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</si>
  <si>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</si>
  <si>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</si>
  <si>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</si>
  <si>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</si>
  <si>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</si>
  <si>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</si>
  <si>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</si>
  <si>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</si>
  <si>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</si>
  <si>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</si>
  <si>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</si>
  <si>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</si>
  <si>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</si>
  <si>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</si>
  <si>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</si>
  <si>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</si>
  <si>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</si>
  <si>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</si>
  <si>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</si>
  <si>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</si>
  <si>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</si>
  <si>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</si>
  <si>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</si>
  <si>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</si>
  <si>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</si>
  <si>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</si>
  <si>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</si>
  <si>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</si>
  <si>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</si>
  <si>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</si>
  <si>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</si>
  <si>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</si>
  <si>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</si>
  <si>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</si>
  <si>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</si>
  <si>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</si>
  <si>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</si>
  <si>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</si>
  <si>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</si>
  <si>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</si>
  <si>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</si>
  <si>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</si>
  <si>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</si>
  <si>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</si>
  <si>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</si>
  <si>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</si>
  <si>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</si>
  <si>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</si>
  <si>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</si>
  <si>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</si>
  <si>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</si>
  <si>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</si>
  <si>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</si>
  <si>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</si>
  <si>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</si>
  <si>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</si>
  <si>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</si>
  <si>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</si>
  <si>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</si>
  <si>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</si>
  <si>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</si>
  <si>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</si>
  <si>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</si>
  <si>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</si>
  <si>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</si>
  <si>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</si>
  <si>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</si>
  <si>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</si>
  <si>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</si>
  <si>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</si>
  <si>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</si>
  <si>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</si>
  <si>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</si>
  <si>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</si>
  <si>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</si>
  <si>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</si>
  <si>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</si>
  <si>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</si>
  <si>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</si>
  <si>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</si>
  <si>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</si>
  <si>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</si>
  <si>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</si>
  <si>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</si>
  <si>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</si>
  <si>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</si>
  <si>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</si>
  <si>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</si>
  <si>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</si>
  <si>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</si>
  <si>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</si>
  <si>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</si>
  <si>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</si>
  <si>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</si>
  <si>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</si>
  <si>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</si>
  <si>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</si>
  <si>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</si>
  <si>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</si>
  <si>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</si>
  <si>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</si>
  <si>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</si>
  <si>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</si>
  <si>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</si>
  <si>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</si>
  <si>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</si>
  <si>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</si>
  <si>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</si>
  <si>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</si>
  <si>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</si>
  <si>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</si>
  <si>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</si>
  <si>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</si>
  <si>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</si>
  <si>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</si>
  <si>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</si>
  <si>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</si>
  <si>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</si>
  <si>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</si>
  <si>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</si>
  <si>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</si>
  <si>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</si>
  <si>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</si>
  <si>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</si>
  <si>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</si>
  <si>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</si>
  <si>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</si>
  <si>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</si>
  <si>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</si>
  <si>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</si>
  <si>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</si>
  <si>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</si>
  <si>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</si>
  <si>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</si>
  <si>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</si>
  <si>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</si>
  <si>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</si>
  <si>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</si>
  <si>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</si>
  <si>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</si>
  <si>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</si>
  <si>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</si>
  <si>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</si>
  <si>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</si>
  <si>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</si>
  <si>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</si>
  <si>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</si>
  <si>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</si>
  <si>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</si>
  <si>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</si>
  <si>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</si>
  <si>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</si>
  <si>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</si>
  <si>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</si>
  <si>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</si>
  <si>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</si>
  <si>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</si>
  <si>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</si>
  <si>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</si>
  <si>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</si>
  <si>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</si>
  <si>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</si>
  <si>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</si>
  <si>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</si>
  <si>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</si>
  <si>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</si>
  <si>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</si>
  <si>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</si>
  <si>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</si>
  <si>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</si>
  <si>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</si>
  <si>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</si>
  <si>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</si>
  <si>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</si>
  <si>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</si>
  <si>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</si>
  <si>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</si>
  <si>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</si>
  <si>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</si>
  <si>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</si>
  <si>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</si>
  <si>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</si>
  <si>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</si>
  <si>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</si>
  <si>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</si>
  <si>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</si>
  <si>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</si>
  <si>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</si>
  <si>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</si>
  <si>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</si>
  <si>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</si>
  <si>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</si>
  <si>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</si>
  <si>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</si>
  <si>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</si>
  <si>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</si>
  <si>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</si>
  <si>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</si>
  <si>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</si>
  <si>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</si>
  <si>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</si>
  <si>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</si>
  <si>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</si>
  <si>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</si>
  <si>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</si>
  <si>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</si>
  <si>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</si>
  <si>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</si>
  <si>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</si>
  <si>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</si>
  <si>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</si>
  <si>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</si>
  <si>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</si>
  <si>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</si>
  <si>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</si>
  <si>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</si>
  <si>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</si>
  <si>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</si>
  <si>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</si>
  <si>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</si>
  <si>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</si>
  <si>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</si>
  <si>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</si>
  <si>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</si>
  <si>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</si>
  <si>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</si>
  <si>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</si>
  <si>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</si>
  <si>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</si>
  <si>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</si>
  <si>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</si>
  <si>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</si>
  <si>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</si>
  <si>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</si>
  <si>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</si>
  <si>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</si>
  <si>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</si>
  <si>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</si>
  <si>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</si>
  <si>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</si>
  <si>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</si>
  <si>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</si>
  <si>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</si>
  <si>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</si>
  <si>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</si>
  <si>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</si>
  <si>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</si>
  <si>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</si>
  <si>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</si>
  <si>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</si>
  <si>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</si>
  <si>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</si>
  <si>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</si>
  <si>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</si>
  <si>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</si>
  <si>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</si>
  <si>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</si>
  <si>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</si>
  <si>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</si>
  <si>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</si>
  <si>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</si>
  <si>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</si>
  <si>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</si>
  <si>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</si>
  <si>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</si>
  <si>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</si>
  <si>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</si>
  <si>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</si>
  <si>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</si>
  <si>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</si>
  <si>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</si>
  <si>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</si>
  <si>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</si>
  <si>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</si>
  <si>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(All)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</si>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</sst>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9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2-4CE8-B348-37385FE8B6FE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2-4CE8-B348-37385FE8B6FE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2-4CE8-B348-37385FE8B6FE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0-45A8-89C6-BAFD4FC8C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406608"/>
        <c:axId val="1089294544"/>
      </c:barChart>
      <c:catAx>
        <c:axId val="3724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94544"/>
        <c:crosses val="autoZero"/>
        <c:auto val="1"/>
        <c:lblAlgn val="ctr"/>
        <c:lblOffset val="100"/>
        <c:noMultiLvlLbl val="0"/>
      </c:catAx>
      <c:valAx>
        <c:axId val="10892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F-4FE9-AE5F-A7BA2E55B800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F-4FE9-AE5F-A7BA2E55B800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CF-4FE9-AE5F-A7BA2E55B800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CF-4FE9-AE5F-A7BA2E55B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408048"/>
        <c:axId val="1089289584"/>
      </c:barChart>
      <c:catAx>
        <c:axId val="3724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89584"/>
        <c:crosses val="autoZero"/>
        <c:auto val="1"/>
        <c:lblAlgn val="ctr"/>
        <c:lblOffset val="100"/>
        <c:noMultiLvlLbl val="0"/>
      </c:catAx>
      <c:valAx>
        <c:axId val="10892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[CrowdfundingBook.xlsx]LaunchDataOut!PivotTable10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LaunchDataOut!$B$4:$B$5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LaunchDataOut!$A$6:$A$18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LaunchDataOut!$B$6:$B$18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7-4DFD-84EC-2F722C829D96}"/>
            </c:ext>
          </c:extLst>
        </c:ser>
        <c:ser>
          <c:idx val="1"/>
          <c:order val="1"/>
          <c:tx>
            <c:strRef>
              <c:f>LaunchDataOut!$C$4:$C$5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LaunchDataOut!$A$6:$A$18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LaunchDataOut!$C$6:$C$18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7-4DFD-84EC-2F722C829D96}"/>
            </c:ext>
          </c:extLst>
        </c:ser>
        <c:ser>
          <c:idx val="2"/>
          <c:order val="2"/>
          <c:tx>
            <c:strRef>
              <c:f>LaunchDataOut!$D$4:$D$5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LaunchDataOut!$A$6:$A$18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LaunchDataOut!$D$6:$D$18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7-4DFD-84EC-2F722C829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623392"/>
        <c:axId val="1146084832"/>
      </c:lineChart>
      <c:catAx>
        <c:axId val="5746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84832"/>
        <c:crosses val="autoZero"/>
        <c:auto val="1"/>
        <c:lblAlgn val="ctr"/>
        <c:lblOffset val="100"/>
        <c:noMultiLvlLbl val="0"/>
      </c:catAx>
      <c:valAx>
        <c:axId val="11460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GoalOut!$F$1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GoalOut!$A$2:$A$13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75-4C60-82DE-DA655A237E1A}"/>
            </c:ext>
          </c:extLst>
        </c:ser>
        <c:ser>
          <c:idx val="5"/>
          <c:order val="5"/>
          <c:tx>
            <c:strRef>
              <c:f>GoalOut!$G$1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GoalOut!$A$2:$A$13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75-4C60-82DE-DA655A237E1A}"/>
            </c:ext>
          </c:extLst>
        </c:ser>
        <c:ser>
          <c:idx val="6"/>
          <c:order val="6"/>
          <c:tx>
            <c:strRef>
              <c:f>GoalOut!$H$1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GoalOut!$A$2:$A$13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75-4C60-82DE-DA655A237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000047"/>
        <c:axId val="18635707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GoalOut!$B$1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GoalOut!$A$2:$A$13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GoalOut!$B$2:$B$13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A75-4C60-82DE-DA655A237E1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A75-4C60-82DE-DA655A237E1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75-4C60-82DE-DA655A237E1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75-4C60-82DE-DA655A237E1A}"/>
                  </c:ext>
                </c:extLst>
              </c15:ser>
            </c15:filteredLineSeries>
          </c:ext>
        </c:extLst>
      </c:lineChart>
      <c:catAx>
        <c:axId val="176000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70703"/>
        <c:crosses val="autoZero"/>
        <c:auto val="1"/>
        <c:lblAlgn val="ctr"/>
        <c:lblOffset val="100"/>
        <c:noMultiLvlLbl val="0"/>
      </c:catAx>
      <c:valAx>
        <c:axId val="18635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0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0</xdr:row>
      <xdr:rowOff>140970</xdr:rowOff>
    </xdr:from>
    <xdr:to>
      <xdr:col>18</xdr:col>
      <xdr:colOff>365760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CADD7-96B6-85FF-F5E9-34913DCAA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156210</xdr:colOff>
      <xdr:row>3</xdr:row>
      <xdr:rowOff>106680</xdr:rowOff>
    </xdr:from>
    <xdr:to>
      <xdr:col>12</xdr:col>
      <xdr:colOff>45720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F3782E-C2E9-2805-DEDB-C55B0ACEE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121920</xdr:rowOff>
    </xdr:from>
    <xdr:to>
      <xdr:col>10</xdr:col>
      <xdr:colOff>1036320</xdr:colOff>
      <xdr:row>17</xdr:row>
      <xdr:rowOff>186690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F5E5F8-4E93-34AE-ABA1-62A199A78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13</xdr:row>
      <xdr:rowOff>125730</xdr:rowOff>
    </xdr:from>
    <xdr:to>
      <xdr:col>8</xdr:col>
      <xdr:colOff>121920</xdr:colOff>
      <xdr:row>32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619E2-1980-3B44-2A7C-E09543636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sar Rojas" refreshedDate="45269.724989236114" createdVersion="8" refreshedVersion="8" minRefreshableVersion="3" recordCount="1000" xr:uid="{86DAA147-4F25-4FDE-AE9D-ACBE591A274A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esar Rojas" refreshedDate="45269.779964467591" backgroundQuery="1" createdVersion="8" refreshedVersion="8" minRefreshableVersion="3" recordCount="0" supportSubquery="1" supportAdvancedDrill="1" xr:uid="{77B01108-AE83-4D6D-9EA3-A5AAA50BC164}">
  <cacheSource type="external" connectionId="1"/>
  <cacheFields count="5">
    <cacheField name="[Measures].[Count of outcome]" caption="Count of outcome" numFmtId="0" hierarchy="25" level="32767"/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1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x v="2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x v="3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x v="4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x v="5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x v="6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x v="7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x v="8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x v="9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x v="10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x v="12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x v="14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x v="15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x v="16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x v="17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x v="18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x v="19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x v="20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x v="21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x v="22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x v="23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x v="25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x v="26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x v="27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x v="28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x v="29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x v="30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x v="32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x v="33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x v="34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x v="36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x v="37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x v="38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x v="40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x v="41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x v="42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x v="46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x v="47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x v="48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x v="49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x v="51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x v="52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x v="53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x v="55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x v="56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x v="57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x v="58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x v="59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x v="60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x v="61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x v="62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x v="63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x v="64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x v="65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x v="66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x v="67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x v="68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x v="69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x v="70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x v="71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x v="72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x v="74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x v="75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x v="77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x v="79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x v="80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x v="81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x v="82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x v="83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x v="85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x v="86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x v="87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x v="88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x v="89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x v="90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x v="91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x v="93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x v="94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x v="95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x v="96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x v="97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x v="99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x v="101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x v="102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x v="103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x v="105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x v="106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x v="107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x v="108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x v="113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x v="117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x v="121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x v="122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x v="123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x v="124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x v="126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x v="127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x v="128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x v="129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x v="132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x v="133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x v="134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x v="136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x v="137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x v="139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x v="142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x v="143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x v="144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x v="145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x v="147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x v="148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x v="149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x v="151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x v="153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x v="154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x v="155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x v="156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x v="157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x v="159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x v="160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x v="162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x v="163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x v="165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x v="166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x v="168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x v="169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x v="170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x v="172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x v="174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x v="175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x v="176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x v="177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x v="178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x v="180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x v="181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x v="184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x v="185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x v="187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x v="189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x v="190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x v="191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x v="192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x v="193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x v="194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x v="195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x v="196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x v="198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x v="199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x v="200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x v="201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x v="202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x v="204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x v="205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x v="206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x v="207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x v="208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x v="212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x v="213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x v="214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x v="215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x v="216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x v="217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x v="220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x v="224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x v="102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x v="227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x v="229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x v="230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x v="231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x v="232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x v="236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x v="237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x v="238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x v="239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x v="240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x v="241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x v="242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x v="243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x v="244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x v="245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x v="246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x v="247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x v="248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x v="250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x v="251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x v="252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x v="255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x v="256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x v="257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x v="258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x v="260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x v="261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x v="262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x v="263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x v="264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x v="265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x v="266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x v="267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x v="272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x v="273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x v="275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x v="277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x v="278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x v="279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x v="281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x v="283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x v="284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x v="285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x v="286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x v="287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x v="288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x v="289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x v="291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x v="293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x v="294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x v="295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x v="296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x v="297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x v="298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x v="299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x v="302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x v="303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x v="304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x v="306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x v="307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x v="308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x v="309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x v="310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x v="311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x v="312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x v="313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x v="315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x v="317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x v="318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x v="319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x v="322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x v="323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x v="324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x v="327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x v="328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x v="330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x v="332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x v="333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x v="334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x v="335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x v="336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x v="337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x v="338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x v="339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x v="341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x v="342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x v="343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x v="344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x v="346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x v="347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x v="349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x v="350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x v="351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x v="352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x v="353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x v="355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x v="356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x v="357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x v="360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x v="361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x v="362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x v="363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x v="364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x v="365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x v="366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x v="367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x v="370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x v="372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x v="373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x v="375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x v="376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x v="377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x v="379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x v="380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x v="381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x v="386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x v="387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x v="388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x v="389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x v="390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x v="392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x v="393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x v="394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x v="395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x v="396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x v="397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x v="399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x v="400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x v="401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x v="402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x v="403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x v="404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x v="406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x v="97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x v="407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x v="408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x v="409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x v="410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x v="413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x v="414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x v="32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x v="416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x v="417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x v="419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x v="421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x v="423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x v="424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x v="427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x v="428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x v="429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x v="431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x v="432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x v="433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x v="435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x v="437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x v="438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x v="439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x v="347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x v="441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x v="444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x v="445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x v="446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x v="447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x v="450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x v="451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x v="452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x v="453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x v="454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x v="456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x v="457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x v="460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x v="461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x v="463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x v="464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x v="465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x v="197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x v="467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x v="468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x v="471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x v="473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x v="476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x v="477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x v="478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x v="480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x v="481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x v="482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x v="483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x v="487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x v="489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x v="490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x v="491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x v="492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x v="493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x v="495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x v="496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x v="497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x v="498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x v="501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x v="173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x v="502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x v="503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x v="504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x v="505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x v="507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x v="508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x v="511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x v="512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x v="513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x v="515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x v="516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x v="517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x v="519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x v="520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x v="521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x v="522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x v="524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x v="525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x v="526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x v="527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x v="528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x v="529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x v="531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x v="534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x v="535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x v="536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x v="537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x v="538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x v="540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x v="541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x v="543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x v="544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x v="545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x v="546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x v="547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x v="195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x v="548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x v="550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x v="551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x v="552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x v="553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x v="554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x v="556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x v="557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x v="559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x v="560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x v="562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x v="563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x v="564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x v="565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x v="567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x v="568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x v="569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x v="251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x v="571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x v="572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x v="574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x v="576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x v="578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x v="582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x v="584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x v="585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x v="586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x v="587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x v="592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x v="593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x v="594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x v="595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x v="596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x v="598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x v="600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x v="601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x v="602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x v="603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x v="604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x v="605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x v="606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x v="607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x v="608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x v="609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x v="611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x v="612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x v="613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x v="615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x v="616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x v="618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x v="619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x v="620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x v="621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x v="622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x v="623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x v="624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x v="625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x v="627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x v="628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x v="631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x v="632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x v="633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x v="634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x v="635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x v="636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x v="639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x v="640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x v="641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x v="642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x v="643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x v="644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x v="648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x v="650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x v="651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x v="652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x v="327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x v="653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x v="654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x v="655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x v="657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x v="635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x v="658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x v="659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x v="660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x v="661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x v="663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x v="665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x v="307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x v="668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x v="669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x v="670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x v="671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x v="672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x v="673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x v="674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x v="676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x v="679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x v="680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x v="681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x v="682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x v="683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x v="684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x v="196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x v="687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x v="688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x v="690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x v="692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x v="693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x v="694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x v="695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x v="697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x v="698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x v="700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x v="701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x v="702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x v="704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x v="706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x v="707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x v="709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x v="710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x v="711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x v="712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x v="713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x v="714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x v="715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x v="716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x v="717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x v="718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x v="719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x v="720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x v="486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x v="723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x v="724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x v="287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x v="725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x v="727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x v="728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x v="729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x v="730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x v="731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x v="734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x v="735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x v="736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x v="738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x v="739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x v="740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x v="741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x v="742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x v="743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x v="744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x v="307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x v="745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x v="746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x v="747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x v="748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x v="751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x v="753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x v="754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x v="755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x v="756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x v="757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x v="758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x v="759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x v="760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x v="762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x v="764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x v="766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x v="767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x v="769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x v="770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x v="772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x v="773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x v="775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x v="776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x v="777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x v="778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x v="779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x v="780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x v="781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x v="783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x v="786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x v="787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x v="788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x v="789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x v="790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x v="792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x v="793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x v="794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x v="795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x v="796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x v="797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x v="798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x v="311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x v="799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x v="800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x v="801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x v="803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x v="804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x v="809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x v="811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x v="813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x v="815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x v="816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x v="817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x v="818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x v="819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x v="820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x v="821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x v="822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x v="825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x v="826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x v="827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x v="831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x v="833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x v="834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x v="835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x v="764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x v="839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x v="840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x v="841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x v="842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x v="843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x v="845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x v="848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x v="849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x v="850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x v="851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x v="855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x v="858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x v="860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x v="862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x v="863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x v="864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x v="865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x v="866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x v="867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x v="868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x v="869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x v="871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x v="872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x v="873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x v="875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x v="877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x v="879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x v="880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x v="881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x v="883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x v="885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x v="887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x v="888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x v="889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x v="890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x v="891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x v="892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x v="894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x v="896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x v="897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x v="899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x v="901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x v="902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x v="903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x v="904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x v="905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x v="907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x v="908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x v="909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x v="910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x v="911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x v="912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x v="913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x v="914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x v="591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x v="915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x v="916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x v="918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x v="919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x v="916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x v="920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x v="924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x v="925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x v="928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x v="929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x v="932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x v="933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x v="935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x v="936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x v="938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x v="939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x v="942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x v="411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x v="943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x v="946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x v="947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x v="949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x v="950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x v="951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x v="597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x v="954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x v="955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x v="956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x v="957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x v="960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x v="961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x v="962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x v="509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x v="966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x v="971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x v="972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x v="973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29058-C403-4C4F-ADDD-6A03C710E03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ED270-AC5C-47AB-BB01-1E0B74D449E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99CA3-E0BD-428C-9D64-831A6FFA2A9D}" name="PivotTable10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>
  <location ref="A4:E18" firstHeaderRow="1" firstDataRow="2" firstDataCol="1" rowPageCount="2" colPageCount="1"/>
  <pivotFields count="5"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Page" allDrilled="1" subtotalTop="0" showAll="0" dataSourceSort="1" defaultSubtotal="0" defaultAttributeDrillState="1"/>
    <pivotField name="Years"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2" hier="18" name="[Range].[Parent Category].[All]" cap="All"/>
    <pageField fld="3" hier="21" name="[Range].[Date Created Conversion (Year)].[All]" cap="All"/>
  </pageFields>
  <dataFields count="1">
    <dataField name="Count of outcome" fld="0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includeNewItemsInFilter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001"/>
  <sheetViews>
    <sheetView topLeftCell="C1" zoomScaleNormal="100" workbookViewId="0">
      <selection activeCell="G1" sqref="G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6.19921875" customWidth="1"/>
    <col min="8" max="8" width="13" bestFit="1" customWidth="1"/>
    <col min="9" max="9" width="17.296875" customWidth="1"/>
    <col min="12" max="13" width="11.19921875" bestFit="1" customWidth="1"/>
    <col min="14" max="14" width="23.09765625" customWidth="1"/>
    <col min="15" max="15" width="20.59765625" customWidth="1"/>
    <col min="18" max="18" width="27.59765625" customWidth="1"/>
    <col min="19" max="19" width="14.5" customWidth="1"/>
    <col min="20" max="20" width="12" bestFit="1" customWidth="1"/>
  </cols>
  <sheetData>
    <row r="1" spans="1:24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4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65" si="0">ROUND(((E2*100)/D2),0)</f>
        <v>0</v>
      </c>
      <c r="G2" t="s">
        <v>14</v>
      </c>
      <c r="H2">
        <v>0</v>
      </c>
      <c r="I2">
        <f>ROUND(IF(H2=0,0,E2/H2),2)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4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>
        <f t="shared" ref="I3:I66" si="1">ROUND(IF(H3=0,0,E3/H3),2)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2">(((L3/60)/60)/24)+DATE(1970,1,1)</f>
        <v>41870.208333333336</v>
      </c>
      <c r="O3" s="7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4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si="2"/>
        <v>41595.25</v>
      </c>
      <c r="O4" s="7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4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2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  <c r="X5" t="e">
        <f>VLOOKUP(W5,$G$2:$H$1001,8,FALSE)</f>
        <v>#N/A</v>
      </c>
    </row>
    <row r="6" spans="1:24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2"/>
        <v>43485.25</v>
      </c>
      <c r="O6" s="7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4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2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4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2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4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2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4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2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4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2"/>
        <v>41536.208333333336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4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2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4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2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4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2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4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2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4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2"/>
        <v>40974.25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2"/>
        <v>43809.25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2"/>
        <v>41661.25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2"/>
        <v>40555.25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2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2"/>
        <v>43528.25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2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2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2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2"/>
        <v>43510.25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2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2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2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2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2"/>
        <v>40218.25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2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2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2"/>
        <v>42374.25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2"/>
        <v>43110.25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2"/>
        <v>41917.208333333336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2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2"/>
        <v>43484.25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2"/>
        <v>40600.25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2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2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2"/>
        <v>41330.25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2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2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2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2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2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2"/>
        <v>42676.208333333328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2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2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2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2"/>
        <v>43758.208333333328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2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2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2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2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2"/>
        <v>43170.25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2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2"/>
        <v>42014.25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2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2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2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2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2"/>
        <v>40595.25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2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2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ref="F66:F129" si="4">ROUND(((E66*100)/D66),0)</f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2"/>
        <v>43283.208333333328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4"/>
        <v>236</v>
      </c>
      <c r="G67" t="s">
        <v>20</v>
      </c>
      <c r="H67">
        <v>236</v>
      </c>
      <c r="I67">
        <f t="shared" ref="I67:I130" si="5">ROUND(IF(H67=0,0,E67/H67),2)</f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6">(((L67/60)/60)/24)+DATE(1970,1,1)</f>
        <v>40570.25</v>
      </c>
      <c r="O67" s="7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6"/>
        <v>42102.208333333328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6"/>
        <v>40203.25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6"/>
        <v>42943.208333333328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6"/>
        <v>40531.25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6"/>
        <v>40484.208333333336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6"/>
        <v>43799.25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6"/>
        <v>42186.208333333328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6"/>
        <v>42701.25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6"/>
        <v>42456.208333333328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6"/>
        <v>43296.208333333328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6"/>
        <v>42027.25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6"/>
        <v>40448.208333333336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6"/>
        <v>43206.208333333328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6"/>
        <v>43267.208333333328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6"/>
        <v>42976.208333333328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6"/>
        <v>43062.25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6"/>
        <v>43482.25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6"/>
        <v>42579.208333333328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6"/>
        <v>41118.208333333336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6"/>
        <v>40797.208333333336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6"/>
        <v>42128.208333333328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6"/>
        <v>40610.25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6"/>
        <v>42110.208333333328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6"/>
        <v>40283.208333333336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6"/>
        <v>42425.25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6"/>
        <v>42588.208333333328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6"/>
        <v>40352.208333333336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6"/>
        <v>41202.208333333336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6"/>
        <v>43562.208333333328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6"/>
        <v>43752.208333333328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6"/>
        <v>40612.25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6"/>
        <v>42180.208333333328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6"/>
        <v>42212.208333333328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6"/>
        <v>41968.25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6"/>
        <v>40835.208333333336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6"/>
        <v>42056.25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6"/>
        <v>43234.208333333328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6"/>
        <v>40475.208333333336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6"/>
        <v>42878.208333333328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6"/>
        <v>41366.208333333336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6"/>
        <v>43716.208333333328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6"/>
        <v>43213.208333333328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6"/>
        <v>41005.208333333336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6"/>
        <v>41651.25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6"/>
        <v>43354.208333333328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6"/>
        <v>41174.208333333336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6"/>
        <v>41875.208333333336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6"/>
        <v>42990.208333333328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6"/>
        <v>43564.208333333328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6"/>
        <v>43056.25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6"/>
        <v>42265.208333333328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6"/>
        <v>40808.208333333336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6"/>
        <v>41665.25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6"/>
        <v>41806.208333333336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6"/>
        <v>42111.208333333328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6"/>
        <v>41917.208333333336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6"/>
        <v>41970.25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6"/>
        <v>42332.25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6"/>
        <v>43598.208333333328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6"/>
        <v>43362.208333333328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6"/>
        <v>42596.208333333328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6"/>
        <v>40310.208333333336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ref="F130:F193" si="8">ROUND(((E130*100)/D130),0)</f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6"/>
        <v>40417.208333333336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8"/>
        <v>3</v>
      </c>
      <c r="G131" t="s">
        <v>74</v>
      </c>
      <c r="H131">
        <v>55</v>
      </c>
      <c r="I131">
        <f t="shared" ref="I131:I194" si="9">ROUND(IF(H131=0,0,E131/H131),2)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0">(((L131/60)/60)/24)+DATE(1970,1,1)</f>
        <v>42038.25</v>
      </c>
      <c r="O131" s="7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0"/>
        <v>40842.208333333336</v>
      </c>
      <c r="O132" s="7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0"/>
        <v>41607.25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0"/>
        <v>43112.25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0"/>
        <v>40767.208333333336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0"/>
        <v>40713.208333333336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0"/>
        <v>41340.25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0"/>
        <v>41797.208333333336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0"/>
        <v>40457.208333333336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0"/>
        <v>41180.208333333336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0"/>
        <v>42115.208333333328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0"/>
        <v>43156.25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0"/>
        <v>42167.208333333328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0"/>
        <v>41005.208333333336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0"/>
        <v>40357.208333333336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0"/>
        <v>43633.208333333328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0"/>
        <v>41889.208333333336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0"/>
        <v>40855.25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0"/>
        <v>42534.208333333328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0"/>
        <v>42941.208333333328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0"/>
        <v>41275.25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0"/>
        <v>43450.25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0"/>
        <v>41799.208333333336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0"/>
        <v>42783.25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0"/>
        <v>41201.208333333336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0"/>
        <v>42502.208333333328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0"/>
        <v>40262.208333333336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0"/>
        <v>43743.208333333328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0"/>
        <v>41638.25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0"/>
        <v>42346.25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0"/>
        <v>43551.208333333328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0"/>
        <v>43582.208333333328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0"/>
        <v>42270.208333333328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0"/>
        <v>43442.25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0"/>
        <v>43028.208333333328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0"/>
        <v>43016.208333333328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0"/>
        <v>42948.208333333328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0"/>
        <v>40534.25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0"/>
        <v>41435.208333333336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0"/>
        <v>43518.25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0"/>
        <v>41077.208333333336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0"/>
        <v>42950.208333333328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0"/>
        <v>41718.208333333336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0"/>
        <v>41839.208333333336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0"/>
        <v>41412.208333333336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0"/>
        <v>42282.208333333328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0"/>
        <v>42613.208333333328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0"/>
        <v>42616.208333333328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0"/>
        <v>40497.25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0"/>
        <v>42999.208333333328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0"/>
        <v>41350.208333333336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0"/>
        <v>40259.208333333336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0"/>
        <v>43012.208333333328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0"/>
        <v>43631.208333333328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0"/>
        <v>40430.208333333336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0"/>
        <v>43588.208333333328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0"/>
        <v>43233.208333333328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0"/>
        <v>41782.208333333336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0"/>
        <v>41328.25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0"/>
        <v>41975.25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0"/>
        <v>42433.25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0"/>
        <v>41429.208333333336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0"/>
        <v>43536.208333333328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ref="F194:F257" si="12">ROUND(((E194*100)/D194),0)</f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0"/>
        <v>41817.208333333336</v>
      </c>
      <c r="O194" s="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2"/>
        <v>46</v>
      </c>
      <c r="G195" t="s">
        <v>14</v>
      </c>
      <c r="H195">
        <v>65</v>
      </c>
      <c r="I195">
        <f t="shared" ref="I195:I258" si="13">ROUND(IF(H195=0,0,E195/H195),2)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4">(((L195/60)/60)/24)+DATE(1970,1,1)</f>
        <v>43198.208333333328</v>
      </c>
      <c r="O195" s="7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4"/>
        <v>42261.208333333328</v>
      </c>
      <c r="O196" s="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4"/>
        <v>43310.208333333328</v>
      </c>
      <c r="O197" s="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4"/>
        <v>42616.208333333328</v>
      </c>
      <c r="O198" s="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4"/>
        <v>42909.208333333328</v>
      </c>
      <c r="O199" s="7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4"/>
        <v>40396.208333333336</v>
      </c>
      <c r="O200" s="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4"/>
        <v>42192.208333333328</v>
      </c>
      <c r="O201" s="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4"/>
        <v>40262.208333333336</v>
      </c>
      <c r="O202" s="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4"/>
        <v>41845.208333333336</v>
      </c>
      <c r="O203" s="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4"/>
        <v>40818.208333333336</v>
      </c>
      <c r="O204" s="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4"/>
        <v>42752.25</v>
      </c>
      <c r="O205" s="7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4"/>
        <v>40636.208333333336</v>
      </c>
      <c r="O206" s="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4"/>
        <v>43390.208333333328</v>
      </c>
      <c r="O207" s="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4"/>
        <v>40236.25</v>
      </c>
      <c r="O208" s="7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4"/>
        <v>43340.208333333328</v>
      </c>
      <c r="O209" s="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4"/>
        <v>43048.25</v>
      </c>
      <c r="O210" s="7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4"/>
        <v>42496.208333333328</v>
      </c>
      <c r="O211" s="7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4"/>
        <v>42797.25</v>
      </c>
      <c r="O212" s="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4"/>
        <v>41513.208333333336</v>
      </c>
      <c r="O213" s="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4"/>
        <v>43814.25</v>
      </c>
      <c r="O214" s="7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4"/>
        <v>40488.208333333336</v>
      </c>
      <c r="O215" s="7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4"/>
        <v>40409.208333333336</v>
      </c>
      <c r="O216" s="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4"/>
        <v>43509.25</v>
      </c>
      <c r="O217" s="7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4"/>
        <v>40869.25</v>
      </c>
      <c r="O218" s="7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4"/>
        <v>43583.208333333328</v>
      </c>
      <c r="O219" s="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4"/>
        <v>40858.25</v>
      </c>
      <c r="O220" s="7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4"/>
        <v>41137.208333333336</v>
      </c>
      <c r="O221" s="7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4"/>
        <v>40725.208333333336</v>
      </c>
      <c r="O222" s="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4"/>
        <v>41081.208333333336</v>
      </c>
      <c r="O223" s="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4"/>
        <v>41914.208333333336</v>
      </c>
      <c r="O224" s="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4"/>
        <v>42445.208333333328</v>
      </c>
      <c r="O225" s="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4"/>
        <v>41906.208333333336</v>
      </c>
      <c r="O226" s="7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4"/>
        <v>41762.208333333336</v>
      </c>
      <c r="O227" s="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4"/>
        <v>40276.208333333336</v>
      </c>
      <c r="O228" s="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4"/>
        <v>42139.208333333328</v>
      </c>
      <c r="O229" s="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4"/>
        <v>42613.208333333328</v>
      </c>
      <c r="O230" s="7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4"/>
        <v>42887.208333333328</v>
      </c>
      <c r="O231" s="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4"/>
        <v>43805.25</v>
      </c>
      <c r="O232" s="7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4"/>
        <v>41415.208333333336</v>
      </c>
      <c r="O233" s="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4"/>
        <v>42576.208333333328</v>
      </c>
      <c r="O234" s="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4"/>
        <v>40706.208333333336</v>
      </c>
      <c r="O235" s="7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4"/>
        <v>42969.208333333328</v>
      </c>
      <c r="O236" s="7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4"/>
        <v>42779.25</v>
      </c>
      <c r="O237" s="7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4"/>
        <v>43641.208333333328</v>
      </c>
      <c r="O238" s="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4"/>
        <v>41754.208333333336</v>
      </c>
      <c r="O239" s="7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4"/>
        <v>43083.25</v>
      </c>
      <c r="O240" s="7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4"/>
        <v>42245.208333333328</v>
      </c>
      <c r="O241" s="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4"/>
        <v>40396.208333333336</v>
      </c>
      <c r="O242" s="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4"/>
        <v>41742.208333333336</v>
      </c>
      <c r="O243" s="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4"/>
        <v>42865.208333333328</v>
      </c>
      <c r="O244" s="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4"/>
        <v>43163.25</v>
      </c>
      <c r="O245" s="7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4"/>
        <v>41834.208333333336</v>
      </c>
      <c r="O246" s="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4"/>
        <v>41736.208333333336</v>
      </c>
      <c r="O247" s="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4"/>
        <v>41491.208333333336</v>
      </c>
      <c r="O248" s="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4"/>
        <v>42726.25</v>
      </c>
      <c r="O249" s="7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4"/>
        <v>42004.25</v>
      </c>
      <c r="O250" s="7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4"/>
        <v>42006.25</v>
      </c>
      <c r="O251" s="7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4"/>
        <v>40203.25</v>
      </c>
      <c r="O252" s="7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4"/>
        <v>41252.25</v>
      </c>
      <c r="O253" s="7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4"/>
        <v>41572.208333333336</v>
      </c>
      <c r="O254" s="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4"/>
        <v>40641.208333333336</v>
      </c>
      <c r="O255" s="7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4"/>
        <v>42787.25</v>
      </c>
      <c r="O256" s="7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4"/>
        <v>40590.25</v>
      </c>
      <c r="O257" s="7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ref="F258:F321" si="16">ROUND(((E258*100)/D258),0)</f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4"/>
        <v>42393.25</v>
      </c>
      <c r="O258" s="7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6"/>
        <v>146</v>
      </c>
      <c r="G259" t="s">
        <v>20</v>
      </c>
      <c r="H259">
        <v>92</v>
      </c>
      <c r="I259">
        <f t="shared" ref="I259:I322" si="17">ROUND(IF(H259=0,0,E259/H259),2)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18">(((L259/60)/60)/24)+DATE(1970,1,1)</f>
        <v>41338.25</v>
      </c>
      <c r="O259" s="7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18"/>
        <v>42712.25</v>
      </c>
      <c r="O260" s="7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18"/>
        <v>41251.25</v>
      </c>
      <c r="O261" s="7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18"/>
        <v>41180.208333333336</v>
      </c>
      <c r="O262" s="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18"/>
        <v>40415.208333333336</v>
      </c>
      <c r="O263" s="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18"/>
        <v>40638.208333333336</v>
      </c>
      <c r="O264" s="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18"/>
        <v>40187.25</v>
      </c>
      <c r="O265" s="7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18"/>
        <v>41317.25</v>
      </c>
      <c r="O266" s="7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18"/>
        <v>42372.25</v>
      </c>
      <c r="O267" s="7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18"/>
        <v>41950.25</v>
      </c>
      <c r="O268" s="7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18"/>
        <v>41206.208333333336</v>
      </c>
      <c r="O269" s="7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18"/>
        <v>41186.208333333336</v>
      </c>
      <c r="O270" s="7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18"/>
        <v>43496.25</v>
      </c>
      <c r="O271" s="7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18"/>
        <v>40514.25</v>
      </c>
      <c r="O272" s="7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18"/>
        <v>42345.25</v>
      </c>
      <c r="O273" s="7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18"/>
        <v>43656.208333333328</v>
      </c>
      <c r="O274" s="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18"/>
        <v>42995.208333333328</v>
      </c>
      <c r="O275" s="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18"/>
        <v>43045.25</v>
      </c>
      <c r="O276" s="7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18"/>
        <v>43561.208333333328</v>
      </c>
      <c r="O277" s="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18"/>
        <v>41018.208333333336</v>
      </c>
      <c r="O278" s="7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18"/>
        <v>40378.208333333336</v>
      </c>
      <c r="O279" s="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18"/>
        <v>41239.25</v>
      </c>
      <c r="O280" s="7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18"/>
        <v>43346.208333333328</v>
      </c>
      <c r="O281" s="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18"/>
        <v>43060.25</v>
      </c>
      <c r="O282" s="7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18"/>
        <v>40979.25</v>
      </c>
      <c r="O283" s="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18"/>
        <v>42701.25</v>
      </c>
      <c r="O284" s="7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18"/>
        <v>42520.208333333328</v>
      </c>
      <c r="O285" s="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18"/>
        <v>41030.208333333336</v>
      </c>
      <c r="O286" s="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18"/>
        <v>42623.208333333328</v>
      </c>
      <c r="O287" s="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18"/>
        <v>42697.25</v>
      </c>
      <c r="O288" s="7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18"/>
        <v>42122.208333333328</v>
      </c>
      <c r="O289" s="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18"/>
        <v>40982.208333333336</v>
      </c>
      <c r="O290" s="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18"/>
        <v>42219.208333333328</v>
      </c>
      <c r="O291" s="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18"/>
        <v>41404.208333333336</v>
      </c>
      <c r="O292" s="7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18"/>
        <v>40831.208333333336</v>
      </c>
      <c r="O293" s="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18"/>
        <v>40984.208333333336</v>
      </c>
      <c r="O294" s="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18"/>
        <v>40456.208333333336</v>
      </c>
      <c r="O295" s="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18"/>
        <v>43399.208333333328</v>
      </c>
      <c r="O296" s="7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18"/>
        <v>41562.208333333336</v>
      </c>
      <c r="O297" s="7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18"/>
        <v>43493.25</v>
      </c>
      <c r="O298" s="7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18"/>
        <v>41653.25</v>
      </c>
      <c r="O299" s="7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18"/>
        <v>42426.25</v>
      </c>
      <c r="O300" s="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18"/>
        <v>42432.25</v>
      </c>
      <c r="O301" s="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18"/>
        <v>42977.208333333328</v>
      </c>
      <c r="O302" s="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18"/>
        <v>42061.25</v>
      </c>
      <c r="O303" s="7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18"/>
        <v>43345.208333333328</v>
      </c>
      <c r="O304" s="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18"/>
        <v>42376.25</v>
      </c>
      <c r="O305" s="7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18"/>
        <v>42589.208333333328</v>
      </c>
      <c r="O306" s="7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18"/>
        <v>42448.208333333328</v>
      </c>
      <c r="O307" s="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18"/>
        <v>42930.208333333328</v>
      </c>
      <c r="O308" s="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18"/>
        <v>41066.208333333336</v>
      </c>
      <c r="O309" s="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18"/>
        <v>40651.208333333336</v>
      </c>
      <c r="O310" s="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18"/>
        <v>40807.208333333336</v>
      </c>
      <c r="O311" s="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18"/>
        <v>40277.208333333336</v>
      </c>
      <c r="O312" s="7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18"/>
        <v>40590.25</v>
      </c>
      <c r="O313" s="7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18"/>
        <v>41572.208333333336</v>
      </c>
      <c r="O314" s="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18"/>
        <v>40966.25</v>
      </c>
      <c r="O315" s="7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18"/>
        <v>43536.208333333328</v>
      </c>
      <c r="O316" s="7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18"/>
        <v>41783.208333333336</v>
      </c>
      <c r="O317" s="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18"/>
        <v>43788.25</v>
      </c>
      <c r="O318" s="7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18"/>
        <v>42869.208333333328</v>
      </c>
      <c r="O319" s="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18"/>
        <v>41684.25</v>
      </c>
      <c r="O320" s="7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18"/>
        <v>40402.208333333336</v>
      </c>
      <c r="O321" s="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ref="F322:F385" si="20">ROUND(((E322*100)/D322),0)</f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18"/>
        <v>40673.208333333336</v>
      </c>
      <c r="O322" s="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20"/>
        <v>94</v>
      </c>
      <c r="G323" t="s">
        <v>14</v>
      </c>
      <c r="H323">
        <v>2468</v>
      </c>
      <c r="I323">
        <f t="shared" ref="I323:I386" si="21">ROUND(IF(H323=0,0,E323/H323),2)</f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22">(((L323/60)/60)/24)+DATE(1970,1,1)</f>
        <v>40634.208333333336</v>
      </c>
      <c r="O323" s="7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22"/>
        <v>40507.25</v>
      </c>
      <c r="O324" s="7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22"/>
        <v>41725.208333333336</v>
      </c>
      <c r="O325" s="7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22"/>
        <v>42176.208333333328</v>
      </c>
      <c r="O326" s="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22"/>
        <v>43267.208333333328</v>
      </c>
      <c r="O327" s="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22"/>
        <v>42364.25</v>
      </c>
      <c r="O328" s="7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22"/>
        <v>43705.208333333328</v>
      </c>
      <c r="O329" s="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22"/>
        <v>43434.25</v>
      </c>
      <c r="O330" s="7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22"/>
        <v>42716.25</v>
      </c>
      <c r="O331" s="7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22"/>
        <v>43077.25</v>
      </c>
      <c r="O332" s="7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22"/>
        <v>40896.25</v>
      </c>
      <c r="O333" s="7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22"/>
        <v>41361.208333333336</v>
      </c>
      <c r="O334" s="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22"/>
        <v>43424.25</v>
      </c>
      <c r="O335" s="7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22"/>
        <v>43110.25</v>
      </c>
      <c r="O336" s="7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22"/>
        <v>43784.25</v>
      </c>
      <c r="O337" s="7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22"/>
        <v>40527.25</v>
      </c>
      <c r="O338" s="7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22"/>
        <v>43780.25</v>
      </c>
      <c r="O339" s="7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22"/>
        <v>40821.208333333336</v>
      </c>
      <c r="O340" s="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22"/>
        <v>42949.208333333328</v>
      </c>
      <c r="O341" s="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22"/>
        <v>40889.25</v>
      </c>
      <c r="O342" s="7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22"/>
        <v>42244.208333333328</v>
      </c>
      <c r="O343" s="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22"/>
        <v>41475.208333333336</v>
      </c>
      <c r="O344" s="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22"/>
        <v>41597.25</v>
      </c>
      <c r="O345" s="7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22"/>
        <v>43122.25</v>
      </c>
      <c r="O346" s="7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22"/>
        <v>42194.208333333328</v>
      </c>
      <c r="O347" s="7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22"/>
        <v>42971.208333333328</v>
      </c>
      <c r="O348" s="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22"/>
        <v>42046.25</v>
      </c>
      <c r="O349" s="7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22"/>
        <v>42782.25</v>
      </c>
      <c r="O350" s="7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22"/>
        <v>42930.208333333328</v>
      </c>
      <c r="O351" s="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22"/>
        <v>42144.208333333328</v>
      </c>
      <c r="O352" s="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22"/>
        <v>42240.208333333328</v>
      </c>
      <c r="O353" s="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22"/>
        <v>42315.25</v>
      </c>
      <c r="O354" s="7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22"/>
        <v>43651.208333333328</v>
      </c>
      <c r="O355" s="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22"/>
        <v>41520.208333333336</v>
      </c>
      <c r="O356" s="7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22"/>
        <v>42757.25</v>
      </c>
      <c r="O357" s="7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22"/>
        <v>40922.25</v>
      </c>
      <c r="O358" s="7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22"/>
        <v>42250.208333333328</v>
      </c>
      <c r="O359" s="7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22"/>
        <v>43322.208333333328</v>
      </c>
      <c r="O360" s="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22"/>
        <v>40782.208333333336</v>
      </c>
      <c r="O361" s="7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22"/>
        <v>40544.25</v>
      </c>
      <c r="O362" s="7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22"/>
        <v>43015.208333333328</v>
      </c>
      <c r="O363" s="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22"/>
        <v>40570.25</v>
      </c>
      <c r="O364" s="7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22"/>
        <v>40904.25</v>
      </c>
      <c r="O365" s="7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22"/>
        <v>43164.25</v>
      </c>
      <c r="O366" s="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22"/>
        <v>42733.25</v>
      </c>
      <c r="O367" s="7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22"/>
        <v>40546.25</v>
      </c>
      <c r="O368" s="7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22"/>
        <v>41930.208333333336</v>
      </c>
      <c r="O369" s="7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22"/>
        <v>40464.208333333336</v>
      </c>
      <c r="O370" s="7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22"/>
        <v>41308.25</v>
      </c>
      <c r="O371" s="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22"/>
        <v>43570.208333333328</v>
      </c>
      <c r="O372" s="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22"/>
        <v>42043.25</v>
      </c>
      <c r="O373" s="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22"/>
        <v>42012.25</v>
      </c>
      <c r="O374" s="7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22"/>
        <v>42964.208333333328</v>
      </c>
      <c r="O375" s="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22"/>
        <v>43476.25</v>
      </c>
      <c r="O376" s="7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22"/>
        <v>42293.208333333328</v>
      </c>
      <c r="O377" s="7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22"/>
        <v>41826.208333333336</v>
      </c>
      <c r="O378" s="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22"/>
        <v>43760.208333333328</v>
      </c>
      <c r="O379" s="7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22"/>
        <v>43241.208333333328</v>
      </c>
      <c r="O380" s="7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22"/>
        <v>40843.208333333336</v>
      </c>
      <c r="O381" s="7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22"/>
        <v>41448.208333333336</v>
      </c>
      <c r="O382" s="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22"/>
        <v>42163.208333333328</v>
      </c>
      <c r="O383" s="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22"/>
        <v>43024.208333333328</v>
      </c>
      <c r="O384" s="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22"/>
        <v>43509.25</v>
      </c>
      <c r="O385" s="7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ref="F386:F449" si="24">ROUND(((E386*100)/D386),0)</f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22"/>
        <v>42776.25</v>
      </c>
      <c r="O386" s="7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4"/>
        <v>146</v>
      </c>
      <c r="G387" t="s">
        <v>20</v>
      </c>
      <c r="H387">
        <v>1137</v>
      </c>
      <c r="I387">
        <f t="shared" ref="I387:I450" si="25">ROUND(IF(H387=0,0,E387/H387),2)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26">(((L387/60)/60)/24)+DATE(1970,1,1)</f>
        <v>43553.208333333328</v>
      </c>
      <c r="O387" s="7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26"/>
        <v>40355.208333333336</v>
      </c>
      <c r="O388" s="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26"/>
        <v>41072.208333333336</v>
      </c>
      <c r="O389" s="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26"/>
        <v>40912.25</v>
      </c>
      <c r="O390" s="7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26"/>
        <v>40479.208333333336</v>
      </c>
      <c r="O391" s="7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26"/>
        <v>41530.208333333336</v>
      </c>
      <c r="O392" s="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26"/>
        <v>41653.25</v>
      </c>
      <c r="O393" s="7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26"/>
        <v>40549.25</v>
      </c>
      <c r="O394" s="7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26"/>
        <v>42933.208333333328</v>
      </c>
      <c r="O395" s="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26"/>
        <v>41484.208333333336</v>
      </c>
      <c r="O396" s="7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26"/>
        <v>40885.25</v>
      </c>
      <c r="O397" s="7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26"/>
        <v>43378.208333333328</v>
      </c>
      <c r="O398" s="7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26"/>
        <v>41417.208333333336</v>
      </c>
      <c r="O399" s="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26"/>
        <v>43228.208333333328</v>
      </c>
      <c r="O400" s="7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26"/>
        <v>40576.25</v>
      </c>
      <c r="O401" s="7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26"/>
        <v>41502.208333333336</v>
      </c>
      <c r="O402" s="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26"/>
        <v>43765.208333333328</v>
      </c>
      <c r="O403" s="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26"/>
        <v>40914.25</v>
      </c>
      <c r="O404" s="7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26"/>
        <v>40310.208333333336</v>
      </c>
      <c r="O405" s="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26"/>
        <v>43053.25</v>
      </c>
      <c r="O406" s="7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26"/>
        <v>43255.208333333328</v>
      </c>
      <c r="O407" s="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26"/>
        <v>41304.25</v>
      </c>
      <c r="O408" s="7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26"/>
        <v>43751.208333333328</v>
      </c>
      <c r="O409" s="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26"/>
        <v>42541.208333333328</v>
      </c>
      <c r="O410" s="7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26"/>
        <v>42843.208333333328</v>
      </c>
      <c r="O411" s="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26"/>
        <v>42122.208333333328</v>
      </c>
      <c r="O412" s="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26"/>
        <v>42884.208333333328</v>
      </c>
      <c r="O413" s="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26"/>
        <v>41642.25</v>
      </c>
      <c r="O414" s="7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26"/>
        <v>43431.25</v>
      </c>
      <c r="O415" s="7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26"/>
        <v>40288.208333333336</v>
      </c>
      <c r="O416" s="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26"/>
        <v>40921.25</v>
      </c>
      <c r="O417" s="7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26"/>
        <v>40560.25</v>
      </c>
      <c r="O418" s="7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26"/>
        <v>43407.208333333328</v>
      </c>
      <c r="O419" s="7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26"/>
        <v>41035.208333333336</v>
      </c>
      <c r="O420" s="7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26"/>
        <v>40899.25</v>
      </c>
      <c r="O421" s="7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26"/>
        <v>42911.208333333328</v>
      </c>
      <c r="O422" s="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26"/>
        <v>42915.208333333328</v>
      </c>
      <c r="O423" s="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26"/>
        <v>40285.208333333336</v>
      </c>
      <c r="O424" s="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26"/>
        <v>40808.208333333336</v>
      </c>
      <c r="O425" s="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26"/>
        <v>43208.208333333328</v>
      </c>
      <c r="O426" s="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26"/>
        <v>42213.208333333328</v>
      </c>
      <c r="O427" s="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26"/>
        <v>41332.25</v>
      </c>
      <c r="O428" s="7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26"/>
        <v>41895.208333333336</v>
      </c>
      <c r="O429" s="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26"/>
        <v>40585.25</v>
      </c>
      <c r="O430" s="7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26"/>
        <v>41680.25</v>
      </c>
      <c r="O431" s="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26"/>
        <v>43737.208333333328</v>
      </c>
      <c r="O432" s="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26"/>
        <v>43273.208333333328</v>
      </c>
      <c r="O433" s="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26"/>
        <v>41761.208333333336</v>
      </c>
      <c r="O434" s="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26"/>
        <v>41603.25</v>
      </c>
      <c r="O435" s="7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26"/>
        <v>42705.25</v>
      </c>
      <c r="O436" s="7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26"/>
        <v>41988.25</v>
      </c>
      <c r="O437" s="7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26"/>
        <v>43575.208333333328</v>
      </c>
      <c r="O438" s="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26"/>
        <v>42260.208333333328</v>
      </c>
      <c r="O439" s="7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26"/>
        <v>41337.25</v>
      </c>
      <c r="O440" s="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26"/>
        <v>42680.208333333328</v>
      </c>
      <c r="O441" s="7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26"/>
        <v>42916.208333333328</v>
      </c>
      <c r="O442" s="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26"/>
        <v>41025.208333333336</v>
      </c>
      <c r="O443" s="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26"/>
        <v>42980.208333333328</v>
      </c>
      <c r="O444" s="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26"/>
        <v>40451.208333333336</v>
      </c>
      <c r="O445" s="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26"/>
        <v>40748.208333333336</v>
      </c>
      <c r="O446" s="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26"/>
        <v>40515.25</v>
      </c>
      <c r="O447" s="7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26"/>
        <v>41261.25</v>
      </c>
      <c r="O448" s="7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26"/>
        <v>43088.25</v>
      </c>
      <c r="O449" s="7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ref="F450:F513" si="28">ROUND(((E450*100)/D450),0)</f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26"/>
        <v>41378.208333333336</v>
      </c>
      <c r="O450" s="7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8"/>
        <v>967</v>
      </c>
      <c r="G451" t="s">
        <v>20</v>
      </c>
      <c r="H451">
        <v>86</v>
      </c>
      <c r="I451">
        <f t="shared" ref="I451:I514" si="29">ROUND(IF(H451=0,0,E451/H451),2)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30">(((L451/60)/60)/24)+DATE(1970,1,1)</f>
        <v>43530.25</v>
      </c>
      <c r="O451" s="7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30"/>
        <v>43394.208333333328</v>
      </c>
      <c r="O452" s="7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30"/>
        <v>42935.208333333328</v>
      </c>
      <c r="O453" s="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30"/>
        <v>40365.208333333336</v>
      </c>
      <c r="O454" s="7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30"/>
        <v>42705.25</v>
      </c>
      <c r="O455" s="7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30"/>
        <v>41568.208333333336</v>
      </c>
      <c r="O456" s="7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30"/>
        <v>40809.208333333336</v>
      </c>
      <c r="O457" s="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30"/>
        <v>43141.25</v>
      </c>
      <c r="O458" s="7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30"/>
        <v>42657.208333333328</v>
      </c>
      <c r="O459" s="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30"/>
        <v>40265.208333333336</v>
      </c>
      <c r="O460" s="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30"/>
        <v>42001.25</v>
      </c>
      <c r="O461" s="7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30"/>
        <v>40399.208333333336</v>
      </c>
      <c r="O462" s="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30"/>
        <v>41757.208333333336</v>
      </c>
      <c r="O463" s="7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30"/>
        <v>41304.25</v>
      </c>
      <c r="O464" s="7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30"/>
        <v>41639.25</v>
      </c>
      <c r="O465" s="7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30"/>
        <v>43142.25</v>
      </c>
      <c r="O466" s="7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30"/>
        <v>43127.25</v>
      </c>
      <c r="O467" s="7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30"/>
        <v>41409.208333333336</v>
      </c>
      <c r="O468" s="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30"/>
        <v>42331.25</v>
      </c>
      <c r="O469" s="7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30"/>
        <v>43569.208333333328</v>
      </c>
      <c r="O470" s="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30"/>
        <v>42142.208333333328</v>
      </c>
      <c r="O471" s="7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30"/>
        <v>42716.25</v>
      </c>
      <c r="O472" s="7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30"/>
        <v>41031.208333333336</v>
      </c>
      <c r="O473" s="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30"/>
        <v>43535.208333333328</v>
      </c>
      <c r="O474" s="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30"/>
        <v>43277.208333333328</v>
      </c>
      <c r="O475" s="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30"/>
        <v>41989.25</v>
      </c>
      <c r="O476" s="7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30"/>
        <v>41450.208333333336</v>
      </c>
      <c r="O477" s="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30"/>
        <v>43322.208333333328</v>
      </c>
      <c r="O478" s="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30"/>
        <v>40720.208333333336</v>
      </c>
      <c r="O479" s="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30"/>
        <v>42072.208333333328</v>
      </c>
      <c r="O480" s="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30"/>
        <v>42945.208333333328</v>
      </c>
      <c r="O481" s="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30"/>
        <v>40248.25</v>
      </c>
      <c r="O482" s="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30"/>
        <v>41913.208333333336</v>
      </c>
      <c r="O483" s="7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30"/>
        <v>40963.25</v>
      </c>
      <c r="O484" s="7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30"/>
        <v>43811.25</v>
      </c>
      <c r="O485" s="7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30"/>
        <v>41855.208333333336</v>
      </c>
      <c r="O486" s="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30"/>
        <v>43626.208333333328</v>
      </c>
      <c r="O487" s="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30"/>
        <v>43168.25</v>
      </c>
      <c r="O488" s="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30"/>
        <v>42845.208333333328</v>
      </c>
      <c r="O489" s="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30"/>
        <v>42403.25</v>
      </c>
      <c r="O490" s="7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30"/>
        <v>40406.208333333336</v>
      </c>
      <c r="O491" s="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30"/>
        <v>43786.25</v>
      </c>
      <c r="O492" s="7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30"/>
        <v>41456.208333333336</v>
      </c>
      <c r="O493" s="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30"/>
        <v>40336.208333333336</v>
      </c>
      <c r="O494" s="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30"/>
        <v>43645.208333333328</v>
      </c>
      <c r="O495" s="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30"/>
        <v>40990.208333333336</v>
      </c>
      <c r="O496" s="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30"/>
        <v>41800.208333333336</v>
      </c>
      <c r="O497" s="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30"/>
        <v>42876.208333333328</v>
      </c>
      <c r="O498" s="7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30"/>
        <v>42724.25</v>
      </c>
      <c r="O499" s="7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30"/>
        <v>42005.25</v>
      </c>
      <c r="O500" s="7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30"/>
        <v>42444.208333333328</v>
      </c>
      <c r="O501" s="7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30"/>
        <v>41395.208333333336</v>
      </c>
      <c r="O502" s="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30"/>
        <v>41345.208333333336</v>
      </c>
      <c r="O503" s="7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30"/>
        <v>41117.208333333336</v>
      </c>
      <c r="O504" s="7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30"/>
        <v>42186.208333333328</v>
      </c>
      <c r="O505" s="7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30"/>
        <v>42142.208333333328</v>
      </c>
      <c r="O506" s="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30"/>
        <v>41341.25</v>
      </c>
      <c r="O507" s="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30"/>
        <v>43062.25</v>
      </c>
      <c r="O508" s="7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30"/>
        <v>41373.208333333336</v>
      </c>
      <c r="O509" s="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30"/>
        <v>43310.208333333328</v>
      </c>
      <c r="O510" s="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30"/>
        <v>41034.208333333336</v>
      </c>
      <c r="O511" s="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30"/>
        <v>43251.208333333328</v>
      </c>
      <c r="O512" s="7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30"/>
        <v>43671.208333333328</v>
      </c>
      <c r="O513" s="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ref="F514:F577" si="32">ROUND(((E514*100)/D514),0)</f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30"/>
        <v>41825.208333333336</v>
      </c>
      <c r="O514" s="7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2"/>
        <v>39</v>
      </c>
      <c r="G515" t="s">
        <v>74</v>
      </c>
      <c r="H515">
        <v>35</v>
      </c>
      <c r="I515">
        <f t="shared" ref="I515:I578" si="33">ROUND(IF(H515=0,0,E515/H515),2)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34">(((L515/60)/60)/24)+DATE(1970,1,1)</f>
        <v>40430.208333333336</v>
      </c>
      <c r="O515" s="7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34"/>
        <v>41614.25</v>
      </c>
      <c r="O516" s="7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34"/>
        <v>40900.25</v>
      </c>
      <c r="O517" s="7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34"/>
        <v>40396.208333333336</v>
      </c>
      <c r="O518" s="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34"/>
        <v>42860.208333333328</v>
      </c>
      <c r="O519" s="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34"/>
        <v>43154.25</v>
      </c>
      <c r="O520" s="7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34"/>
        <v>42012.25</v>
      </c>
      <c r="O521" s="7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34"/>
        <v>43574.208333333328</v>
      </c>
      <c r="O522" s="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34"/>
        <v>42605.208333333328</v>
      </c>
      <c r="O523" s="7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34"/>
        <v>41093.208333333336</v>
      </c>
      <c r="O524" s="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34"/>
        <v>40241.25</v>
      </c>
      <c r="O525" s="7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34"/>
        <v>40294.208333333336</v>
      </c>
      <c r="O526" s="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34"/>
        <v>40505.25</v>
      </c>
      <c r="O527" s="7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34"/>
        <v>42364.25</v>
      </c>
      <c r="O528" s="7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34"/>
        <v>42405.25</v>
      </c>
      <c r="O529" s="7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34"/>
        <v>41601.25</v>
      </c>
      <c r="O530" s="7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34"/>
        <v>41769.208333333336</v>
      </c>
      <c r="O531" s="7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34"/>
        <v>40421.208333333336</v>
      </c>
      <c r="O532" s="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34"/>
        <v>41589.25</v>
      </c>
      <c r="O533" s="7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34"/>
        <v>43125.25</v>
      </c>
      <c r="O534" s="7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34"/>
        <v>41479.208333333336</v>
      </c>
      <c r="O535" s="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34"/>
        <v>43329.208333333328</v>
      </c>
      <c r="O536" s="7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34"/>
        <v>43259.208333333328</v>
      </c>
      <c r="O537" s="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34"/>
        <v>40414.208333333336</v>
      </c>
      <c r="O538" s="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34"/>
        <v>43342.208333333328</v>
      </c>
      <c r="O539" s="7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34"/>
        <v>41539.208333333336</v>
      </c>
      <c r="O540" s="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34"/>
        <v>43647.208333333328</v>
      </c>
      <c r="O541" s="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34"/>
        <v>43225.208333333328</v>
      </c>
      <c r="O542" s="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34"/>
        <v>42165.208333333328</v>
      </c>
      <c r="O543" s="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34"/>
        <v>42391.25</v>
      </c>
      <c r="O544" s="7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34"/>
        <v>41528.208333333336</v>
      </c>
      <c r="O545" s="7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34"/>
        <v>42377.25</v>
      </c>
      <c r="O546" s="7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34"/>
        <v>43824.25</v>
      </c>
      <c r="O547" s="7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34"/>
        <v>43360.208333333328</v>
      </c>
      <c r="O548" s="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34"/>
        <v>42029.25</v>
      </c>
      <c r="O549" s="7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34"/>
        <v>42461.208333333328</v>
      </c>
      <c r="O550" s="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34"/>
        <v>41422.208333333336</v>
      </c>
      <c r="O551" s="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34"/>
        <v>40968.25</v>
      </c>
      <c r="O552" s="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34"/>
        <v>41993.25</v>
      </c>
      <c r="O553" s="7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34"/>
        <v>42700.25</v>
      </c>
      <c r="O554" s="7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34"/>
        <v>40545.25</v>
      </c>
      <c r="O555" s="7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34"/>
        <v>42723.25</v>
      </c>
      <c r="O556" s="7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34"/>
        <v>41731.208333333336</v>
      </c>
      <c r="O557" s="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34"/>
        <v>40792.208333333336</v>
      </c>
      <c r="O558" s="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34"/>
        <v>42279.208333333328</v>
      </c>
      <c r="O559" s="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34"/>
        <v>42424.25</v>
      </c>
      <c r="O560" s="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34"/>
        <v>42584.208333333328</v>
      </c>
      <c r="O561" s="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34"/>
        <v>40865.25</v>
      </c>
      <c r="O562" s="7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34"/>
        <v>40833.208333333336</v>
      </c>
      <c r="O563" s="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34"/>
        <v>43536.208333333328</v>
      </c>
      <c r="O564" s="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34"/>
        <v>43417.25</v>
      </c>
      <c r="O565" s="7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34"/>
        <v>42078.208333333328</v>
      </c>
      <c r="O566" s="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34"/>
        <v>40862.25</v>
      </c>
      <c r="O567" s="7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34"/>
        <v>42424.25</v>
      </c>
      <c r="O568" s="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34"/>
        <v>41830.208333333336</v>
      </c>
      <c r="O569" s="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34"/>
        <v>40374.208333333336</v>
      </c>
      <c r="O570" s="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34"/>
        <v>40554.25</v>
      </c>
      <c r="O571" s="7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34"/>
        <v>41993.25</v>
      </c>
      <c r="O572" s="7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34"/>
        <v>42174.208333333328</v>
      </c>
      <c r="O573" s="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34"/>
        <v>42275.208333333328</v>
      </c>
      <c r="O574" s="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34"/>
        <v>41761.208333333336</v>
      </c>
      <c r="O575" s="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34"/>
        <v>43806.25</v>
      </c>
      <c r="O576" s="7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34"/>
        <v>41779.208333333336</v>
      </c>
      <c r="O577" s="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ref="F578:F641" si="36">ROUND(((E578*100)/D578),0)</f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34"/>
        <v>43040.208333333328</v>
      </c>
      <c r="O578" s="7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6"/>
        <v>19</v>
      </c>
      <c r="G579" t="s">
        <v>74</v>
      </c>
      <c r="H579">
        <v>37</v>
      </c>
      <c r="I579">
        <f t="shared" ref="I579:I642" si="37">ROUND(IF(H579=0,0,E579/H579),2)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38">(((L579/60)/60)/24)+DATE(1970,1,1)</f>
        <v>40613.25</v>
      </c>
      <c r="O579" s="7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38"/>
        <v>40878.25</v>
      </c>
      <c r="O580" s="7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38"/>
        <v>40762.208333333336</v>
      </c>
      <c r="O581" s="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38"/>
        <v>41696.25</v>
      </c>
      <c r="O582" s="7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38"/>
        <v>40662.208333333336</v>
      </c>
      <c r="O583" s="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38"/>
        <v>42165.208333333328</v>
      </c>
      <c r="O584" s="7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38"/>
        <v>40959.25</v>
      </c>
      <c r="O585" s="7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38"/>
        <v>41024.208333333336</v>
      </c>
      <c r="O586" s="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38"/>
        <v>40255.208333333336</v>
      </c>
      <c r="O587" s="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38"/>
        <v>40499.25</v>
      </c>
      <c r="O588" s="7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38"/>
        <v>43484.25</v>
      </c>
      <c r="O589" s="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38"/>
        <v>40262.208333333336</v>
      </c>
      <c r="O590" s="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38"/>
        <v>42190.208333333328</v>
      </c>
      <c r="O591" s="7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38"/>
        <v>41994.25</v>
      </c>
      <c r="O592" s="7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38"/>
        <v>40373.208333333336</v>
      </c>
      <c r="O593" s="7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38"/>
        <v>41789.208333333336</v>
      </c>
      <c r="O594" s="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38"/>
        <v>41724.208333333336</v>
      </c>
      <c r="O595" s="7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38"/>
        <v>42548.208333333328</v>
      </c>
      <c r="O596" s="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38"/>
        <v>40253.208333333336</v>
      </c>
      <c r="O597" s="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38"/>
        <v>42434.25</v>
      </c>
      <c r="O598" s="7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38"/>
        <v>43786.25</v>
      </c>
      <c r="O599" s="7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38"/>
        <v>40344.208333333336</v>
      </c>
      <c r="O600" s="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38"/>
        <v>42047.25</v>
      </c>
      <c r="O601" s="7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38"/>
        <v>41485.208333333336</v>
      </c>
      <c r="O602" s="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38"/>
        <v>41789.208333333336</v>
      </c>
      <c r="O603" s="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38"/>
        <v>42160.208333333328</v>
      </c>
      <c r="O604" s="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38"/>
        <v>43573.208333333328</v>
      </c>
      <c r="O605" s="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38"/>
        <v>40565.25</v>
      </c>
      <c r="O606" s="7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38"/>
        <v>42280.208333333328</v>
      </c>
      <c r="O607" s="7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38"/>
        <v>42436.25</v>
      </c>
      <c r="O608" s="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38"/>
        <v>41721.208333333336</v>
      </c>
      <c r="O609" s="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38"/>
        <v>43530.25</v>
      </c>
      <c r="O610" s="7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38"/>
        <v>43481.25</v>
      </c>
      <c r="O611" s="7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38"/>
        <v>41259.25</v>
      </c>
      <c r="O612" s="7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38"/>
        <v>41480.208333333336</v>
      </c>
      <c r="O613" s="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38"/>
        <v>40474.208333333336</v>
      </c>
      <c r="O614" s="7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38"/>
        <v>42973.208333333328</v>
      </c>
      <c r="O615" s="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38"/>
        <v>42746.25</v>
      </c>
      <c r="O616" s="7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38"/>
        <v>42489.208333333328</v>
      </c>
      <c r="O617" s="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38"/>
        <v>41537.208333333336</v>
      </c>
      <c r="O618" s="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38"/>
        <v>41794.208333333336</v>
      </c>
      <c r="O619" s="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38"/>
        <v>41396.208333333336</v>
      </c>
      <c r="O620" s="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38"/>
        <v>40669.208333333336</v>
      </c>
      <c r="O621" s="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38"/>
        <v>42559.208333333328</v>
      </c>
      <c r="O622" s="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38"/>
        <v>42626.208333333328</v>
      </c>
      <c r="O623" s="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38"/>
        <v>43205.208333333328</v>
      </c>
      <c r="O624" s="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38"/>
        <v>42201.208333333328</v>
      </c>
      <c r="O625" s="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38"/>
        <v>42029.25</v>
      </c>
      <c r="O626" s="7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38"/>
        <v>43857.25</v>
      </c>
      <c r="O627" s="7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38"/>
        <v>40449.208333333336</v>
      </c>
      <c r="O628" s="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38"/>
        <v>40345.208333333336</v>
      </c>
      <c r="O629" s="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38"/>
        <v>40455.208333333336</v>
      </c>
      <c r="O630" s="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38"/>
        <v>42557.208333333328</v>
      </c>
      <c r="O631" s="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38"/>
        <v>43586.208333333328</v>
      </c>
      <c r="O632" s="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38"/>
        <v>43550.208333333328</v>
      </c>
      <c r="O633" s="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38"/>
        <v>41945.208333333336</v>
      </c>
      <c r="O634" s="7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38"/>
        <v>42315.25</v>
      </c>
      <c r="O635" s="7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38"/>
        <v>42819.208333333328</v>
      </c>
      <c r="O636" s="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38"/>
        <v>41314.25</v>
      </c>
      <c r="O637" s="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38"/>
        <v>40926.25</v>
      </c>
      <c r="O638" s="7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38"/>
        <v>42688.25</v>
      </c>
      <c r="O639" s="7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38"/>
        <v>40386.208333333336</v>
      </c>
      <c r="O640" s="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38"/>
        <v>43309.208333333328</v>
      </c>
      <c r="O641" s="7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ref="F642:F705" si="40">ROUND(((E642*100)/D642),0)</f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38"/>
        <v>42387.25</v>
      </c>
      <c r="O642" s="7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40"/>
        <v>120</v>
      </c>
      <c r="G643" t="s">
        <v>20</v>
      </c>
      <c r="H643">
        <v>194</v>
      </c>
      <c r="I643">
        <f t="shared" ref="I643:I706" si="41">ROUND(IF(H643=0,0,E643/H643),2)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42">(((L643/60)/60)/24)+DATE(1970,1,1)</f>
        <v>42786.25</v>
      </c>
      <c r="O643" s="7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42"/>
        <v>43451.25</v>
      </c>
      <c r="O644" s="7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42"/>
        <v>42795.25</v>
      </c>
      <c r="O645" s="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42"/>
        <v>43452.25</v>
      </c>
      <c r="O646" s="7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42"/>
        <v>43369.208333333328</v>
      </c>
      <c r="O647" s="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42"/>
        <v>41346.208333333336</v>
      </c>
      <c r="O648" s="7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42"/>
        <v>43199.208333333328</v>
      </c>
      <c r="O649" s="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42"/>
        <v>42922.208333333328</v>
      </c>
      <c r="O650" s="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42"/>
        <v>40471.208333333336</v>
      </c>
      <c r="O651" s="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42"/>
        <v>41828.208333333336</v>
      </c>
      <c r="O652" s="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42"/>
        <v>41692.25</v>
      </c>
      <c r="O653" s="7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42"/>
        <v>42587.208333333328</v>
      </c>
      <c r="O654" s="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42"/>
        <v>42468.208333333328</v>
      </c>
      <c r="O655" s="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42"/>
        <v>42240.208333333328</v>
      </c>
      <c r="O656" s="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42"/>
        <v>42796.25</v>
      </c>
      <c r="O657" s="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42"/>
        <v>43097.25</v>
      </c>
      <c r="O658" s="7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42"/>
        <v>43096.25</v>
      </c>
      <c r="O659" s="7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42"/>
        <v>42246.208333333328</v>
      </c>
      <c r="O660" s="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42"/>
        <v>40570.25</v>
      </c>
      <c r="O661" s="7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42"/>
        <v>42237.208333333328</v>
      </c>
      <c r="O662" s="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42"/>
        <v>40996.208333333336</v>
      </c>
      <c r="O663" s="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42"/>
        <v>43443.25</v>
      </c>
      <c r="O664" s="7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42"/>
        <v>40458.208333333336</v>
      </c>
      <c r="O665" s="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42"/>
        <v>40959.25</v>
      </c>
      <c r="O666" s="7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42"/>
        <v>40733.208333333336</v>
      </c>
      <c r="O667" s="7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42"/>
        <v>41516.208333333336</v>
      </c>
      <c r="O668" s="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42"/>
        <v>41892.208333333336</v>
      </c>
      <c r="O669" s="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42"/>
        <v>41122.208333333336</v>
      </c>
      <c r="O670" s="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42"/>
        <v>42912.208333333328</v>
      </c>
      <c r="O671" s="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42"/>
        <v>42425.25</v>
      </c>
      <c r="O672" s="7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42"/>
        <v>40390.208333333336</v>
      </c>
      <c r="O673" s="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42"/>
        <v>43180.208333333328</v>
      </c>
      <c r="O674" s="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42"/>
        <v>42475.208333333328</v>
      </c>
      <c r="O675" s="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42"/>
        <v>40774.208333333336</v>
      </c>
      <c r="O676" s="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42"/>
        <v>43719.208333333328</v>
      </c>
      <c r="O677" s="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42"/>
        <v>41178.208333333336</v>
      </c>
      <c r="O678" s="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42"/>
        <v>42561.208333333328</v>
      </c>
      <c r="O679" s="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42"/>
        <v>43484.25</v>
      </c>
      <c r="O680" s="7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42"/>
        <v>43756.208333333328</v>
      </c>
      <c r="O681" s="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42"/>
        <v>43813.25</v>
      </c>
      <c r="O682" s="7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42"/>
        <v>40898.25</v>
      </c>
      <c r="O683" s="7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42"/>
        <v>41619.25</v>
      </c>
      <c r="O684" s="7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42"/>
        <v>43359.208333333328</v>
      </c>
      <c r="O685" s="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42"/>
        <v>40358.208333333336</v>
      </c>
      <c r="O686" s="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42"/>
        <v>42239.208333333328</v>
      </c>
      <c r="O687" s="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42"/>
        <v>43186.208333333328</v>
      </c>
      <c r="O688" s="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42"/>
        <v>42806.25</v>
      </c>
      <c r="O689" s="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42"/>
        <v>43475.25</v>
      </c>
      <c r="O690" s="7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42"/>
        <v>41576.208333333336</v>
      </c>
      <c r="O691" s="7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42"/>
        <v>40874.25</v>
      </c>
      <c r="O692" s="7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42"/>
        <v>41185.208333333336</v>
      </c>
      <c r="O693" s="7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42"/>
        <v>43655.208333333328</v>
      </c>
      <c r="O694" s="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42"/>
        <v>43025.208333333328</v>
      </c>
      <c r="O695" s="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42"/>
        <v>43066.25</v>
      </c>
      <c r="O696" s="7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42"/>
        <v>42322.25</v>
      </c>
      <c r="O697" s="7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42"/>
        <v>42114.208333333328</v>
      </c>
      <c r="O698" s="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42"/>
        <v>43190.208333333328</v>
      </c>
      <c r="O699" s="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42"/>
        <v>40871.25</v>
      </c>
      <c r="O700" s="7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42"/>
        <v>43641.208333333328</v>
      </c>
      <c r="O701" s="7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42"/>
        <v>40203.25</v>
      </c>
      <c r="O702" s="7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42"/>
        <v>40629.208333333336</v>
      </c>
      <c r="O703" s="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42"/>
        <v>41477.208333333336</v>
      </c>
      <c r="O704" s="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42"/>
        <v>41020.208333333336</v>
      </c>
      <c r="O705" s="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ref="F706:F769" si="44">ROUND(((E706*100)/D706),0)</f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42"/>
        <v>42555.208333333328</v>
      </c>
      <c r="O706" s="7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4"/>
        <v>99</v>
      </c>
      <c r="G707" t="s">
        <v>14</v>
      </c>
      <c r="H707">
        <v>2025</v>
      </c>
      <c r="I707">
        <f t="shared" ref="I707:I770" si="45">ROUND(IF(H707=0,0,E707/H707),2)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46">(((L707/60)/60)/24)+DATE(1970,1,1)</f>
        <v>41619.25</v>
      </c>
      <c r="O707" s="7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46"/>
        <v>43471.25</v>
      </c>
      <c r="O708" s="7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46"/>
        <v>43442.25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46"/>
        <v>42877.208333333328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46"/>
        <v>41018.208333333336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46"/>
        <v>43295.208333333328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46"/>
        <v>42393.25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46"/>
        <v>42559.208333333328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46"/>
        <v>42604.208333333328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46"/>
        <v>41870.208333333336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46"/>
        <v>40397.208333333336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46"/>
        <v>41465.208333333336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46"/>
        <v>40777.208333333336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46"/>
        <v>41442.208333333336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46"/>
        <v>41058.208333333336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46"/>
        <v>43152.25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46"/>
        <v>43194.208333333328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46"/>
        <v>43045.25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46"/>
        <v>42431.25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46"/>
        <v>41934.208333333336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46"/>
        <v>41958.25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46"/>
        <v>40476.208333333336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46"/>
        <v>43485.25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46"/>
        <v>42515.208333333328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46"/>
        <v>41309.25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46"/>
        <v>42147.208333333328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46"/>
        <v>42939.208333333328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46"/>
        <v>42816.208333333328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46"/>
        <v>41844.208333333336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46"/>
        <v>42763.25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46"/>
        <v>42459.208333333328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46"/>
        <v>42055.25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46"/>
        <v>42685.25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46"/>
        <v>41959.25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46"/>
        <v>41089.208333333336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46"/>
        <v>42769.25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46"/>
        <v>40321.208333333336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46"/>
        <v>40197.25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46"/>
        <v>42298.208333333328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46"/>
        <v>43322.208333333328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46"/>
        <v>40328.208333333336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46"/>
        <v>40825.208333333336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46"/>
        <v>40423.208333333336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46"/>
        <v>40238.25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46"/>
        <v>41920.208333333336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46"/>
        <v>40360.208333333336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46"/>
        <v>42446.208333333328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46"/>
        <v>40395.208333333336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46"/>
        <v>40321.208333333336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46"/>
        <v>41210.208333333336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46"/>
        <v>43096.25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46"/>
        <v>42024.25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46"/>
        <v>40675.208333333336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46"/>
        <v>41936.208333333336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46"/>
        <v>43136.25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46"/>
        <v>43678.208333333328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46"/>
        <v>42938.208333333328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46"/>
        <v>41241.25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46"/>
        <v>41037.208333333336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46"/>
        <v>40676.208333333336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46"/>
        <v>42840.208333333328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46"/>
        <v>43362.208333333328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46"/>
        <v>42283.208333333328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ref="F770:F833" si="48">ROUND(((E770*100)/D770),0)</f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46"/>
        <v>41619.25</v>
      </c>
      <c r="O770" s="7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48"/>
        <v>87</v>
      </c>
      <c r="G771" t="s">
        <v>14</v>
      </c>
      <c r="H771">
        <v>3410</v>
      </c>
      <c r="I771">
        <f t="shared" ref="I771:I834" si="49">ROUND(IF(H771=0,0,E771/H771),2)</f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50">(((L771/60)/60)/24)+DATE(1970,1,1)</f>
        <v>41501.208333333336</v>
      </c>
      <c r="O771" s="7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50"/>
        <v>41743.208333333336</v>
      </c>
      <c r="O772" s="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50"/>
        <v>43491.25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50"/>
        <v>43505.25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50"/>
        <v>42838.208333333328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50"/>
        <v>42513.208333333328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50"/>
        <v>41949.25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50"/>
        <v>43650.208333333328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50"/>
        <v>40809.208333333336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50"/>
        <v>40768.208333333336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50"/>
        <v>42230.208333333328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50"/>
        <v>42573.208333333328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50"/>
        <v>40482.208333333336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50"/>
        <v>40603.25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50"/>
        <v>41625.25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50"/>
        <v>42435.25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50"/>
        <v>43582.208333333328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50"/>
        <v>43186.208333333328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50"/>
        <v>40684.208333333336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50"/>
        <v>41202.208333333336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50"/>
        <v>41786.208333333336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50"/>
        <v>40223.25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50"/>
        <v>42715.25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50"/>
        <v>41451.208333333336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50"/>
        <v>41450.208333333336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50"/>
        <v>43091.25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50"/>
        <v>42675.208333333328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50"/>
        <v>41859.208333333336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50"/>
        <v>43464.25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50"/>
        <v>41060.208333333336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50"/>
        <v>42399.25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50"/>
        <v>42167.208333333328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50"/>
        <v>43830.25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50"/>
        <v>43650.208333333328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50"/>
        <v>43492.25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50"/>
        <v>43102.25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50"/>
        <v>41958.25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50"/>
        <v>40973.25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50"/>
        <v>43753.208333333328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50"/>
        <v>42507.208333333328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50"/>
        <v>41135.208333333336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50"/>
        <v>43067.25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50"/>
        <v>42378.25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50"/>
        <v>43206.208333333328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50"/>
        <v>41148.208333333336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50"/>
        <v>42517.208333333328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50"/>
        <v>43068.25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50"/>
        <v>41680.25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50"/>
        <v>43589.208333333328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50"/>
        <v>43486.25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50"/>
        <v>41237.25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50"/>
        <v>43310.208333333328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50"/>
        <v>42794.25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50"/>
        <v>41698.25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50"/>
        <v>41892.208333333336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50"/>
        <v>40348.208333333336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50"/>
        <v>42941.208333333328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50"/>
        <v>40525.25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50"/>
        <v>40666.208333333336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50"/>
        <v>43340.208333333328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50"/>
        <v>42164.208333333328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50"/>
        <v>43103.25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50"/>
        <v>40994.208333333336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ref="F834:F897" si="52">ROUND(((E834*100)/D834),0)</f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50"/>
        <v>42299.208333333328</v>
      </c>
      <c r="O834" s="7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2"/>
        <v>158</v>
      </c>
      <c r="G835" t="s">
        <v>20</v>
      </c>
      <c r="H835">
        <v>165</v>
      </c>
      <c r="I835">
        <f t="shared" ref="I835:I898" si="53">ROUND(IF(H835=0,0,E835/H835),2)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54">(((L835/60)/60)/24)+DATE(1970,1,1)</f>
        <v>40588.25</v>
      </c>
      <c r="O835" s="7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54"/>
        <v>41448.208333333336</v>
      </c>
      <c r="O836" s="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54"/>
        <v>42063.25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54"/>
        <v>40214.25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54"/>
        <v>40629.208333333336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54"/>
        <v>43370.208333333328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54"/>
        <v>41715.208333333336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54"/>
        <v>41836.208333333336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54"/>
        <v>42419.25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54"/>
        <v>43266.208333333328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54"/>
        <v>43338.208333333328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54"/>
        <v>40930.25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54"/>
        <v>43235.208333333328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54"/>
        <v>43302.208333333328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54"/>
        <v>43107.25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54"/>
        <v>40341.208333333336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54"/>
        <v>40948.25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54"/>
        <v>40866.25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54"/>
        <v>41031.208333333336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54"/>
        <v>40740.208333333336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54"/>
        <v>40714.208333333336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54"/>
        <v>43787.25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54"/>
        <v>40712.208333333336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54"/>
        <v>41023.208333333336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54"/>
        <v>40944.25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54"/>
        <v>43211.208333333328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54"/>
        <v>41334.25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54"/>
        <v>43515.25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54"/>
        <v>40258.208333333336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54"/>
        <v>40756.208333333336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54"/>
        <v>42172.208333333328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54"/>
        <v>42601.208333333328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54"/>
        <v>41897.208333333336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54"/>
        <v>40671.208333333336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54"/>
        <v>43382.208333333328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54"/>
        <v>41559.208333333336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54"/>
        <v>40350.208333333336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54"/>
        <v>42240.208333333328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54"/>
        <v>43040.208333333328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54"/>
        <v>43346.208333333328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54"/>
        <v>41647.25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54"/>
        <v>40291.208333333336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54"/>
        <v>40556.25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54"/>
        <v>43624.208333333328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54"/>
        <v>42577.208333333328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54"/>
        <v>43845.25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54"/>
        <v>42788.25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54"/>
        <v>43667.208333333328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54"/>
        <v>42194.208333333328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54"/>
        <v>42025.25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54"/>
        <v>40323.208333333336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54"/>
        <v>41763.208333333336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54"/>
        <v>40335.208333333336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54"/>
        <v>40416.208333333336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54"/>
        <v>42202.208333333328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54"/>
        <v>42836.208333333328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54"/>
        <v>41710.208333333336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54"/>
        <v>43640.208333333328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54"/>
        <v>40880.25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54"/>
        <v>40319.208333333336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54"/>
        <v>42170.208333333328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54"/>
        <v>41466.208333333336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54"/>
        <v>43134.25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ref="F898:F961" si="56">ROUND(((E898*100)/D898),0)</f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54"/>
        <v>40738.208333333336</v>
      </c>
      <c r="O898" s="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6"/>
        <v>28</v>
      </c>
      <c r="G899" t="s">
        <v>14</v>
      </c>
      <c r="H899">
        <v>27</v>
      </c>
      <c r="I899">
        <f t="shared" ref="I899:I962" si="57">ROUND(IF(H899=0,0,E899/H899),2)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58">(((L899/60)/60)/24)+DATE(1970,1,1)</f>
        <v>43583.208333333328</v>
      </c>
      <c r="O899" s="7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58"/>
        <v>43815.25</v>
      </c>
      <c r="O900" s="7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58"/>
        <v>41554.208333333336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58"/>
        <v>41901.208333333336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58"/>
        <v>43298.208333333328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58"/>
        <v>42399.25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58"/>
        <v>41034.208333333336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58"/>
        <v>41186.208333333336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58"/>
        <v>41536.208333333336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58"/>
        <v>42868.208333333328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58"/>
        <v>40660.208333333336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58"/>
        <v>41031.208333333336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58"/>
        <v>43255.208333333328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58"/>
        <v>42026.25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58"/>
        <v>43717.208333333328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58"/>
        <v>41157.208333333336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58"/>
        <v>43597.208333333328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58"/>
        <v>41490.208333333336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58"/>
        <v>42976.208333333328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58"/>
        <v>41991.25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58"/>
        <v>40722.208333333336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58"/>
        <v>41117.208333333336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58"/>
        <v>43022.208333333328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58"/>
        <v>43503.25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58"/>
        <v>40951.25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58"/>
        <v>43443.25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58"/>
        <v>40373.208333333336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58"/>
        <v>43769.208333333328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58"/>
        <v>43000.208333333328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58"/>
        <v>42502.208333333328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58"/>
        <v>41102.208333333336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58"/>
        <v>41637.25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58"/>
        <v>42858.208333333328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58"/>
        <v>42060.25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58"/>
        <v>41818.208333333336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58"/>
        <v>41709.208333333336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58"/>
        <v>41372.208333333336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58"/>
        <v>42422.25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58"/>
        <v>42209.208333333328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58"/>
        <v>43668.208333333328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58"/>
        <v>42334.25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58"/>
        <v>43263.208333333328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58"/>
        <v>40670.208333333336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58"/>
        <v>41244.25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58"/>
        <v>40552.25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58"/>
        <v>40568.25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58"/>
        <v>41906.208333333336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58"/>
        <v>42776.25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58"/>
        <v>41004.208333333336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58"/>
        <v>40710.208333333336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58"/>
        <v>41908.208333333336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58"/>
        <v>41985.25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58"/>
        <v>42112.208333333328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58"/>
        <v>43571.208333333328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58"/>
        <v>42730.25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58"/>
        <v>42591.208333333328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58"/>
        <v>42358.25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58"/>
        <v>41174.208333333336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58"/>
        <v>41238.25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58"/>
        <v>42360.25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58"/>
        <v>40955.25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58"/>
        <v>40350.208333333336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58"/>
        <v>40357.208333333336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ref="F962:F1001" si="60">ROUND(((E962*100)/D962),0)</f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58"/>
        <v>42408.25</v>
      </c>
      <c r="O962" s="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60"/>
        <v>119</v>
      </c>
      <c r="G963" t="s">
        <v>20</v>
      </c>
      <c r="H963">
        <v>155</v>
      </c>
      <c r="I963">
        <f t="shared" ref="I963:I1001" si="61">ROUND(IF(H963=0,0,E963/H963),2)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62">(((L963/60)/60)/24)+DATE(1970,1,1)</f>
        <v>40591.25</v>
      </c>
      <c r="O963" s="7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62"/>
        <v>41592.25</v>
      </c>
      <c r="O964" s="7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62"/>
        <v>40607.25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62"/>
        <v>42135.208333333328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62"/>
        <v>40203.25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62"/>
        <v>42901.208333333328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62"/>
        <v>41005.208333333336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62"/>
        <v>40544.25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62"/>
        <v>43821.25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62"/>
        <v>40672.208333333336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62"/>
        <v>41555.208333333336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62"/>
        <v>41792.208333333336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62"/>
        <v>40522.25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62"/>
        <v>41412.208333333336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62"/>
        <v>42337.25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62"/>
        <v>40571.25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62"/>
        <v>43138.25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62"/>
        <v>42686.25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62"/>
        <v>42078.208333333328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62"/>
        <v>42307.208333333328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62"/>
        <v>43094.25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62"/>
        <v>40743.208333333336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62"/>
        <v>43681.208333333328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62"/>
        <v>43716.208333333328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62"/>
        <v>41614.25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62"/>
        <v>40638.208333333336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62"/>
        <v>42852.208333333328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62"/>
        <v>42686.25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62"/>
        <v>43571.208333333328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62"/>
        <v>42432.25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62"/>
        <v>41907.208333333336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62"/>
        <v>43227.208333333328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62"/>
        <v>42362.25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62"/>
        <v>41929.208333333336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62"/>
        <v>43408.208333333328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62"/>
        <v>41276.25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62"/>
        <v>41659.25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62"/>
        <v>40220.25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62"/>
        <v>42550.208333333328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G1:H1001" xr:uid="{00000000-0001-0000-0000-000000000000}"/>
  <conditionalFormatting sqref="F1 F1002:F1048576">
    <cfRule type="cellIs" dxfId="19" priority="5" operator="equal">
      <formula>200</formula>
    </cfRule>
    <cfRule type="cellIs" dxfId="18" priority="7" operator="between">
      <formula>100</formula>
      <formula>199</formula>
    </cfRule>
  </conditionalFormatting>
  <conditionalFormatting sqref="F2:F1001">
    <cfRule type="colorScale" priority="2">
      <colorScale>
        <cfvo type="num" val="0"/>
        <cfvo type="num" val="100"/>
        <cfvo type="num" val="200"/>
        <color rgb="FFF8696B"/>
        <color rgb="FFFFEB84"/>
        <color rgb="FF63BE7B"/>
      </colorScale>
    </cfRule>
  </conditionalFormatting>
  <conditionalFormatting sqref="G1:G1048576">
    <cfRule type="expression" dxfId="17" priority="11">
      <formula>G1="canceled"</formula>
    </cfRule>
    <cfRule type="expression" dxfId="16" priority="14">
      <formula>G1="live"</formula>
    </cfRule>
    <cfRule type="expression" dxfId="15" priority="15">
      <formula>G1="successful"</formula>
    </cfRule>
    <cfRule type="expression" dxfId="14" priority="17">
      <formula>G1="failed"</formula>
    </cfRule>
  </conditionalFormatting>
  <conditionalFormatting sqref="K10">
    <cfRule type="expression" dxfId="13" priority="13">
      <formula>G1="canceled"</formula>
    </cfRule>
  </conditionalFormatting>
  <conditionalFormatting sqref="P2">
    <cfRule type="expression" dxfId="12" priority="1">
      <formula>"q2=""false"""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A1CD-26A3-4F23-99A9-536872F4C678}">
  <sheetPr codeName="Sheet2"/>
  <dimension ref="A1:F14"/>
  <sheetViews>
    <sheetView zoomScale="80" zoomScaleNormal="80" workbookViewId="0">
      <selection activeCell="C14" sqref="C14"/>
    </sheetView>
  </sheetViews>
  <sheetFormatPr defaultRowHeight="15.6" x14ac:dyDescent="0.3"/>
  <cols>
    <col min="1" max="1" width="16.19921875" bestFit="1" customWidth="1"/>
    <col min="2" max="2" width="15.3984375" bestFit="1" customWidth="1"/>
    <col min="3" max="3" width="5.59765625" bestFit="1" customWidth="1"/>
    <col min="4" max="4" width="3.8984375" bestFit="1" customWidth="1"/>
    <col min="5" max="5" width="9.3984375" bestFit="1" customWidth="1"/>
    <col min="6" max="6" width="10.8984375" bestFit="1" customWidth="1"/>
    <col min="7" max="7" width="11.69921875" bestFit="1" customWidth="1"/>
    <col min="8" max="8" width="9.59765625" bestFit="1" customWidth="1"/>
    <col min="9" max="9" width="10.09765625" bestFit="1" customWidth="1"/>
    <col min="10" max="10" width="7.09765625" bestFit="1" customWidth="1"/>
    <col min="11" max="11" width="10.8984375" bestFit="1" customWidth="1"/>
  </cols>
  <sheetData>
    <row r="1" spans="1:6" x14ac:dyDescent="0.3">
      <c r="A1" s="5" t="s">
        <v>6</v>
      </c>
      <c r="B1" t="s">
        <v>2067</v>
      </c>
    </row>
    <row r="3" spans="1:6" x14ac:dyDescent="0.3">
      <c r="A3" s="5" t="s">
        <v>2066</v>
      </c>
      <c r="B3" s="5" t="s">
        <v>2070</v>
      </c>
    </row>
    <row r="4" spans="1:6" x14ac:dyDescent="0.3">
      <c r="A4" s="5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3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6" t="s">
        <v>2064</v>
      </c>
      <c r="E8">
        <v>4</v>
      </c>
      <c r="F8">
        <v>4</v>
      </c>
    </row>
    <row r="9" spans="1:6" x14ac:dyDescent="0.3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6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3F596-E04E-452F-B9B1-67C4B6676448}">
  <sheetPr codeName="Sheet3"/>
  <dimension ref="A1:F30"/>
  <sheetViews>
    <sheetView workbookViewId="0">
      <selection activeCell="B21" sqref="B2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24" width="17.5" bestFit="1" customWidth="1"/>
    <col min="25" max="25" width="10.8984375" bestFit="1" customWidth="1"/>
  </cols>
  <sheetData>
    <row r="1" spans="1:6" x14ac:dyDescent="0.3">
      <c r="A1" s="5" t="s">
        <v>6</v>
      </c>
      <c r="B1" t="s">
        <v>2067</v>
      </c>
    </row>
    <row r="2" spans="1:6" x14ac:dyDescent="0.3">
      <c r="A2" s="5" t="s">
        <v>2031</v>
      </c>
      <c r="B2" t="s">
        <v>2067</v>
      </c>
    </row>
    <row r="4" spans="1:6" x14ac:dyDescent="0.3">
      <c r="A4" s="5" t="s">
        <v>2066</v>
      </c>
      <c r="B4" s="5" t="s">
        <v>2070</v>
      </c>
    </row>
    <row r="5" spans="1:6" x14ac:dyDescent="0.3">
      <c r="A5" s="5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3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2065</v>
      </c>
      <c r="E7">
        <v>4</v>
      </c>
      <c r="F7">
        <v>4</v>
      </c>
    </row>
    <row r="8" spans="1:6" x14ac:dyDescent="0.3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2043</v>
      </c>
      <c r="C10">
        <v>8</v>
      </c>
      <c r="E10">
        <v>10</v>
      </c>
      <c r="F10">
        <v>18</v>
      </c>
    </row>
    <row r="11" spans="1:6" x14ac:dyDescent="0.3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2057</v>
      </c>
      <c r="C15">
        <v>3</v>
      </c>
      <c r="E15">
        <v>4</v>
      </c>
      <c r="F15">
        <v>7</v>
      </c>
    </row>
    <row r="16" spans="1:6" x14ac:dyDescent="0.3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2056</v>
      </c>
      <c r="C20">
        <v>4</v>
      </c>
      <c r="E20">
        <v>4</v>
      </c>
      <c r="F20">
        <v>8</v>
      </c>
    </row>
    <row r="21" spans="1:6" x14ac:dyDescent="0.3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2063</v>
      </c>
      <c r="C22">
        <v>9</v>
      </c>
      <c r="E22">
        <v>5</v>
      </c>
      <c r="F22">
        <v>14</v>
      </c>
    </row>
    <row r="23" spans="1:6" x14ac:dyDescent="0.3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2059</v>
      </c>
      <c r="C25">
        <v>7</v>
      </c>
      <c r="E25">
        <v>14</v>
      </c>
      <c r="F25">
        <v>21</v>
      </c>
    </row>
    <row r="26" spans="1:6" x14ac:dyDescent="0.3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2062</v>
      </c>
      <c r="E29">
        <v>3</v>
      </c>
      <c r="F29">
        <v>3</v>
      </c>
    </row>
    <row r="30" spans="1:6" x14ac:dyDescent="0.3">
      <c r="A30" s="6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2C4A-C66A-4117-92DF-9613D54E00C7}">
  <sheetPr codeName="Sheet4"/>
  <dimension ref="A1:E18"/>
  <sheetViews>
    <sheetView workbookViewId="0">
      <selection activeCell="A4" sqref="A4:E1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  <col min="7" max="8" width="13.8984375" bestFit="1" customWidth="1"/>
    <col min="9" max="9" width="12.796875" bestFit="1" customWidth="1"/>
    <col min="10" max="11" width="13.8984375" bestFit="1" customWidth="1"/>
    <col min="12" max="13" width="14.8984375" bestFit="1" customWidth="1"/>
    <col min="14" max="14" width="13.8984375" bestFit="1" customWidth="1"/>
    <col min="15" max="15" width="14.8984375" bestFit="1" customWidth="1"/>
    <col min="16" max="16" width="13.8984375" bestFit="1" customWidth="1"/>
    <col min="17" max="17" width="12.796875" bestFit="1" customWidth="1"/>
    <col min="18" max="21" width="13.8984375" bestFit="1" customWidth="1"/>
    <col min="22" max="22" width="12.796875" bestFit="1" customWidth="1"/>
    <col min="23" max="24" width="13.8984375" bestFit="1" customWidth="1"/>
    <col min="25" max="25" width="14.8984375" bestFit="1" customWidth="1"/>
    <col min="26" max="31" width="13.8984375" bestFit="1" customWidth="1"/>
    <col min="32" max="32" width="12.796875" bestFit="1" customWidth="1"/>
    <col min="33" max="33" width="14.8984375" bestFit="1" customWidth="1"/>
    <col min="34" max="34" width="13.8984375" bestFit="1" customWidth="1"/>
    <col min="35" max="35" width="12.796875" bestFit="1" customWidth="1"/>
    <col min="36" max="38" width="13.8984375" bestFit="1" customWidth="1"/>
    <col min="39" max="40" width="14.8984375" bestFit="1" customWidth="1"/>
    <col min="41" max="41" width="12.796875" bestFit="1" customWidth="1"/>
    <col min="42" max="42" width="13.8984375" bestFit="1" customWidth="1"/>
    <col min="43" max="43" width="12.796875" bestFit="1" customWidth="1"/>
    <col min="44" max="44" width="14.8984375" bestFit="1" customWidth="1"/>
    <col min="45" max="46" width="13.8984375" bestFit="1" customWidth="1"/>
    <col min="47" max="47" width="12.796875" bestFit="1" customWidth="1"/>
    <col min="48" max="48" width="13.8984375" bestFit="1" customWidth="1"/>
    <col min="49" max="49" width="12.796875" bestFit="1" customWidth="1"/>
    <col min="50" max="50" width="14.8984375" bestFit="1" customWidth="1"/>
    <col min="51" max="51" width="13.8984375" bestFit="1" customWidth="1"/>
    <col min="52" max="52" width="12.796875" bestFit="1" customWidth="1"/>
    <col min="53" max="53" width="13.8984375" bestFit="1" customWidth="1"/>
    <col min="54" max="54" width="12.796875" bestFit="1" customWidth="1"/>
    <col min="55" max="56" width="13.8984375" bestFit="1" customWidth="1"/>
    <col min="57" max="57" width="12.796875" bestFit="1" customWidth="1"/>
    <col min="58" max="59" width="13.8984375" bestFit="1" customWidth="1"/>
    <col min="60" max="60" width="12.796875" bestFit="1" customWidth="1"/>
    <col min="61" max="62" width="13.8984375" bestFit="1" customWidth="1"/>
    <col min="63" max="63" width="12.796875" bestFit="1" customWidth="1"/>
    <col min="64" max="70" width="13.8984375" bestFit="1" customWidth="1"/>
    <col min="71" max="72" width="12.796875" bestFit="1" customWidth="1"/>
    <col min="73" max="73" width="13.8984375" bestFit="1" customWidth="1"/>
    <col min="74" max="75" width="12.796875" bestFit="1" customWidth="1"/>
    <col min="76" max="78" width="13.8984375" bestFit="1" customWidth="1"/>
    <col min="79" max="79" width="12.796875" bestFit="1" customWidth="1"/>
    <col min="80" max="83" width="13.8984375" bestFit="1" customWidth="1"/>
    <col min="84" max="88" width="14.8984375" bestFit="1" customWidth="1"/>
    <col min="89" max="91" width="12.796875" bestFit="1" customWidth="1"/>
    <col min="92" max="95" width="13.8984375" bestFit="1" customWidth="1"/>
    <col min="96" max="96" width="12.796875" bestFit="1" customWidth="1"/>
    <col min="97" max="98" width="13.8984375" bestFit="1" customWidth="1"/>
    <col min="99" max="104" width="12.796875" bestFit="1" customWidth="1"/>
    <col min="105" max="107" width="13.8984375" bestFit="1" customWidth="1"/>
    <col min="108" max="110" width="12.796875" bestFit="1" customWidth="1"/>
    <col min="111" max="115" width="13.8984375" bestFit="1" customWidth="1"/>
    <col min="116" max="116" width="12.796875" bestFit="1" customWidth="1"/>
    <col min="117" max="121" width="13.8984375" bestFit="1" customWidth="1"/>
    <col min="122" max="124" width="14.8984375" bestFit="1" customWidth="1"/>
    <col min="125" max="125" width="13.8984375" bestFit="1" customWidth="1"/>
    <col min="126" max="128" width="14.8984375" bestFit="1" customWidth="1"/>
    <col min="129" max="129" width="12.796875" bestFit="1" customWidth="1"/>
    <col min="130" max="135" width="13.8984375" bestFit="1" customWidth="1"/>
    <col min="136" max="136" width="12.796875" bestFit="1" customWidth="1"/>
    <col min="137" max="141" width="13.8984375" bestFit="1" customWidth="1"/>
    <col min="142" max="142" width="12.796875" bestFit="1" customWidth="1"/>
    <col min="143" max="144" width="13.8984375" bestFit="1" customWidth="1"/>
    <col min="145" max="147" width="12.796875" bestFit="1" customWidth="1"/>
    <col min="148" max="150" width="13.8984375" bestFit="1" customWidth="1"/>
    <col min="151" max="151" width="12.796875" bestFit="1" customWidth="1"/>
    <col min="152" max="152" width="13.8984375" bestFit="1" customWidth="1"/>
    <col min="153" max="153" width="12.796875" bestFit="1" customWidth="1"/>
    <col min="154" max="156" width="13.8984375" bestFit="1" customWidth="1"/>
    <col min="157" max="158" width="14.8984375" bestFit="1" customWidth="1"/>
    <col min="159" max="159" width="13.8984375" bestFit="1" customWidth="1"/>
    <col min="160" max="160" width="14.8984375" bestFit="1" customWidth="1"/>
    <col min="161" max="161" width="12.796875" bestFit="1" customWidth="1"/>
    <col min="162" max="163" width="13.8984375" bestFit="1" customWidth="1"/>
    <col min="164" max="166" width="12.796875" bestFit="1" customWidth="1"/>
    <col min="167" max="168" width="13.8984375" bestFit="1" customWidth="1"/>
    <col min="169" max="169" width="12.796875" bestFit="1" customWidth="1"/>
    <col min="170" max="170" width="13.8984375" bestFit="1" customWidth="1"/>
    <col min="171" max="172" width="12.796875" bestFit="1" customWidth="1"/>
    <col min="173" max="173" width="13.8984375" bestFit="1" customWidth="1"/>
    <col min="174" max="174" width="12.796875" bestFit="1" customWidth="1"/>
    <col min="175" max="178" width="13.8984375" bestFit="1" customWidth="1"/>
    <col min="179" max="180" width="12.796875" bestFit="1" customWidth="1"/>
    <col min="181" max="187" width="13.8984375" bestFit="1" customWidth="1"/>
    <col min="188" max="192" width="14.8984375" bestFit="1" customWidth="1"/>
    <col min="193" max="193" width="13.8984375" bestFit="1" customWidth="1"/>
    <col min="194" max="195" width="14.8984375" bestFit="1" customWidth="1"/>
    <col min="196" max="201" width="13.8984375" bestFit="1" customWidth="1"/>
    <col min="202" max="203" width="12.796875" bestFit="1" customWidth="1"/>
    <col min="204" max="209" width="13.8984375" bestFit="1" customWidth="1"/>
    <col min="210" max="210" width="12.796875" bestFit="1" customWidth="1"/>
    <col min="211" max="212" width="13.8984375" bestFit="1" customWidth="1"/>
    <col min="213" max="213" width="12.796875" bestFit="1" customWidth="1"/>
    <col min="214" max="214" width="13.8984375" bestFit="1" customWidth="1"/>
    <col min="215" max="215" width="12.796875" bestFit="1" customWidth="1"/>
    <col min="216" max="218" width="13.8984375" bestFit="1" customWidth="1"/>
    <col min="219" max="220" width="14.8984375" bestFit="1" customWidth="1"/>
    <col min="221" max="222" width="13.8984375" bestFit="1" customWidth="1"/>
    <col min="223" max="225" width="14.8984375" bestFit="1" customWidth="1"/>
    <col min="226" max="226" width="13.8984375" bestFit="1" customWidth="1"/>
    <col min="227" max="230" width="14.8984375" bestFit="1" customWidth="1"/>
    <col min="231" max="231" width="12.796875" bestFit="1" customWidth="1"/>
    <col min="232" max="232" width="13.8984375" bestFit="1" customWidth="1"/>
    <col min="233" max="233" width="12.796875" bestFit="1" customWidth="1"/>
    <col min="234" max="236" width="13.8984375" bestFit="1" customWidth="1"/>
    <col min="237" max="237" width="12.796875" bestFit="1" customWidth="1"/>
    <col min="238" max="241" width="13.8984375" bestFit="1" customWidth="1"/>
    <col min="242" max="242" width="12.796875" bestFit="1" customWidth="1"/>
    <col min="243" max="245" width="13.8984375" bestFit="1" customWidth="1"/>
    <col min="246" max="248" width="12.796875" bestFit="1" customWidth="1"/>
    <col min="249" max="260" width="13.8984375" bestFit="1" customWidth="1"/>
    <col min="261" max="263" width="14.8984375" bestFit="1" customWidth="1"/>
    <col min="264" max="264" width="13.8984375" bestFit="1" customWidth="1"/>
    <col min="265" max="269" width="14.8984375" bestFit="1" customWidth="1"/>
    <col min="270" max="271" width="12.796875" bestFit="1" customWidth="1"/>
    <col min="272" max="275" width="13.8984375" bestFit="1" customWidth="1"/>
    <col min="276" max="277" width="12.796875" bestFit="1" customWidth="1"/>
    <col min="278" max="279" width="13.8984375" bestFit="1" customWidth="1"/>
    <col min="280" max="281" width="12.796875" bestFit="1" customWidth="1"/>
    <col min="282" max="290" width="13.8984375" bestFit="1" customWidth="1"/>
    <col min="291" max="291" width="12.796875" bestFit="1" customWidth="1"/>
    <col min="292" max="294" width="13.8984375" bestFit="1" customWidth="1"/>
    <col min="295" max="295" width="12.796875" bestFit="1" customWidth="1"/>
    <col min="296" max="297" width="13.8984375" bestFit="1" customWidth="1"/>
    <col min="298" max="298" width="12.796875" bestFit="1" customWidth="1"/>
    <col min="299" max="299" width="14.8984375" bestFit="1" customWidth="1"/>
    <col min="300" max="301" width="13.8984375" bestFit="1" customWidth="1"/>
    <col min="302" max="304" width="14.8984375" bestFit="1" customWidth="1"/>
    <col min="305" max="305" width="13.8984375" bestFit="1" customWidth="1"/>
    <col min="306" max="307" width="14.8984375" bestFit="1" customWidth="1"/>
    <col min="308" max="308" width="12.796875" bestFit="1" customWidth="1"/>
    <col min="309" max="311" width="13.8984375" bestFit="1" customWidth="1"/>
    <col min="312" max="312" width="12.796875" bestFit="1" customWidth="1"/>
    <col min="313" max="319" width="13.8984375" bestFit="1" customWidth="1"/>
    <col min="320" max="320" width="12.796875" bestFit="1" customWidth="1"/>
    <col min="321" max="325" width="13.8984375" bestFit="1" customWidth="1"/>
    <col min="326" max="328" width="14.8984375" bestFit="1" customWidth="1"/>
    <col min="329" max="330" width="13.8984375" bestFit="1" customWidth="1"/>
    <col min="331" max="334" width="14.8984375" bestFit="1" customWidth="1"/>
    <col min="335" max="335" width="12.796875" bestFit="1" customWidth="1"/>
    <col min="336" max="337" width="13.8984375" bestFit="1" customWidth="1"/>
    <col min="338" max="340" width="12.796875" bestFit="1" customWidth="1"/>
    <col min="341" max="341" width="13.8984375" bestFit="1" customWidth="1"/>
    <col min="342" max="342" width="12.796875" bestFit="1" customWidth="1"/>
    <col min="343" max="344" width="13.8984375" bestFit="1" customWidth="1"/>
    <col min="345" max="346" width="12.796875" bestFit="1" customWidth="1"/>
    <col min="347" max="351" width="13.8984375" bestFit="1" customWidth="1"/>
    <col min="352" max="352" width="12.796875" bestFit="1" customWidth="1"/>
    <col min="353" max="353" width="13.8984375" bestFit="1" customWidth="1"/>
    <col min="354" max="354" width="12.796875" bestFit="1" customWidth="1"/>
    <col min="355" max="358" width="13.8984375" bestFit="1" customWidth="1"/>
    <col min="359" max="359" width="12.796875" bestFit="1" customWidth="1"/>
    <col min="360" max="362" width="13.8984375" bestFit="1" customWidth="1"/>
    <col min="363" max="363" width="14.8984375" bestFit="1" customWidth="1"/>
    <col min="364" max="365" width="13.8984375" bestFit="1" customWidth="1"/>
    <col min="366" max="367" width="14.8984375" bestFit="1" customWidth="1"/>
    <col min="368" max="373" width="13.8984375" bestFit="1" customWidth="1"/>
    <col min="374" max="374" width="12.796875" bestFit="1" customWidth="1"/>
    <col min="375" max="380" width="13.8984375" bestFit="1" customWidth="1"/>
    <col min="381" max="381" width="12.796875" bestFit="1" customWidth="1"/>
    <col min="382" max="383" width="13.8984375" bestFit="1" customWidth="1"/>
    <col min="384" max="386" width="12.796875" bestFit="1" customWidth="1"/>
    <col min="387" max="388" width="13.8984375" bestFit="1" customWidth="1"/>
    <col min="389" max="389" width="12.796875" bestFit="1" customWidth="1"/>
    <col min="390" max="392" width="13.8984375" bestFit="1" customWidth="1"/>
    <col min="393" max="399" width="14.8984375" bestFit="1" customWidth="1"/>
    <col min="400" max="401" width="13.8984375" bestFit="1" customWidth="1"/>
    <col min="402" max="402" width="12.796875" bestFit="1" customWidth="1"/>
    <col min="403" max="403" width="13.8984375" bestFit="1" customWidth="1"/>
    <col min="404" max="404" width="12.796875" bestFit="1" customWidth="1"/>
    <col min="405" max="405" width="14.8984375" bestFit="1" customWidth="1"/>
    <col min="406" max="406" width="13.8984375" bestFit="1" customWidth="1"/>
    <col min="407" max="407" width="14.8984375" bestFit="1" customWidth="1"/>
    <col min="408" max="410" width="13.8984375" bestFit="1" customWidth="1"/>
    <col min="411" max="411" width="12.796875" bestFit="1" customWidth="1"/>
    <col min="412" max="412" width="14.8984375" bestFit="1" customWidth="1"/>
    <col min="413" max="414" width="13.8984375" bestFit="1" customWidth="1"/>
    <col min="415" max="415" width="14.8984375" bestFit="1" customWidth="1"/>
    <col min="416" max="416" width="12.796875" bestFit="1" customWidth="1"/>
    <col min="417" max="418" width="13.8984375" bestFit="1" customWidth="1"/>
    <col min="419" max="420" width="12.796875" bestFit="1" customWidth="1"/>
    <col min="421" max="426" width="13.8984375" bestFit="1" customWidth="1"/>
    <col min="427" max="427" width="12.796875" bestFit="1" customWidth="1"/>
    <col min="428" max="433" width="13.8984375" bestFit="1" customWidth="1"/>
    <col min="434" max="435" width="12.796875" bestFit="1" customWidth="1"/>
    <col min="436" max="443" width="13.8984375" bestFit="1" customWidth="1"/>
    <col min="444" max="444" width="12.796875" bestFit="1" customWidth="1"/>
    <col min="445" max="448" width="13.8984375" bestFit="1" customWidth="1"/>
    <col min="449" max="450" width="12.796875" bestFit="1" customWidth="1"/>
    <col min="451" max="454" width="13.8984375" bestFit="1" customWidth="1"/>
    <col min="455" max="455" width="12.796875" bestFit="1" customWidth="1"/>
    <col min="456" max="458" width="13.8984375" bestFit="1" customWidth="1"/>
    <col min="459" max="462" width="14.8984375" bestFit="1" customWidth="1"/>
    <col min="463" max="464" width="13.8984375" bestFit="1" customWidth="1"/>
    <col min="465" max="467" width="14.8984375" bestFit="1" customWidth="1"/>
    <col min="468" max="468" width="13.8984375" bestFit="1" customWidth="1"/>
    <col min="469" max="470" width="14.8984375" bestFit="1" customWidth="1"/>
    <col min="471" max="472" width="12.796875" bestFit="1" customWidth="1"/>
    <col min="473" max="481" width="13.8984375" bestFit="1" customWidth="1"/>
    <col min="482" max="482" width="12.796875" bestFit="1" customWidth="1"/>
    <col min="483" max="484" width="13.8984375" bestFit="1" customWidth="1"/>
    <col min="485" max="486" width="12.796875" bestFit="1" customWidth="1"/>
    <col min="487" max="492" width="13.8984375" bestFit="1" customWidth="1"/>
    <col min="493" max="494" width="12.796875" bestFit="1" customWidth="1"/>
    <col min="495" max="496" width="13.8984375" bestFit="1" customWidth="1"/>
    <col min="497" max="498" width="12.796875" bestFit="1" customWidth="1"/>
    <col min="499" max="502" width="13.8984375" bestFit="1" customWidth="1"/>
    <col min="503" max="503" width="12.796875" bestFit="1" customWidth="1"/>
    <col min="504" max="508" width="13.8984375" bestFit="1" customWidth="1"/>
    <col min="509" max="517" width="14.8984375" bestFit="1" customWidth="1"/>
    <col min="518" max="519" width="13.8984375" bestFit="1" customWidth="1"/>
    <col min="520" max="522" width="14.8984375" bestFit="1" customWidth="1"/>
    <col min="523" max="524" width="12.796875" bestFit="1" customWidth="1"/>
    <col min="525" max="527" width="13.8984375" bestFit="1" customWidth="1"/>
    <col min="528" max="528" width="12.796875" bestFit="1" customWidth="1"/>
    <col min="529" max="530" width="13.8984375" bestFit="1" customWidth="1"/>
    <col min="531" max="531" width="12.796875" bestFit="1" customWidth="1"/>
    <col min="532" max="535" width="13.8984375" bestFit="1" customWidth="1"/>
    <col min="536" max="537" width="12.796875" bestFit="1" customWidth="1"/>
    <col min="538" max="539" width="13.8984375" bestFit="1" customWidth="1"/>
    <col min="540" max="540" width="12.796875" bestFit="1" customWidth="1"/>
    <col min="541" max="547" width="13.8984375" bestFit="1" customWidth="1"/>
    <col min="548" max="549" width="12.796875" bestFit="1" customWidth="1"/>
    <col min="550" max="554" width="13.8984375" bestFit="1" customWidth="1"/>
    <col min="555" max="559" width="14.8984375" bestFit="1" customWidth="1"/>
    <col min="560" max="560" width="13.8984375" bestFit="1" customWidth="1"/>
    <col min="561" max="561" width="14.8984375" bestFit="1" customWidth="1"/>
    <col min="562" max="562" width="12.796875" bestFit="1" customWidth="1"/>
    <col min="563" max="563" width="13.8984375" bestFit="1" customWidth="1"/>
    <col min="564" max="566" width="12.796875" bestFit="1" customWidth="1"/>
    <col min="567" max="569" width="13.8984375" bestFit="1" customWidth="1"/>
    <col min="570" max="571" width="12.796875" bestFit="1" customWidth="1"/>
    <col min="572" max="573" width="13.8984375" bestFit="1" customWidth="1"/>
    <col min="574" max="575" width="12.796875" bestFit="1" customWidth="1"/>
    <col min="576" max="583" width="13.8984375" bestFit="1" customWidth="1"/>
    <col min="584" max="584" width="12.796875" bestFit="1" customWidth="1"/>
    <col min="585" max="588" width="13.8984375" bestFit="1" customWidth="1"/>
    <col min="589" max="590" width="12.796875" bestFit="1" customWidth="1"/>
    <col min="591" max="594" width="13.8984375" bestFit="1" customWidth="1"/>
    <col min="595" max="604" width="14.8984375" bestFit="1" customWidth="1"/>
    <col min="605" max="606" width="12.796875" bestFit="1" customWidth="1"/>
    <col min="607" max="617" width="13.8984375" bestFit="1" customWidth="1"/>
    <col min="618" max="619" width="12.796875" bestFit="1" customWidth="1"/>
    <col min="620" max="623" width="13.8984375" bestFit="1" customWidth="1"/>
    <col min="624" max="625" width="12.796875" bestFit="1" customWidth="1"/>
    <col min="626" max="627" width="13.8984375" bestFit="1" customWidth="1"/>
    <col min="628" max="629" width="12.796875" bestFit="1" customWidth="1"/>
    <col min="630" max="632" width="13.8984375" bestFit="1" customWidth="1"/>
    <col min="633" max="634" width="12.796875" bestFit="1" customWidth="1"/>
    <col min="635" max="640" width="13.8984375" bestFit="1" customWidth="1"/>
    <col min="641" max="641" width="12.796875" bestFit="1" customWidth="1"/>
    <col min="642" max="643" width="13.8984375" bestFit="1" customWidth="1"/>
    <col min="644" max="644" width="12.796875" bestFit="1" customWidth="1"/>
    <col min="645" max="652" width="13.8984375" bestFit="1" customWidth="1"/>
    <col min="653" max="659" width="14.8984375" bestFit="1" customWidth="1"/>
    <col min="660" max="661" width="12.796875" bestFit="1" customWidth="1"/>
    <col min="662" max="669" width="13.8984375" bestFit="1" customWidth="1"/>
    <col min="670" max="670" width="12.796875" bestFit="1" customWidth="1"/>
    <col min="671" max="675" width="13.8984375" bestFit="1" customWidth="1"/>
    <col min="676" max="676" width="12.796875" bestFit="1" customWidth="1"/>
    <col min="677" max="680" width="13.8984375" bestFit="1" customWidth="1"/>
    <col min="681" max="682" width="12.796875" bestFit="1" customWidth="1"/>
    <col min="683" max="687" width="13.8984375" bestFit="1" customWidth="1"/>
    <col min="688" max="688" width="12.796875" bestFit="1" customWidth="1"/>
    <col min="689" max="691" width="13.8984375" bestFit="1" customWidth="1"/>
    <col min="692" max="692" width="12.796875" bestFit="1" customWidth="1"/>
    <col min="693" max="694" width="13.8984375" bestFit="1" customWidth="1"/>
    <col min="695" max="695" width="12.796875" bestFit="1" customWidth="1"/>
    <col min="696" max="701" width="13.8984375" bestFit="1" customWidth="1"/>
    <col min="702" max="705" width="14.8984375" bestFit="1" customWidth="1"/>
    <col min="706" max="706" width="13.8984375" bestFit="1" customWidth="1"/>
    <col min="707" max="707" width="14.8984375" bestFit="1" customWidth="1"/>
    <col min="708" max="710" width="12.796875" bestFit="1" customWidth="1"/>
    <col min="711" max="711" width="13.8984375" bestFit="1" customWidth="1"/>
    <col min="712" max="712" width="12.796875" bestFit="1" customWidth="1"/>
    <col min="713" max="717" width="13.8984375" bestFit="1" customWidth="1"/>
    <col min="718" max="720" width="12.796875" bestFit="1" customWidth="1"/>
    <col min="721" max="724" width="13.8984375" bestFit="1" customWidth="1"/>
    <col min="725" max="726" width="12.796875" bestFit="1" customWidth="1"/>
    <col min="727" max="731" width="13.8984375" bestFit="1" customWidth="1"/>
    <col min="732" max="733" width="12.796875" bestFit="1" customWidth="1"/>
    <col min="734" max="735" width="13.8984375" bestFit="1" customWidth="1"/>
    <col min="736" max="738" width="12.796875" bestFit="1" customWidth="1"/>
    <col min="739" max="745" width="13.8984375" bestFit="1" customWidth="1"/>
    <col min="746" max="748" width="14.8984375" bestFit="1" customWidth="1"/>
    <col min="749" max="749" width="13.8984375" bestFit="1" customWidth="1"/>
    <col min="750" max="754" width="14.8984375" bestFit="1" customWidth="1"/>
    <col min="755" max="763" width="13.8984375" bestFit="1" customWidth="1"/>
    <col min="764" max="765" width="12.796875" bestFit="1" customWidth="1"/>
    <col min="766" max="772" width="13.8984375" bestFit="1" customWidth="1"/>
    <col min="773" max="774" width="12.796875" bestFit="1" customWidth="1"/>
    <col min="775" max="779" width="13.8984375" bestFit="1" customWidth="1"/>
    <col min="780" max="780" width="12.796875" bestFit="1" customWidth="1"/>
    <col min="781" max="792" width="13.8984375" bestFit="1" customWidth="1"/>
    <col min="793" max="793" width="12.796875" bestFit="1" customWidth="1"/>
    <col min="794" max="797" width="13.8984375" bestFit="1" customWidth="1"/>
    <col min="798" max="799" width="12.796875" bestFit="1" customWidth="1"/>
    <col min="800" max="804" width="13.8984375" bestFit="1" customWidth="1"/>
    <col min="805" max="805" width="14.8984375" bestFit="1" customWidth="1"/>
    <col min="806" max="808" width="13.8984375" bestFit="1" customWidth="1"/>
    <col min="809" max="813" width="14.8984375" bestFit="1" customWidth="1"/>
    <col min="814" max="814" width="13.8984375" bestFit="1" customWidth="1"/>
    <col min="815" max="818" width="14.8984375" bestFit="1" customWidth="1"/>
    <col min="819" max="820" width="12.796875" bestFit="1" customWidth="1"/>
    <col min="821" max="827" width="13.8984375" bestFit="1" customWidth="1"/>
    <col min="828" max="829" width="12.796875" bestFit="1" customWidth="1"/>
    <col min="830" max="831" width="13.8984375" bestFit="1" customWidth="1"/>
    <col min="832" max="832" width="12.796875" bestFit="1" customWidth="1"/>
    <col min="833" max="834" width="13.8984375" bestFit="1" customWidth="1"/>
    <col min="835" max="837" width="12.796875" bestFit="1" customWidth="1"/>
    <col min="838" max="840" width="13.8984375" bestFit="1" customWidth="1"/>
    <col min="841" max="842" width="12.796875" bestFit="1" customWidth="1"/>
    <col min="843" max="856" width="13.8984375" bestFit="1" customWidth="1"/>
    <col min="857" max="857" width="12.796875" bestFit="1" customWidth="1"/>
    <col min="858" max="863" width="13.8984375" bestFit="1" customWidth="1"/>
    <col min="864" max="865" width="14.8984375" bestFit="1" customWidth="1"/>
    <col min="866" max="866" width="13.8984375" bestFit="1" customWidth="1"/>
    <col min="867" max="869" width="14.8984375" bestFit="1" customWidth="1"/>
    <col min="870" max="871" width="13.8984375" bestFit="1" customWidth="1"/>
    <col min="872" max="873" width="14.8984375" bestFit="1" customWidth="1"/>
    <col min="874" max="874" width="12.796875" bestFit="1" customWidth="1"/>
    <col min="875" max="882" width="13.8984375" bestFit="1" customWidth="1"/>
    <col min="883" max="884" width="12.796875" bestFit="1" customWidth="1"/>
    <col min="885" max="887" width="13.8984375" bestFit="1" customWidth="1"/>
    <col min="888" max="888" width="12.796875" bestFit="1" customWidth="1"/>
    <col min="889" max="893" width="13.8984375" bestFit="1" customWidth="1"/>
    <col min="894" max="896" width="12.796875" bestFit="1" customWidth="1"/>
    <col min="897" max="902" width="13.8984375" bestFit="1" customWidth="1"/>
    <col min="903" max="904" width="12.796875" bestFit="1" customWidth="1"/>
    <col min="905" max="910" width="13.8984375" bestFit="1" customWidth="1"/>
    <col min="911" max="912" width="12.796875" bestFit="1" customWidth="1"/>
    <col min="913" max="914" width="13.8984375" bestFit="1" customWidth="1"/>
    <col min="915" max="917" width="12.796875" bestFit="1" customWidth="1"/>
    <col min="918" max="919" width="13.8984375" bestFit="1" customWidth="1"/>
    <col min="920" max="931" width="14.8984375" bestFit="1" customWidth="1"/>
    <col min="932" max="933" width="13.8984375" bestFit="1" customWidth="1"/>
    <col min="934" max="936" width="14.8984375" bestFit="1" customWidth="1"/>
    <col min="937" max="937" width="10.8984375" bestFit="1" customWidth="1"/>
  </cols>
  <sheetData>
    <row r="1" spans="1:5" x14ac:dyDescent="0.3">
      <c r="A1" s="5" t="s">
        <v>2031</v>
      </c>
      <c r="B1" t="s" vm="1">
        <v>2085</v>
      </c>
    </row>
    <row r="2" spans="1:5" x14ac:dyDescent="0.3">
      <c r="A2" s="5" t="s">
        <v>2086</v>
      </c>
      <c r="B2" t="s" vm="2">
        <v>2085</v>
      </c>
    </row>
    <row r="4" spans="1:5" x14ac:dyDescent="0.3">
      <c r="A4" s="5" t="s">
        <v>2066</v>
      </c>
      <c r="B4" s="5" t="s">
        <v>2070</v>
      </c>
    </row>
    <row r="5" spans="1:5" x14ac:dyDescent="0.3">
      <c r="A5" s="5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3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6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C187-50F6-496A-B458-DFF77738E759}">
  <sheetPr codeName="Sheet5"/>
  <dimension ref="A1:H13"/>
  <sheetViews>
    <sheetView tabSelected="1" workbookViewId="0">
      <selection activeCell="A5" sqref="A5"/>
    </sheetView>
  </sheetViews>
  <sheetFormatPr defaultRowHeight="15.6" x14ac:dyDescent="0.3"/>
  <cols>
    <col min="1" max="1" width="27" customWidth="1"/>
    <col min="2" max="2" width="17.59765625" customWidth="1"/>
    <col min="3" max="3" width="13.69921875" customWidth="1"/>
    <col min="4" max="4" width="16" customWidth="1"/>
    <col min="5" max="5" width="12.59765625" customWidth="1"/>
    <col min="6" max="6" width="19.09765625" customWidth="1"/>
    <col min="7" max="7" width="15.296875" customWidth="1"/>
    <col min="8" max="8" width="18.19921875" customWidth="1"/>
  </cols>
  <sheetData>
    <row r="1" spans="1:8" x14ac:dyDescent="0.3">
      <c r="A1" s="1" t="s">
        <v>2087</v>
      </c>
      <c r="B1" s="1" t="s">
        <v>2088</v>
      </c>
      <c r="C1" s="1" t="s">
        <v>2089</v>
      </c>
      <c r="D1" s="1" t="s">
        <v>2090</v>
      </c>
      <c r="E1" s="1" t="s">
        <v>2091</v>
      </c>
      <c r="F1" s="1" t="s">
        <v>2092</v>
      </c>
      <c r="G1" s="1" t="s">
        <v>2093</v>
      </c>
      <c r="H1" s="1" t="s">
        <v>2094</v>
      </c>
    </row>
    <row r="2" spans="1:8" x14ac:dyDescent="0.3">
      <c r="A2" t="s">
        <v>2095</v>
      </c>
      <c r="B2">
        <f>COUNTIFS(Crowdfunding!D2:D1001,"&lt;1000",Crowdfunding!G2:G1001,"=successful" )</f>
        <v>30</v>
      </c>
      <c r="C2">
        <f>COUNTIFS(Crowdfunding!D2:D1001,"&lt;1000",Crowdfunding!G2:G1001,"=failed" )</f>
        <v>20</v>
      </c>
      <c r="D2">
        <f>COUNTIFS(Crowdfunding!D2:D1001,"&lt;1000",Crowdfunding!G2:G1001,"=canceled" )</f>
        <v>1</v>
      </c>
      <c r="E2">
        <f>SUM(B2:D2)</f>
        <v>51</v>
      </c>
      <c r="F2" s="9">
        <f>(B2)/E2</f>
        <v>0.58823529411764708</v>
      </c>
      <c r="G2" s="8">
        <f>C2/E2</f>
        <v>0.39215686274509803</v>
      </c>
      <c r="H2" s="9">
        <f t="shared" ref="H2:H13" si="0">D2/E2</f>
        <v>1.9607843137254902E-2</v>
      </c>
    </row>
    <row r="3" spans="1:8" x14ac:dyDescent="0.3">
      <c r="A3" t="s">
        <v>2096</v>
      </c>
      <c r="B3">
        <f>COUNTIFS(Crowdfunding!D2:D1001,"&gt;=1000",Crowdfunding!D2:D1001,"&lt;5000",Crowdfunding!G2:G1001,"=successful" )</f>
        <v>191</v>
      </c>
      <c r="C3">
        <f>COUNTIFS(Crowdfunding!D2:D1001,"&gt;=1000",Crowdfunding!D2:D1001,"&lt;5000",Crowdfunding!G2:G1001,"=failed" )</f>
        <v>38</v>
      </c>
      <c r="D3">
        <f>COUNTIFS(Crowdfunding!D2:D1001,"&gt;=1000",Crowdfunding!D2:D1001,"&lt;5000",Crowdfunding!G2:G1001,"=canceled" )</f>
        <v>2</v>
      </c>
      <c r="E3">
        <f t="shared" ref="E3:E13" si="1">SUM(B3:D3)</f>
        <v>231</v>
      </c>
      <c r="F3" s="9">
        <f t="shared" ref="F3:F13" si="2">(B3)/E3</f>
        <v>0.82683982683982682</v>
      </c>
      <c r="G3" s="8">
        <f t="shared" ref="G3:G13" si="3">C3/E3</f>
        <v>0.16450216450216451</v>
      </c>
      <c r="H3" s="9">
        <f t="shared" si="0"/>
        <v>8.658008658008658E-3</v>
      </c>
    </row>
    <row r="4" spans="1:8" x14ac:dyDescent="0.3">
      <c r="A4" t="s">
        <v>2097</v>
      </c>
      <c r="B4">
        <f>COUNTIFS(Crowdfunding!D2:D1001,"&gt;=5000",Crowdfunding!D2:D1001,"&lt;10000",Crowdfunding!G2:G1001,"=successful" )</f>
        <v>164</v>
      </c>
      <c r="C4">
        <f>COUNTIFS(Crowdfunding!D2:D1001,"&gt;=5000",Crowdfunding!D2:D1001,"&lt;10000",Crowdfunding!G2:G1001,"=failed" )</f>
        <v>126</v>
      </c>
      <c r="D4">
        <f>COUNTIFS(Crowdfunding!D2:D1001,"&gt;=5000",Crowdfunding!D2:D1001,"&lt;10000",Crowdfunding!G2:G1001,"=canceled" )</f>
        <v>25</v>
      </c>
      <c r="E4">
        <f t="shared" si="1"/>
        <v>315</v>
      </c>
      <c r="F4" s="9">
        <f t="shared" si="2"/>
        <v>0.52063492063492067</v>
      </c>
      <c r="G4" s="8">
        <f t="shared" si="3"/>
        <v>0.4</v>
      </c>
      <c r="H4" s="9">
        <f t="shared" si="0"/>
        <v>7.9365079365079361E-2</v>
      </c>
    </row>
    <row r="5" spans="1:8" x14ac:dyDescent="0.3">
      <c r="A5" t="s">
        <v>2098</v>
      </c>
      <c r="B5">
        <f>COUNTIFS(Crowdfunding!D2:D1001,"&gt;=10000",Crowdfunding!D2:D1001,"&lt;15000",Crowdfunding!G2:G1001,"=successful" )</f>
        <v>4</v>
      </c>
      <c r="C5">
        <f>COUNTIFS(Crowdfunding!D2:D1001,"&gt;=10000",Crowdfunding!D2:D1001,"&lt;15000",Crowdfunding!G2:G1001,"=failed" )</f>
        <v>5</v>
      </c>
      <c r="D5">
        <f>COUNTIFS(Crowdfunding!D2:D1001,"&gt;=10000",Crowdfunding!D2:D1001,"&lt;15000",Crowdfunding!G2:G1001,"=canceled" )</f>
        <v>0</v>
      </c>
      <c r="E5">
        <f t="shared" si="1"/>
        <v>9</v>
      </c>
      <c r="F5" s="9">
        <f t="shared" si="2"/>
        <v>0.44444444444444442</v>
      </c>
      <c r="G5" s="8">
        <f t="shared" si="3"/>
        <v>0.55555555555555558</v>
      </c>
      <c r="H5" s="9">
        <f t="shared" si="0"/>
        <v>0</v>
      </c>
    </row>
    <row r="6" spans="1:8" x14ac:dyDescent="0.3">
      <c r="A6" t="s">
        <v>2099</v>
      </c>
      <c r="B6">
        <f>COUNTIFS(Crowdfunding!D2:D1001,"&gt;=15000",Crowdfunding!D2:D1001,"&lt;20000",Crowdfunding!G2:G1001,"=successful" )</f>
        <v>10</v>
      </c>
      <c r="C6">
        <f>COUNTIFS(Crowdfunding!D2:D1001,"&gt;=15000",Crowdfunding!D2:D1001,"&lt;20000",Crowdfunding!G2:G1001,"=failed" )</f>
        <v>0</v>
      </c>
      <c r="D6">
        <f>COUNTIFS(Crowdfunding!D2:D1001,"&gt;=15000",Crowdfunding!D2:D1001,"&lt;20000",Crowdfunding!G2:G1001,"=canceled" )</f>
        <v>0</v>
      </c>
      <c r="E6">
        <f t="shared" si="1"/>
        <v>10</v>
      </c>
      <c r="F6" s="9">
        <f t="shared" si="2"/>
        <v>1</v>
      </c>
      <c r="G6" s="8">
        <f t="shared" si="3"/>
        <v>0</v>
      </c>
      <c r="H6" s="9">
        <f t="shared" si="0"/>
        <v>0</v>
      </c>
    </row>
    <row r="7" spans="1:8" x14ac:dyDescent="0.3">
      <c r="A7" t="s">
        <v>2100</v>
      </c>
      <c r="B7">
        <f>COUNTIFS(Crowdfunding!D2:D1001,"&gt;=20000",Crowdfunding!D2:D1001,"&lt;25000",Crowdfunding!G2:G1001,"=successful" )</f>
        <v>7</v>
      </c>
      <c r="C7">
        <f>COUNTIFS(Crowdfunding!D2:D1001,"&gt;=20000",Crowdfunding!D2:D1001,"&lt;25000",Crowdfunding!G2:G1001,"=failed" )</f>
        <v>0</v>
      </c>
      <c r="D7">
        <f>COUNTIFS(Crowdfunding!D2:D1001,"&gt;=20000",Crowdfunding!D2:D1001,"&lt;25000",Crowdfunding!G2:G1001,"=canceled" )</f>
        <v>0</v>
      </c>
      <c r="E7">
        <f t="shared" si="1"/>
        <v>7</v>
      </c>
      <c r="F7" s="9">
        <f t="shared" si="2"/>
        <v>1</v>
      </c>
      <c r="G7" s="8">
        <f t="shared" si="3"/>
        <v>0</v>
      </c>
      <c r="H7" s="9">
        <f t="shared" si="0"/>
        <v>0</v>
      </c>
    </row>
    <row r="8" spans="1:8" x14ac:dyDescent="0.3">
      <c r="A8" t="s">
        <v>2101</v>
      </c>
      <c r="B8">
        <f>COUNTIFS(Crowdfunding!D2:D1001,"&gt;=25000",Crowdfunding!D2:D1001,"&lt;30000",Crowdfunding!G2:G1001,"=successful" )</f>
        <v>11</v>
      </c>
      <c r="C8">
        <f>COUNTIFS(Crowdfunding!D2:D1001,"&gt;=25000",Crowdfunding!D2:D1001,"&lt;30000",Crowdfunding!G2:G1001,"=failed" )</f>
        <v>3</v>
      </c>
      <c r="D8">
        <f>COUNTIFS(Crowdfunding!D2:D1001,"&gt;=25000",Crowdfunding!D2:D1001,"&lt;30000",Crowdfunding!G2:G1001,"=canceled" )</f>
        <v>0</v>
      </c>
      <c r="E8">
        <f t="shared" si="1"/>
        <v>14</v>
      </c>
      <c r="F8" s="9">
        <f t="shared" si="2"/>
        <v>0.7857142857142857</v>
      </c>
      <c r="G8" s="8">
        <f t="shared" si="3"/>
        <v>0.21428571428571427</v>
      </c>
      <c r="H8" s="9">
        <f t="shared" si="0"/>
        <v>0</v>
      </c>
    </row>
    <row r="9" spans="1:8" x14ac:dyDescent="0.3">
      <c r="A9" t="s">
        <v>2102</v>
      </c>
      <c r="B9">
        <f>COUNTIFS(Crowdfunding!D2:D1001,"&gt;=30000",Crowdfunding!D2:D1001,"&lt;35000",Crowdfunding!G2:G1001,"=successful" )</f>
        <v>7</v>
      </c>
      <c r="C9">
        <f>COUNTIFS(Crowdfunding!D2:D1001,"&gt;=30000",Crowdfunding!D2:D1001,"&lt;35000",Crowdfunding!G2:G1001,"=failed" )</f>
        <v>0</v>
      </c>
      <c r="D9">
        <f>COUNTIFS(Crowdfunding!D2:D1001,"&gt;=30000",Crowdfunding!D2:D1001,"&lt;35000",Crowdfunding!G2:G1001,"=canceled" )</f>
        <v>0</v>
      </c>
      <c r="E9">
        <f t="shared" si="1"/>
        <v>7</v>
      </c>
      <c r="F9" s="9">
        <f t="shared" si="2"/>
        <v>1</v>
      </c>
      <c r="G9" s="8">
        <f t="shared" si="3"/>
        <v>0</v>
      </c>
      <c r="H9" s="9">
        <f t="shared" si="0"/>
        <v>0</v>
      </c>
    </row>
    <row r="10" spans="1:8" x14ac:dyDescent="0.3">
      <c r="A10" t="s">
        <v>2103</v>
      </c>
      <c r="B10">
        <f>COUNTIFS(Crowdfunding!D2:D1001,"&gt;=35000",Crowdfunding!D2:D1001,"&lt;40000",Crowdfunding!G2:G1001,"=successful" )</f>
        <v>8</v>
      </c>
      <c r="C10">
        <f>COUNTIFS(Crowdfunding!D2:D1001,"&gt;=35000",Crowdfunding!D2:D1001,"&lt;40000",Crowdfunding!G2:G1001,"=failed" )</f>
        <v>3</v>
      </c>
      <c r="D10">
        <f>COUNTIFS(Crowdfunding!D2:D1001,"&gt;=35000",Crowdfunding!D2:D1001,"&lt;40000",Crowdfunding!G2:G1001,"=canceled" )</f>
        <v>1</v>
      </c>
      <c r="E10">
        <f t="shared" si="1"/>
        <v>12</v>
      </c>
      <c r="F10" s="9">
        <f t="shared" si="2"/>
        <v>0.66666666666666663</v>
      </c>
      <c r="G10" s="8">
        <f t="shared" si="3"/>
        <v>0.25</v>
      </c>
      <c r="H10" s="9">
        <f t="shared" si="0"/>
        <v>8.3333333333333329E-2</v>
      </c>
    </row>
    <row r="11" spans="1:8" x14ac:dyDescent="0.3">
      <c r="A11" t="s">
        <v>2104</v>
      </c>
      <c r="B11">
        <f>COUNTIFS(Crowdfunding!D2:D1001,"&gt;=40000",Crowdfunding!D2:D1001,"&lt;45000",Crowdfunding!G2:G1001,"=successful" )</f>
        <v>11</v>
      </c>
      <c r="C11">
        <f>COUNTIFS(Crowdfunding!D2:D1001,"&gt;=40000",Crowdfunding!D2:D1001,"&lt;45000",Crowdfunding!G2:G1001,"=failed" )</f>
        <v>3</v>
      </c>
      <c r="D11">
        <f>COUNTIFS(Crowdfunding!D2:D1001,"&gt;=40000",Crowdfunding!D2:D1001,"&lt;45000",Crowdfunding!G2:G1001,"=canceled" )</f>
        <v>0</v>
      </c>
      <c r="E11">
        <f t="shared" si="1"/>
        <v>14</v>
      </c>
      <c r="F11" s="9">
        <f t="shared" si="2"/>
        <v>0.7857142857142857</v>
      </c>
      <c r="G11" s="8">
        <f t="shared" si="3"/>
        <v>0.21428571428571427</v>
      </c>
      <c r="H11" s="9">
        <f t="shared" si="0"/>
        <v>0</v>
      </c>
    </row>
    <row r="12" spans="1:8" x14ac:dyDescent="0.3">
      <c r="A12" t="s">
        <v>2105</v>
      </c>
      <c r="B12">
        <f>COUNTIFS(Crowdfunding!D2:D1001,"&gt;=45000",Crowdfunding!D2:D1001,"&lt;50000",Crowdfunding!G2:G1001,"=successful" )</f>
        <v>8</v>
      </c>
      <c r="C12">
        <f>COUNTIFS(Crowdfunding!D2:D1001,"&gt;=45000",Crowdfunding!D2:D1001,"&lt;50000",Crowdfunding!G2:G1001,"=failed" )</f>
        <v>3</v>
      </c>
      <c r="D12">
        <f>COUNTIFS(Crowdfunding!D2:D1001,"&gt;=45000",Crowdfunding!D2:D1001,"&lt;50000",Crowdfunding!G2:G1001,"=canceled" )</f>
        <v>0</v>
      </c>
      <c r="E12">
        <f t="shared" si="1"/>
        <v>11</v>
      </c>
      <c r="F12" s="9">
        <f t="shared" si="2"/>
        <v>0.72727272727272729</v>
      </c>
      <c r="G12" s="8">
        <f t="shared" si="3"/>
        <v>0.27272727272727271</v>
      </c>
      <c r="H12" s="9">
        <f t="shared" si="0"/>
        <v>0</v>
      </c>
    </row>
    <row r="13" spans="1:8" x14ac:dyDescent="0.3">
      <c r="A13" t="s">
        <v>2106</v>
      </c>
      <c r="B13">
        <f>COUNTIFS(Crowdfunding!D2:D1001,"&gt;=50000",Crowdfunding!G2:G1001,"=successful" )</f>
        <v>114</v>
      </c>
      <c r="C13">
        <f>COUNTIFS(Crowdfunding!D2:D1001,"&gt;=50000",Crowdfunding!G2:G1001,"=failed" )</f>
        <v>163</v>
      </c>
      <c r="D13">
        <f>COUNTIFS(Crowdfunding!D2:D1001,"&gt;=50000",Crowdfunding!G2:G1001,"=canceled" )</f>
        <v>28</v>
      </c>
      <c r="E13">
        <f t="shared" si="1"/>
        <v>305</v>
      </c>
      <c r="F13" s="9">
        <f t="shared" si="2"/>
        <v>0.3737704918032787</v>
      </c>
      <c r="G13" s="8">
        <f t="shared" si="3"/>
        <v>0.53442622950819674</v>
      </c>
      <c r="H13" s="9">
        <f t="shared" si="0"/>
        <v>9.1803278688524587E-2</v>
      </c>
    </row>
  </sheetData>
  <pageMargins left="0.7" right="0.7" top="0.75" bottom="0.75" header="0.3" footer="0.3"/>
  <pageSetup orientation="portrait" r:id="rId1"/>
  <ignoredErrors>
    <ignoredError sqref="C2:C1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0622E-9671-4D54-A0B6-FDE2035731FC}">
  <sheetPr codeName="Sheet6"/>
  <dimension ref="A1:I566"/>
  <sheetViews>
    <sheetView workbookViewId="0">
      <selection activeCell="H9" sqref="H9"/>
    </sheetView>
  </sheetViews>
  <sheetFormatPr defaultRowHeight="15.6" x14ac:dyDescent="0.3"/>
  <cols>
    <col min="1" max="1" width="10.796875" customWidth="1"/>
    <col min="2" max="2" width="14.5" customWidth="1"/>
    <col min="3" max="3" width="9.8984375" customWidth="1"/>
    <col min="4" max="4" width="15.09765625" customWidth="1"/>
    <col min="5" max="5" width="15.19921875" customWidth="1"/>
    <col min="8" max="8" width="10.8984375" customWidth="1"/>
    <col min="9" max="9" width="10.5" customWidth="1"/>
  </cols>
  <sheetData>
    <row r="1" spans="1:9" x14ac:dyDescent="0.3">
      <c r="A1" s="1" t="s">
        <v>4</v>
      </c>
      <c r="B1" s="1" t="s">
        <v>5</v>
      </c>
      <c r="D1" s="1" t="s">
        <v>4</v>
      </c>
      <c r="E1" s="1" t="s">
        <v>5</v>
      </c>
    </row>
    <row r="2" spans="1:9" x14ac:dyDescent="0.3">
      <c r="A2" t="s">
        <v>20</v>
      </c>
      <c r="B2">
        <v>158</v>
      </c>
      <c r="D2" t="s">
        <v>14</v>
      </c>
      <c r="E2">
        <v>0</v>
      </c>
    </row>
    <row r="3" spans="1:9" x14ac:dyDescent="0.3">
      <c r="A3" t="s">
        <v>20</v>
      </c>
      <c r="B3">
        <v>1425</v>
      </c>
      <c r="D3" t="s">
        <v>14</v>
      </c>
      <c r="E3">
        <v>24</v>
      </c>
      <c r="H3" s="11" t="s">
        <v>20</v>
      </c>
      <c r="I3" s="11" t="s">
        <v>14</v>
      </c>
    </row>
    <row r="4" spans="1:9" x14ac:dyDescent="0.3">
      <c r="A4" t="s">
        <v>20</v>
      </c>
      <c r="B4">
        <v>174</v>
      </c>
      <c r="D4" t="s">
        <v>14</v>
      </c>
      <c r="E4">
        <v>53</v>
      </c>
      <c r="G4" s="10" t="s">
        <v>2107</v>
      </c>
      <c r="H4">
        <f>AVERAGE(B2:B566)</f>
        <v>851.14690265486729</v>
      </c>
      <c r="I4">
        <f>AVERAGE(E2:E365)</f>
        <v>585.61538461538464</v>
      </c>
    </row>
    <row r="5" spans="1:9" x14ac:dyDescent="0.3">
      <c r="A5" t="s">
        <v>20</v>
      </c>
      <c r="B5">
        <v>227</v>
      </c>
      <c r="D5" t="s">
        <v>14</v>
      </c>
      <c r="E5">
        <v>18</v>
      </c>
      <c r="G5" s="10" t="s">
        <v>2108</v>
      </c>
      <c r="H5">
        <f>MEDIAN(B2:B566)</f>
        <v>201</v>
      </c>
      <c r="I5">
        <f>MEDIAN(E2:E365)</f>
        <v>114.5</v>
      </c>
    </row>
    <row r="6" spans="1:9" x14ac:dyDescent="0.3">
      <c r="A6" t="s">
        <v>20</v>
      </c>
      <c r="B6">
        <v>220</v>
      </c>
      <c r="D6" t="s">
        <v>14</v>
      </c>
      <c r="E6">
        <v>44</v>
      </c>
      <c r="G6" s="10" t="s">
        <v>2109</v>
      </c>
      <c r="H6">
        <f>MIN(B2:B566)</f>
        <v>16</v>
      </c>
      <c r="I6">
        <f>MIN(E2:E365)</f>
        <v>0</v>
      </c>
    </row>
    <row r="7" spans="1:9" x14ac:dyDescent="0.3">
      <c r="A7" t="s">
        <v>20</v>
      </c>
      <c r="B7">
        <v>98</v>
      </c>
      <c r="D7" t="s">
        <v>14</v>
      </c>
      <c r="E7">
        <v>27</v>
      </c>
      <c r="G7" s="10" t="s">
        <v>2110</v>
      </c>
      <c r="H7">
        <f>MAX(B2:B566)</f>
        <v>7295</v>
      </c>
      <c r="I7">
        <f>MAX(E2:E365)</f>
        <v>6080</v>
      </c>
    </row>
    <row r="8" spans="1:9" x14ac:dyDescent="0.3">
      <c r="A8" t="s">
        <v>20</v>
      </c>
      <c r="B8">
        <v>100</v>
      </c>
      <c r="D8" t="s">
        <v>14</v>
      </c>
      <c r="E8">
        <v>55</v>
      </c>
      <c r="G8" s="10" t="s">
        <v>2111</v>
      </c>
      <c r="H8">
        <f>_xlfn.VAR.P(B2:B566)</f>
        <v>1603373.7324019109</v>
      </c>
      <c r="I8">
        <f>_xlfn.VAR.P(E2:E365)</f>
        <v>921574.68174133555</v>
      </c>
    </row>
    <row r="9" spans="1:9" x14ac:dyDescent="0.3">
      <c r="A9" t="s">
        <v>20</v>
      </c>
      <c r="B9">
        <v>1249</v>
      </c>
      <c r="D9" t="s">
        <v>14</v>
      </c>
      <c r="E9">
        <v>200</v>
      </c>
      <c r="G9" s="10" t="s">
        <v>2112</v>
      </c>
      <c r="H9">
        <f>_xlfn.STDEV.P(B2:B566)</f>
        <v>1266.2439466397898</v>
      </c>
      <c r="I9">
        <f>_xlfn.STDEV.P(E2:E365)</f>
        <v>959.98681331637863</v>
      </c>
    </row>
    <row r="10" spans="1:9" x14ac:dyDescent="0.3">
      <c r="A10" t="s">
        <v>20</v>
      </c>
      <c r="B10">
        <v>1396</v>
      </c>
      <c r="D10" t="s">
        <v>14</v>
      </c>
      <c r="E10">
        <v>452</v>
      </c>
    </row>
    <row r="11" spans="1:9" x14ac:dyDescent="0.3">
      <c r="A11" t="s">
        <v>20</v>
      </c>
      <c r="B11">
        <v>890</v>
      </c>
      <c r="D11" t="s">
        <v>14</v>
      </c>
      <c r="E11">
        <v>674</v>
      </c>
    </row>
    <row r="12" spans="1:9" x14ac:dyDescent="0.3">
      <c r="A12" t="s">
        <v>20</v>
      </c>
      <c r="B12">
        <v>142</v>
      </c>
      <c r="D12" t="s">
        <v>14</v>
      </c>
      <c r="E12">
        <v>558</v>
      </c>
    </row>
    <row r="13" spans="1:9" x14ac:dyDescent="0.3">
      <c r="A13" t="s">
        <v>20</v>
      </c>
      <c r="B13">
        <v>2673</v>
      </c>
      <c r="D13" t="s">
        <v>14</v>
      </c>
      <c r="E13">
        <v>15</v>
      </c>
    </row>
    <row r="14" spans="1:9" x14ac:dyDescent="0.3">
      <c r="A14" t="s">
        <v>20</v>
      </c>
      <c r="B14">
        <v>163</v>
      </c>
      <c r="D14" t="s">
        <v>14</v>
      </c>
      <c r="E14">
        <v>2307</v>
      </c>
    </row>
    <row r="15" spans="1:9" x14ac:dyDescent="0.3">
      <c r="A15" t="s">
        <v>20</v>
      </c>
      <c r="B15">
        <v>2220</v>
      </c>
      <c r="D15" t="s">
        <v>14</v>
      </c>
      <c r="E15">
        <v>88</v>
      </c>
    </row>
    <row r="16" spans="1:9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expression" dxfId="11" priority="9">
      <formula>A1="canceled"</formula>
    </cfRule>
    <cfRule type="expression" dxfId="10" priority="10">
      <formula>A1="live"</formula>
    </cfRule>
    <cfRule type="expression" dxfId="9" priority="11">
      <formula>A1="successful"</formula>
    </cfRule>
    <cfRule type="expression" dxfId="8" priority="12">
      <formula>A1="failed"</formula>
    </cfRule>
  </conditionalFormatting>
  <conditionalFormatting sqref="D1:D1047940">
    <cfRule type="expression" dxfId="7" priority="13">
      <formula>D1="canceled"</formula>
    </cfRule>
    <cfRule type="expression" dxfId="6" priority="14">
      <formula>D1="live"</formula>
    </cfRule>
    <cfRule type="expression" dxfId="5" priority="15">
      <formula>D1="successful"</formula>
    </cfRule>
    <cfRule type="expression" dxfId="4" priority="16">
      <formula>D1="failed"</formula>
    </cfRule>
  </conditionalFormatting>
  <conditionalFormatting sqref="H3:I3">
    <cfRule type="expression" dxfId="3" priority="1">
      <formula>H3="canceled"</formula>
    </cfRule>
    <cfRule type="expression" dxfId="2" priority="2">
      <formula>H3="live"</formula>
    </cfRule>
    <cfRule type="expression" dxfId="1" priority="3">
      <formula>H3="successful"</formula>
    </cfRule>
    <cfRule type="expression" dxfId="0" priority="4">
      <formula>H3="failed"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LaunchDataOut</vt:lpstr>
      <vt:lpstr>GoalOut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Cesar Rojas</cp:lastModifiedBy>
  <dcterms:created xsi:type="dcterms:W3CDTF">2021-09-29T18:52:28Z</dcterms:created>
  <dcterms:modified xsi:type="dcterms:W3CDTF">2023-12-14T17:07:05Z</dcterms:modified>
</cp:coreProperties>
</file>