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codeName="ThisWorkbook" autoCompressPictures="0" defaultThemeVersion="124226"/>
  <mc:AlternateContent xmlns:mc="http://schemas.openxmlformats.org/markup-compatibility/2006">
    <mc:Choice Requires="x15">
      <x15ac:absPath xmlns:x15ac="http://schemas.microsoft.com/office/spreadsheetml/2010/11/ac" url="https://tgf.sharepoint.com/sites/TSGMT6/COG1/A2F/Allocation 2023-2025/02.Funding Request/VIH-TB/202304_DOCS_SUBMITTED_IN_GOS/"/>
    </mc:Choice>
  </mc:AlternateContent>
  <xr:revisionPtr revIDLastSave="291" documentId="8_{A37CA4ED-169B-4CE9-A248-D4871945442F}" xr6:coauthVersionLast="47" xr6:coauthVersionMax="47" xr10:uidLastSave="{2E1A2AFA-852B-4620-8086-7CAE49218AA7}"/>
  <workbookProtection workbookAlgorithmName="SHA-512" workbookHashValue="bnQEyGjkzMd+HbXDCazN+KrCT61ZDOkatJVIVGSU5QkRuKLTnCUXS/pwemPdp2x4MMH+UKgPNTkdUFkzEZIXmw==" workbookSaltValue="MGPzqsShIMEQDuY50O0IVw==" workbookSpinCount="100000" lockStructure="1"/>
  <bookViews>
    <workbookView xWindow="28680" yWindow="-6600" windowWidth="29040" windowHeight="15840" tabRatio="872" xr2:uid="{00000000-000D-0000-FFFF-FFFF00000000}"/>
  </bookViews>
  <sheets>
    <sheet name="Cover Sheet" sheetId="8" r:id="rId1"/>
    <sheet name="Instructions" sheetId="2" r:id="rId2"/>
    <sheet name="TB Tables" sheetId="24" r:id="rId3"/>
    <sheet name="TranslationsHIV" sheetId="4" state="veryHidden" r:id="rId4"/>
    <sheet name="TranslationsTB" sheetId="17" state="veryHidden" r:id="rId5"/>
    <sheet name="TB drop-down" sheetId="16" state="veryHidden" r:id="rId6"/>
    <sheet name="HIV dropdown" sheetId="7" state="veryHidden" r:id="rId7"/>
    <sheet name="HIV-Treatment " sheetId="1" r:id="rId8"/>
    <sheet name="HIV - EMTCT" sheetId="29" r:id="rId9"/>
    <sheet name="HIV-Testing" sheetId="28" r:id="rId10"/>
    <sheet name="HIV-Prevention" sheetId="30" r:id="rId11"/>
    <sheet name="HIV-PrEP" sheetId="13" r:id="rId12"/>
    <sheet name="HIV-Condoms" sheetId="5" r:id="rId13"/>
    <sheet name="TB-HIV" sheetId="32" r:id="rId14"/>
    <sheet name="Blank table (only if needed)" sheetId="10" r:id="rId15"/>
  </sheets>
  <externalReferences>
    <externalReference r:id="rId16"/>
  </externalReferences>
  <definedNames>
    <definedName name="ApplicantType">'HIV dropdown'!$X$3:$X$5</definedName>
    <definedName name="ComponentSelected">'[1]Concept Note'!$C$10</definedName>
    <definedName name="DépistagedelatuberculosechezlespatientsséropositifsauVIH">'HIV dropdown'!$C$28</definedName>
    <definedName name="DifferentiatedHIVtestingservices">'HIV dropdown'!$B$51:$B$60</definedName>
    <definedName name="Geography">'HIV dropdown'!$Q$3:$Q$272</definedName>
    <definedName name="HIVModulesIndicators">'HIV dropdown'!$A$6:$B$16</definedName>
    <definedName name="HIVpositiveTBpatientsonART">'HIV dropdown'!$B$34</definedName>
    <definedName name="IniciodeterapiapreventivaparatuberculosisenpersonasquevivenconelVIH">'HIV dropdown'!$D$37</definedName>
    <definedName name="InitiationdutraitementpréventifdelatuberculosepourlesPVVIH">'HIV dropdown'!$C$37</definedName>
    <definedName name="IntervencionescolaborativasdetuberculosisyVIH_Pacientesseropositivoscontuberculoisquerecibentratamientoantirretroviral">'HIV dropdown'!$D$34</definedName>
    <definedName name="InterventionsconjointesTBVIH_PatientstuberculeuxséropositifsauVIHsousTAR">'HIV dropdown'!$C$34</definedName>
    <definedName name="KeyPop">'HIV dropdown'!$A$77:$A$84</definedName>
    <definedName name="KeyPopPrep">'HIV dropdown'!$A$88:$A$96</definedName>
    <definedName name="LangOffset">TranslationsHIV!$C$1</definedName>
    <definedName name="Language">Instructions!$B$6</definedName>
    <definedName name="ListHIVModules">'HIV dropdown'!$A$6:$A$16</definedName>
    <definedName name="ListTBModules">'TB drop-down'!$A$3:$A$9</definedName>
    <definedName name="ListTBonly">'TB drop-down'!$A$3:$A$6</definedName>
    <definedName name="Pacientesseropositivoscontuberculosisquerecibentratamientoantirretroviral">'HIV dropdown'!$D$34</definedName>
    <definedName name="Patientstuberculeuxdontlestatutsérologiquevis.à.visduVIHestconnu">'HIV dropdown'!$C$31</definedName>
    <definedName name="PatientstuberculeuxséropositifsauVIHsousTAR">'HIV dropdown'!$C$34</definedName>
    <definedName name="Preventionprogramsforkeypopulations_definedpackageofservices">'HIV dropdown'!$B$40:$B$48</definedName>
    <definedName name="PreventionprogramsforPWIDandtheirpartners_Needleandsyringedistribution">'HIV dropdown'!$B$63</definedName>
    <definedName name="PreventionprogramsforPWIDandtheirpartners_OSTandotherdrugdependencetreatmentforPWIDs">'HIV dropdown'!$B$66</definedName>
    <definedName name="_xlnm.Print_Area" localSheetId="14">'Blank table (only if needed)'!$A$1:$F$250</definedName>
    <definedName name="_xlnm.Print_Area" localSheetId="8">'HIV - EMTCT'!$A$1:$F$46</definedName>
    <definedName name="_xlnm.Print_Area" localSheetId="12">'HIV-Condoms'!$A$1:$F$160</definedName>
    <definedName name="_xlnm.Print_Area" localSheetId="11">'HIV-PrEP'!$A$1:$F$103</definedName>
    <definedName name="_xlnm.Print_Area" localSheetId="10">'HIV-Prevention'!$A$1:$F$111</definedName>
    <definedName name="_xlnm.Print_Area" localSheetId="9">'HIV-Testing'!$A$1:$F$112</definedName>
    <definedName name="_xlnm.Print_Area" localSheetId="7">'HIV-Treatment '!$A$1:$F$111</definedName>
    <definedName name="_xlnm.Print_Area" localSheetId="1">Instructions!$A$1:$G$155</definedName>
    <definedName name="_xlnm.Print_Area" localSheetId="2">'TB Tables'!$A$1:$F$354</definedName>
    <definedName name="_xlnm.Print_Area" localSheetId="13">'TB-HIV'!$A$1:$F$137</definedName>
    <definedName name="Programasdeprevencióndestinadosalaspoblacionesclave.Paquetedefinidodeservicios">'HIV dropdown'!$D$40:$D$48</definedName>
    <definedName name="Programasdeprevencióndestinadosalaspoblacionesclave.PruebasdeVIH">'HIV dropdown'!$D$51:$D$57</definedName>
    <definedName name="Programasdeprevenciónintegralparapersonasqueseinyectandrogasysusparejas_Programasdeagujasyjeringuillas">'HIV dropdown'!$D$63</definedName>
    <definedName name="Programasdeprevenciónintegralparapersonasqueseinyectandrogasysusparejas_Terapiadesustitucióndeopiáceosyotrostratamientosparaladrogodependenciadepersonasqueseinyectandrogas">'HIV dropdown'!$D$66</definedName>
    <definedName name="Programmesdepréventiondestinésauxusagersdedroguesinjectablesetàleurspartenaires_Programmesliésauxaiguillesetdeseringues">'HIV dropdown'!$C$63</definedName>
    <definedName name="Programmesdepréventiondestinésauxusagersdedroguesinjectablesetàleurspartenaires_Traitementsdesubstitutionauxopiacésetautrestraitementsdeladépendancepourlesusagersdedroguesinjectables">'HIV dropdown'!$C$66</definedName>
    <definedName name="Programmesdepréventionpourlespopulationsclés_DépistageduVIH">'HIV dropdown'!$C$51:$C$57</definedName>
    <definedName name="Programmesdepréventionpourlespopulationsclés_Paquetdeservicesdéfinis">'HIV dropdown'!$C$40:$C$48</definedName>
    <definedName name="RevisióndetuberculosisenpacientesconVIH">'HIV dropdown'!$D$28</definedName>
    <definedName name="ServicesdedépistagedifférenciésduVIH">'HIV dropdown'!$C$51:$C$60</definedName>
    <definedName name="ServiciosdiferenciadosdepruebasdeVIH">'HIV dropdown'!$D$51:$D$60</definedName>
    <definedName name="TBModulesIndicators">'TB drop-down'!$A$3:$B$9</definedName>
    <definedName name="TBpatientswithknownHIVstatus">'HIV dropdown'!$B$31</definedName>
    <definedName name="TBscreeningamongHIVpatients">'HIV dropdown'!$B$28</definedName>
    <definedName name="TPTinititationamongPLHIV">'HIV dropdown'!$B$37</definedName>
    <definedName name="Traitementpriseenchargeetsoutien_Prestationdeservicesetpriseenchargedifférenciéespourlestraitementsantirétroviraux">'HIV dropdown'!$C$20:$C$22</definedName>
    <definedName name="Tratamientoatenciónyapoyo_Prestacióndeserviciosdiferenciadosatenciónytratamientoantirretroviral">'HIV dropdown'!$D$20:$D$22</definedName>
    <definedName name="TreatmentCareandSupport_ART">'HIV dropdown'!$B$20:$B$22</definedName>
    <definedName name="TreatmentCareandSupport_DifferentiatedARTServiceDeliveryandcare">'HIV dropdown'!$B$20:$B$22</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55" i="28" l="1"/>
  <c r="E140" i="5" l="1"/>
  <c r="D140" i="5"/>
  <c r="C140" i="5"/>
  <c r="E138" i="5"/>
  <c r="D138" i="5"/>
  <c r="C138" i="5"/>
  <c r="D128" i="5"/>
  <c r="E128" i="5"/>
  <c r="C128" i="5"/>
  <c r="D126" i="5"/>
  <c r="E126" i="5"/>
  <c r="C126" i="5"/>
  <c r="E121" i="5"/>
  <c r="D121" i="5"/>
  <c r="C121" i="5"/>
  <c r="E117" i="5"/>
  <c r="D117" i="5"/>
  <c r="C117" i="5"/>
  <c r="D116" i="5"/>
  <c r="E116" i="5"/>
  <c r="C116" i="5"/>
  <c r="D113" i="5"/>
  <c r="E113" i="5"/>
  <c r="C113" i="5"/>
  <c r="E91" i="5"/>
  <c r="D91" i="5"/>
  <c r="C91" i="5"/>
  <c r="C89" i="5"/>
  <c r="E89" i="5"/>
  <c r="D89" i="5"/>
  <c r="D79" i="5"/>
  <c r="E79" i="5"/>
  <c r="C79" i="5"/>
  <c r="D77" i="5"/>
  <c r="E77" i="5"/>
  <c r="C77" i="5"/>
  <c r="C72" i="5"/>
  <c r="E72" i="5"/>
  <c r="D72" i="5"/>
  <c r="D70" i="5"/>
  <c r="E70" i="5"/>
  <c r="C70" i="5"/>
  <c r="E68" i="5"/>
  <c r="E67" i="5"/>
  <c r="D68" i="5"/>
  <c r="C68" i="5"/>
  <c r="D67" i="5"/>
  <c r="C67" i="5"/>
  <c r="E64" i="5"/>
  <c r="D64" i="5"/>
  <c r="C64" i="5"/>
  <c r="E40" i="5"/>
  <c r="D40" i="5"/>
  <c r="C40" i="5"/>
  <c r="E23" i="5"/>
  <c r="D23" i="5"/>
  <c r="C23" i="5"/>
  <c r="E18" i="5" l="1"/>
  <c r="E21" i="5" s="1"/>
  <c r="E28" i="5" s="1"/>
  <c r="D18" i="5"/>
  <c r="D21" i="5" s="1"/>
  <c r="D28" i="5" s="1"/>
  <c r="C18" i="5"/>
  <c r="C21" i="5" s="1"/>
  <c r="C28" i="5" s="1"/>
  <c r="B75" i="28"/>
  <c r="B74" i="30"/>
  <c r="B42" i="28"/>
  <c r="B42" i="30"/>
  <c r="B9" i="28"/>
  <c r="B9" i="30"/>
  <c r="C55" i="1"/>
  <c r="E55" i="1"/>
  <c r="E87" i="1" s="1"/>
  <c r="D55" i="1"/>
  <c r="E22" i="1"/>
  <c r="D22" i="1"/>
  <c r="C22" i="1"/>
  <c r="B42" i="1"/>
  <c r="B9" i="1"/>
  <c r="E95" i="1"/>
  <c r="D95" i="1"/>
  <c r="C95" i="1"/>
  <c r="E85" i="1"/>
  <c r="D85" i="1"/>
  <c r="C85" i="1"/>
  <c r="E82" i="1"/>
  <c r="D82" i="1"/>
  <c r="C82" i="1"/>
  <c r="E79" i="1"/>
  <c r="D79" i="1"/>
  <c r="C79" i="1"/>
  <c r="C87" i="1" l="1"/>
  <c r="D87" i="1"/>
  <c r="B9" i="29" l="1"/>
  <c r="D22" i="5" l="1"/>
  <c r="E22" i="5"/>
  <c r="C22" i="5"/>
  <c r="E339" i="24" l="1"/>
  <c r="D339" i="24"/>
  <c r="C339" i="24"/>
  <c r="E336" i="24"/>
  <c r="E335" i="24"/>
  <c r="C335" i="24"/>
  <c r="C336" i="24" s="1"/>
  <c r="E333" i="24"/>
  <c r="D333" i="24"/>
  <c r="C333" i="24"/>
  <c r="E332" i="24"/>
  <c r="E340" i="24" s="1"/>
  <c r="D332" i="24"/>
  <c r="D340" i="24" s="1"/>
  <c r="C332" i="24"/>
  <c r="C340" i="24" s="1"/>
  <c r="E331" i="24"/>
  <c r="D331" i="24"/>
  <c r="C331" i="24"/>
  <c r="E329" i="24"/>
  <c r="D329" i="24"/>
  <c r="C329" i="24"/>
  <c r="E326" i="24"/>
  <c r="D326" i="24"/>
  <c r="C326" i="24"/>
  <c r="E310" i="24"/>
  <c r="E309" i="24"/>
  <c r="E311" i="24" s="1"/>
  <c r="E312" i="24" s="1"/>
  <c r="E308" i="24"/>
  <c r="D308" i="24"/>
  <c r="C308" i="24"/>
  <c r="E305" i="24"/>
  <c r="E304" i="24"/>
  <c r="E302" i="24"/>
  <c r="D302" i="24"/>
  <c r="C302" i="24"/>
  <c r="E301" i="24"/>
  <c r="D301" i="24"/>
  <c r="D309" i="24" s="1"/>
  <c r="C301" i="24"/>
  <c r="C309" i="24" s="1"/>
  <c r="E300" i="24"/>
  <c r="D300" i="24"/>
  <c r="C300" i="24"/>
  <c r="E298" i="24"/>
  <c r="D298" i="24"/>
  <c r="C298" i="24"/>
  <c r="E295" i="24"/>
  <c r="D295" i="24"/>
  <c r="C295" i="24"/>
  <c r="E277" i="24"/>
  <c r="D277" i="24"/>
  <c r="C277" i="24"/>
  <c r="C273" i="24"/>
  <c r="C274" i="24" s="1"/>
  <c r="E271" i="24"/>
  <c r="D271" i="24"/>
  <c r="C271" i="24"/>
  <c r="E270" i="24"/>
  <c r="E278" i="24" s="1"/>
  <c r="D270" i="24"/>
  <c r="D278" i="24" s="1"/>
  <c r="C270" i="24"/>
  <c r="C278" i="24" s="1"/>
  <c r="E269" i="24"/>
  <c r="D269" i="24"/>
  <c r="C269" i="24"/>
  <c r="E267" i="24"/>
  <c r="D267" i="24"/>
  <c r="C267" i="24"/>
  <c r="E264" i="24"/>
  <c r="D264" i="24"/>
  <c r="C264" i="24"/>
  <c r="C247" i="24"/>
  <c r="C248" i="24" s="1"/>
  <c r="E246" i="24"/>
  <c r="D246" i="24"/>
  <c r="C246" i="24"/>
  <c r="E243" i="24"/>
  <c r="E242" i="24"/>
  <c r="D242" i="24"/>
  <c r="D243" i="24" s="1"/>
  <c r="E240" i="24"/>
  <c r="C240" i="24"/>
  <c r="E239" i="24"/>
  <c r="E247" i="24" s="1"/>
  <c r="D239" i="24"/>
  <c r="D247" i="24" s="1"/>
  <c r="C239" i="24"/>
  <c r="C242" i="24" s="1"/>
  <c r="C243" i="24" s="1"/>
  <c r="E238" i="24"/>
  <c r="D238" i="24"/>
  <c r="C238" i="24"/>
  <c r="E236" i="24"/>
  <c r="D236" i="24"/>
  <c r="C236" i="24"/>
  <c r="E233" i="24"/>
  <c r="D233" i="24"/>
  <c r="C233" i="24"/>
  <c r="E216" i="24"/>
  <c r="E218" i="24" s="1"/>
  <c r="E219" i="24" s="1"/>
  <c r="C216" i="24"/>
  <c r="C217" i="24" s="1"/>
  <c r="E215" i="24"/>
  <c r="D215" i="24"/>
  <c r="C215" i="24"/>
  <c r="E209" i="24"/>
  <c r="C209" i="24"/>
  <c r="E208" i="24"/>
  <c r="E211" i="24" s="1"/>
  <c r="E212" i="24" s="1"/>
  <c r="D208" i="24"/>
  <c r="D216" i="24" s="1"/>
  <c r="C208" i="24"/>
  <c r="C211" i="24" s="1"/>
  <c r="C212" i="24" s="1"/>
  <c r="E207" i="24"/>
  <c r="D207" i="24"/>
  <c r="C207" i="24"/>
  <c r="E205" i="24"/>
  <c r="D205" i="24"/>
  <c r="C205" i="24"/>
  <c r="E202" i="24"/>
  <c r="D202" i="24"/>
  <c r="C202" i="24"/>
  <c r="E185" i="24"/>
  <c r="E187" i="24" s="1"/>
  <c r="E188" i="24" s="1"/>
  <c r="C185" i="24"/>
  <c r="C186" i="24" s="1"/>
  <c r="E184" i="24"/>
  <c r="D184" i="24"/>
  <c r="C184" i="24"/>
  <c r="C181" i="24"/>
  <c r="C180" i="24"/>
  <c r="E178" i="24"/>
  <c r="C178" i="24"/>
  <c r="E177" i="24"/>
  <c r="E180" i="24" s="1"/>
  <c r="E181" i="24" s="1"/>
  <c r="D177" i="24"/>
  <c r="D185" i="24" s="1"/>
  <c r="C177" i="24"/>
  <c r="E176" i="24"/>
  <c r="D176" i="24"/>
  <c r="C176" i="24"/>
  <c r="E174" i="24"/>
  <c r="D174" i="24"/>
  <c r="C174" i="24"/>
  <c r="E171" i="24"/>
  <c r="D171" i="24"/>
  <c r="C171" i="24"/>
  <c r="E154" i="24"/>
  <c r="E156" i="24" s="1"/>
  <c r="E157" i="24" s="1"/>
  <c r="E153" i="24"/>
  <c r="D153" i="24"/>
  <c r="C153" i="24"/>
  <c r="E146" i="24"/>
  <c r="E149" i="24" s="1"/>
  <c r="E150" i="24" s="1"/>
  <c r="D146" i="24"/>
  <c r="D154" i="24" s="1"/>
  <c r="C146" i="24"/>
  <c r="C154" i="24" s="1"/>
  <c r="E145" i="24"/>
  <c r="D145" i="24"/>
  <c r="C145" i="24"/>
  <c r="E143" i="24"/>
  <c r="D143" i="24"/>
  <c r="C143" i="24"/>
  <c r="E140" i="24"/>
  <c r="D140" i="24"/>
  <c r="C140" i="24"/>
  <c r="E122" i="24"/>
  <c r="D122" i="24"/>
  <c r="C122" i="24"/>
  <c r="E115" i="24"/>
  <c r="E118" i="24" s="1"/>
  <c r="E119" i="24" s="1"/>
  <c r="D115" i="24"/>
  <c r="D123" i="24" s="1"/>
  <c r="C115" i="24"/>
  <c r="C123" i="24" s="1"/>
  <c r="C124" i="24" s="1"/>
  <c r="E114" i="24"/>
  <c r="D114" i="24"/>
  <c r="C114" i="24"/>
  <c r="E112" i="24"/>
  <c r="D112" i="24"/>
  <c r="C112" i="24"/>
  <c r="E109" i="24"/>
  <c r="D109" i="24"/>
  <c r="C109" i="24"/>
  <c r="E92" i="24"/>
  <c r="E94" i="24" s="1"/>
  <c r="E95" i="24" s="1"/>
  <c r="C92" i="24"/>
  <c r="C93" i="24" s="1"/>
  <c r="E91" i="24"/>
  <c r="D91" i="24"/>
  <c r="C91" i="24"/>
  <c r="E84" i="24"/>
  <c r="E87" i="24" s="1"/>
  <c r="E88" i="24" s="1"/>
  <c r="D84" i="24"/>
  <c r="D92" i="24" s="1"/>
  <c r="C84" i="24"/>
  <c r="C85" i="24" s="1"/>
  <c r="E83" i="24"/>
  <c r="D83" i="24"/>
  <c r="C83" i="24"/>
  <c r="E81" i="24"/>
  <c r="D81" i="24"/>
  <c r="C81" i="24"/>
  <c r="E78" i="24"/>
  <c r="D78" i="24"/>
  <c r="C78" i="24"/>
  <c r="E61" i="24"/>
  <c r="E63" i="24" s="1"/>
  <c r="E64" i="24" s="1"/>
  <c r="D61" i="24"/>
  <c r="D63" i="24" s="1"/>
  <c r="D64" i="24" s="1"/>
  <c r="E60" i="24"/>
  <c r="D60" i="24"/>
  <c r="C60" i="24"/>
  <c r="E56" i="24"/>
  <c r="E57" i="24" s="1"/>
  <c r="E54" i="24"/>
  <c r="E53" i="24"/>
  <c r="D53" i="24"/>
  <c r="D56" i="24" s="1"/>
  <c r="D57" i="24" s="1"/>
  <c r="C53" i="24"/>
  <c r="C61" i="24" s="1"/>
  <c r="E52" i="24"/>
  <c r="D52" i="24"/>
  <c r="C52" i="24"/>
  <c r="E50" i="24"/>
  <c r="D50" i="24"/>
  <c r="C50" i="24"/>
  <c r="E47" i="24"/>
  <c r="D47" i="24"/>
  <c r="C47" i="24"/>
  <c r="E123" i="32"/>
  <c r="E125" i="32" s="1"/>
  <c r="E126" i="32" s="1"/>
  <c r="D123" i="32"/>
  <c r="D125" i="32" s="1"/>
  <c r="D126" i="32" s="1"/>
  <c r="E122" i="32"/>
  <c r="D122" i="32"/>
  <c r="C122" i="32"/>
  <c r="E115" i="32"/>
  <c r="E116" i="32" s="1"/>
  <c r="D115" i="32"/>
  <c r="D118" i="32" s="1"/>
  <c r="D119" i="32" s="1"/>
  <c r="C115" i="32"/>
  <c r="C123" i="32" s="1"/>
  <c r="E114" i="32"/>
  <c r="D114" i="32"/>
  <c r="C114" i="32"/>
  <c r="E112" i="32"/>
  <c r="D112" i="32"/>
  <c r="C112" i="32"/>
  <c r="E109" i="32"/>
  <c r="D109" i="32"/>
  <c r="C109" i="32"/>
  <c r="E91" i="32"/>
  <c r="D91" i="32"/>
  <c r="C91" i="32"/>
  <c r="C85" i="32"/>
  <c r="E84" i="32"/>
  <c r="E92" i="32" s="1"/>
  <c r="D84" i="32"/>
  <c r="D87" i="32" s="1"/>
  <c r="D88" i="32" s="1"/>
  <c r="C84" i="32"/>
  <c r="C92" i="32" s="1"/>
  <c r="E83" i="32"/>
  <c r="D83" i="32"/>
  <c r="C83" i="32"/>
  <c r="E81" i="32"/>
  <c r="D81" i="32"/>
  <c r="C81" i="32"/>
  <c r="E78" i="32"/>
  <c r="D78" i="32"/>
  <c r="C78" i="32"/>
  <c r="E60" i="32"/>
  <c r="D60" i="32"/>
  <c r="C60" i="32"/>
  <c r="E53" i="32"/>
  <c r="E61" i="32" s="1"/>
  <c r="D53" i="32"/>
  <c r="D61" i="32" s="1"/>
  <c r="C53" i="32"/>
  <c r="C61" i="32" s="1"/>
  <c r="E52" i="32"/>
  <c r="D52" i="32"/>
  <c r="C52" i="32"/>
  <c r="E50" i="32"/>
  <c r="D50" i="32"/>
  <c r="C50" i="32"/>
  <c r="E47" i="32"/>
  <c r="D47" i="32"/>
  <c r="C47" i="32"/>
  <c r="D30" i="32"/>
  <c r="D31" i="32" s="1"/>
  <c r="C30" i="32"/>
  <c r="C32" i="32" s="1"/>
  <c r="C33" i="32" s="1"/>
  <c r="E29" i="32"/>
  <c r="D29" i="32"/>
  <c r="C29" i="32"/>
  <c r="E22" i="32"/>
  <c r="E30" i="32" s="1"/>
  <c r="D22" i="32"/>
  <c r="D25" i="32" s="1"/>
  <c r="D26" i="32" s="1"/>
  <c r="C22" i="32"/>
  <c r="C23" i="32" s="1"/>
  <c r="E21" i="32"/>
  <c r="D21" i="32"/>
  <c r="C21" i="32"/>
  <c r="E19" i="32"/>
  <c r="D19" i="32"/>
  <c r="C19" i="32"/>
  <c r="E16" i="32"/>
  <c r="D16" i="32"/>
  <c r="C16" i="32"/>
  <c r="E144" i="5"/>
  <c r="D144" i="5"/>
  <c r="C144" i="5"/>
  <c r="E142" i="5"/>
  <c r="E146" i="5" s="1"/>
  <c r="E147" i="5" s="1"/>
  <c r="D142" i="5"/>
  <c r="D146" i="5" s="1"/>
  <c r="D147" i="5" s="1"/>
  <c r="C142" i="5"/>
  <c r="C146" i="5" s="1"/>
  <c r="C147" i="5" s="1"/>
  <c r="E139" i="5"/>
  <c r="D139" i="5"/>
  <c r="C139" i="5"/>
  <c r="E133" i="5"/>
  <c r="E134" i="5" s="1"/>
  <c r="D133" i="5"/>
  <c r="D134" i="5" s="1"/>
  <c r="C133" i="5"/>
  <c r="C134" i="5" s="1"/>
  <c r="E130" i="5"/>
  <c r="E131" i="5" s="1"/>
  <c r="D130" i="5"/>
  <c r="D131" i="5" s="1"/>
  <c r="C130" i="5"/>
  <c r="C131" i="5" s="1"/>
  <c r="E127" i="5"/>
  <c r="D127" i="5"/>
  <c r="C127" i="5"/>
  <c r="E123" i="5"/>
  <c r="E124" i="5" s="1"/>
  <c r="D123" i="5"/>
  <c r="D124" i="5" s="1"/>
  <c r="C123" i="5"/>
  <c r="C124" i="5" s="1"/>
  <c r="E122" i="5"/>
  <c r="D122" i="5"/>
  <c r="C122" i="5"/>
  <c r="E120" i="5"/>
  <c r="D120" i="5"/>
  <c r="C120" i="5"/>
  <c r="E114" i="5"/>
  <c r="E135" i="5" s="1"/>
  <c r="E136" i="5" s="1"/>
  <c r="D114" i="5"/>
  <c r="D135" i="5" s="1"/>
  <c r="D136" i="5" s="1"/>
  <c r="C114" i="5"/>
  <c r="C135" i="5" s="1"/>
  <c r="C136" i="5" s="1"/>
  <c r="E95" i="5"/>
  <c r="D95" i="5"/>
  <c r="C95" i="5"/>
  <c r="E93" i="5"/>
  <c r="E97" i="5" s="1"/>
  <c r="E98" i="5" s="1"/>
  <c r="D93" i="5"/>
  <c r="D97" i="5" s="1"/>
  <c r="D98" i="5" s="1"/>
  <c r="C93" i="5"/>
  <c r="C97" i="5" s="1"/>
  <c r="C98" i="5" s="1"/>
  <c r="E90" i="5"/>
  <c r="D90" i="5"/>
  <c r="C90" i="5"/>
  <c r="E84" i="5"/>
  <c r="E85" i="5" s="1"/>
  <c r="D84" i="5"/>
  <c r="D85" i="5" s="1"/>
  <c r="C84" i="5"/>
  <c r="C85" i="5" s="1"/>
  <c r="E81" i="5"/>
  <c r="E82" i="5" s="1"/>
  <c r="D81" i="5"/>
  <c r="D82" i="5" s="1"/>
  <c r="C81" i="5"/>
  <c r="C82" i="5" s="1"/>
  <c r="E78" i="5"/>
  <c r="D78" i="5"/>
  <c r="C78" i="5"/>
  <c r="E74" i="5"/>
  <c r="E75" i="5" s="1"/>
  <c r="D74" i="5"/>
  <c r="D75" i="5" s="1"/>
  <c r="C74" i="5"/>
  <c r="C75" i="5" s="1"/>
  <c r="E73" i="5"/>
  <c r="D73" i="5"/>
  <c r="C73" i="5"/>
  <c r="E71" i="5"/>
  <c r="D71" i="5"/>
  <c r="C71" i="5"/>
  <c r="E65" i="5"/>
  <c r="E86" i="5" s="1"/>
  <c r="E87" i="5" s="1"/>
  <c r="D65" i="5"/>
  <c r="D86" i="5" s="1"/>
  <c r="D87" i="5" s="1"/>
  <c r="C65" i="5"/>
  <c r="C86" i="5" s="1"/>
  <c r="C87" i="5" s="1"/>
  <c r="E46" i="5"/>
  <c r="E47" i="5" s="1"/>
  <c r="D46" i="5"/>
  <c r="D47" i="5" s="1"/>
  <c r="C46" i="5"/>
  <c r="C47" i="5" s="1"/>
  <c r="E44" i="5"/>
  <c r="E48" i="5" s="1"/>
  <c r="E49" i="5" s="1"/>
  <c r="D44" i="5"/>
  <c r="D48" i="5" s="1"/>
  <c r="D49" i="5" s="1"/>
  <c r="C44" i="5"/>
  <c r="C48" i="5" s="1"/>
  <c r="C49" i="5" s="1"/>
  <c r="E43" i="5"/>
  <c r="D43" i="5"/>
  <c r="C43" i="5"/>
  <c r="E41" i="5"/>
  <c r="D41" i="5"/>
  <c r="C41" i="5"/>
  <c r="E35" i="5"/>
  <c r="E36" i="5" s="1"/>
  <c r="D35" i="5"/>
  <c r="D36" i="5" s="1"/>
  <c r="C35" i="5"/>
  <c r="C36" i="5" s="1"/>
  <c r="E32" i="5"/>
  <c r="E33" i="5" s="1"/>
  <c r="D32" i="5"/>
  <c r="D33" i="5" s="1"/>
  <c r="C32" i="5"/>
  <c r="C33" i="5" s="1"/>
  <c r="E31" i="5"/>
  <c r="D31" i="5"/>
  <c r="C31" i="5"/>
  <c r="E29" i="5"/>
  <c r="D29" i="5"/>
  <c r="C29" i="5"/>
  <c r="E25" i="5"/>
  <c r="E26" i="5" s="1"/>
  <c r="D25" i="5"/>
  <c r="D26" i="5" s="1"/>
  <c r="C25" i="5"/>
  <c r="C26" i="5" s="1"/>
  <c r="E24" i="5"/>
  <c r="D24" i="5"/>
  <c r="C24" i="5"/>
  <c r="E16" i="5"/>
  <c r="D16" i="5"/>
  <c r="D37" i="5" s="1"/>
  <c r="D38" i="5" s="1"/>
  <c r="C16" i="5"/>
  <c r="C37" i="5" s="1"/>
  <c r="C38" i="5" s="1"/>
  <c r="E145" i="5" l="1"/>
  <c r="E141" i="5"/>
  <c r="E129" i="5"/>
  <c r="D141" i="5"/>
  <c r="D129" i="5"/>
  <c r="D145" i="5"/>
  <c r="C129" i="5"/>
  <c r="C145" i="5"/>
  <c r="C141" i="5"/>
  <c r="D80" i="5"/>
  <c r="C96" i="5"/>
  <c r="E96" i="5"/>
  <c r="E80" i="5"/>
  <c r="E92" i="5"/>
  <c r="D92" i="5"/>
  <c r="D96" i="5"/>
  <c r="C92" i="5"/>
  <c r="C80" i="5"/>
  <c r="E50" i="5"/>
  <c r="E51" i="5" s="1"/>
  <c r="E37" i="5"/>
  <c r="E38" i="5" s="1"/>
  <c r="C143" i="5"/>
  <c r="C148" i="5"/>
  <c r="C149" i="5" s="1"/>
  <c r="D148" i="5"/>
  <c r="D149" i="5" s="1"/>
  <c r="D94" i="5"/>
  <c r="C94" i="5"/>
  <c r="E99" i="5"/>
  <c r="E100" i="5" s="1"/>
  <c r="C45" i="5"/>
  <c r="D50" i="5"/>
  <c r="D51" i="5" s="1"/>
  <c r="E118" i="32"/>
  <c r="E119" i="32" s="1"/>
  <c r="D85" i="32"/>
  <c r="D92" i="32"/>
  <c r="D54" i="32"/>
  <c r="C54" i="32"/>
  <c r="E54" i="32"/>
  <c r="C56" i="32"/>
  <c r="C57" i="32" s="1"/>
  <c r="D23" i="32"/>
  <c r="E23" i="32"/>
  <c r="C25" i="32"/>
  <c r="C26" i="32" s="1"/>
  <c r="E25" i="32"/>
  <c r="E26" i="32" s="1"/>
  <c r="E123" i="24"/>
  <c r="E125" i="24" s="1"/>
  <c r="E126" i="24" s="1"/>
  <c r="E124" i="24"/>
  <c r="C116" i="24"/>
  <c r="D116" i="24"/>
  <c r="E116" i="24"/>
  <c r="C118" i="24"/>
  <c r="C119" i="24" s="1"/>
  <c r="D118" i="24"/>
  <c r="D119" i="24" s="1"/>
  <c r="C87" i="24"/>
  <c r="C88" i="24" s="1"/>
  <c r="E85" i="24"/>
  <c r="C341" i="24"/>
  <c r="C342" i="24"/>
  <c r="C343" i="24" s="1"/>
  <c r="D342" i="24"/>
  <c r="D343" i="24" s="1"/>
  <c r="D341" i="24"/>
  <c r="E342" i="24"/>
  <c r="E343" i="24" s="1"/>
  <c r="E341" i="24"/>
  <c r="D335" i="24"/>
  <c r="D336" i="24" s="1"/>
  <c r="D310" i="24"/>
  <c r="D311" i="24"/>
  <c r="D312" i="24" s="1"/>
  <c r="C310" i="24"/>
  <c r="C311" i="24"/>
  <c r="C312" i="24" s="1"/>
  <c r="C304" i="24"/>
  <c r="C305" i="24" s="1"/>
  <c r="D304" i="24"/>
  <c r="D305" i="24" s="1"/>
  <c r="E280" i="24"/>
  <c r="E281" i="24" s="1"/>
  <c r="E279" i="24"/>
  <c r="D279" i="24"/>
  <c r="D280" i="24"/>
  <c r="D281" i="24" s="1"/>
  <c r="C279" i="24"/>
  <c r="C280" i="24"/>
  <c r="C281" i="24" s="1"/>
  <c r="D273" i="24"/>
  <c r="D274" i="24" s="1"/>
  <c r="E273" i="24"/>
  <c r="E274" i="24" s="1"/>
  <c r="D249" i="24"/>
  <c r="D250" i="24" s="1"/>
  <c r="D248" i="24"/>
  <c r="E249" i="24"/>
  <c r="E250" i="24" s="1"/>
  <c r="E248" i="24"/>
  <c r="D240" i="24"/>
  <c r="C249" i="24"/>
  <c r="C250" i="24" s="1"/>
  <c r="D218" i="24"/>
  <c r="D219" i="24" s="1"/>
  <c r="D217" i="24"/>
  <c r="D209" i="24"/>
  <c r="E217" i="24"/>
  <c r="C218" i="24"/>
  <c r="C219" i="24" s="1"/>
  <c r="D211" i="24"/>
  <c r="D212" i="24" s="1"/>
  <c r="D187" i="24"/>
  <c r="D188" i="24" s="1"/>
  <c r="D186" i="24"/>
  <c r="D178" i="24"/>
  <c r="E186" i="24"/>
  <c r="C187" i="24"/>
  <c r="C188" i="24" s="1"/>
  <c r="D180" i="24"/>
  <c r="D181" i="24" s="1"/>
  <c r="C155" i="24"/>
  <c r="C156" i="24"/>
  <c r="C157" i="24" s="1"/>
  <c r="D155" i="24"/>
  <c r="D156" i="24"/>
  <c r="D157" i="24" s="1"/>
  <c r="C147" i="24"/>
  <c r="E155" i="24"/>
  <c r="E147" i="24"/>
  <c r="C149" i="24"/>
  <c r="C150" i="24" s="1"/>
  <c r="D147" i="24"/>
  <c r="D149" i="24"/>
  <c r="D150" i="24" s="1"/>
  <c r="D124" i="24"/>
  <c r="D125" i="24"/>
  <c r="D126" i="24" s="1"/>
  <c r="C125" i="24"/>
  <c r="C126" i="24" s="1"/>
  <c r="D94" i="24"/>
  <c r="D95" i="24" s="1"/>
  <c r="D93" i="24"/>
  <c r="D85" i="24"/>
  <c r="E93" i="24"/>
  <c r="C94" i="24"/>
  <c r="C95" i="24" s="1"/>
  <c r="D87" i="24"/>
  <c r="D88" i="24" s="1"/>
  <c r="C62" i="24"/>
  <c r="C63" i="24"/>
  <c r="C64" i="24" s="1"/>
  <c r="C54" i="24"/>
  <c r="D62" i="24"/>
  <c r="D54" i="24"/>
  <c r="E62" i="24"/>
  <c r="C56" i="24"/>
  <c r="C57" i="24" s="1"/>
  <c r="D32" i="32"/>
  <c r="D33" i="32" s="1"/>
  <c r="C124" i="32"/>
  <c r="C125" i="32"/>
  <c r="C126" i="32" s="1"/>
  <c r="C116" i="32"/>
  <c r="E124" i="32"/>
  <c r="D124" i="32"/>
  <c r="C118" i="32"/>
  <c r="C119" i="32" s="1"/>
  <c r="D116" i="32"/>
  <c r="E94" i="32"/>
  <c r="E95" i="32" s="1"/>
  <c r="E93" i="32"/>
  <c r="C93" i="32"/>
  <c r="C94" i="32"/>
  <c r="C95" i="32" s="1"/>
  <c r="E85" i="32"/>
  <c r="C87" i="32"/>
  <c r="C88" i="32" s="1"/>
  <c r="E87" i="32"/>
  <c r="E88" i="32" s="1"/>
  <c r="E63" i="32"/>
  <c r="E64" i="32" s="1"/>
  <c r="E62" i="32"/>
  <c r="C62" i="32"/>
  <c r="C63" i="32"/>
  <c r="C64" i="32" s="1"/>
  <c r="D63" i="32"/>
  <c r="D64" i="32" s="1"/>
  <c r="D62" i="32"/>
  <c r="D56" i="32"/>
  <c r="D57" i="32" s="1"/>
  <c r="E56" i="32"/>
  <c r="E57" i="32" s="1"/>
  <c r="E32" i="32"/>
  <c r="E33" i="32" s="1"/>
  <c r="E31" i="32"/>
  <c r="C31" i="32"/>
  <c r="D143" i="5"/>
  <c r="E148" i="5"/>
  <c r="E149" i="5" s="1"/>
  <c r="E143" i="5"/>
  <c r="C99" i="5"/>
  <c r="C100" i="5" s="1"/>
  <c r="D99" i="5"/>
  <c r="D100" i="5" s="1"/>
  <c r="E94" i="5"/>
  <c r="C50" i="5"/>
  <c r="C51" i="5" s="1"/>
  <c r="D45" i="5"/>
  <c r="E45" i="5"/>
  <c r="D94" i="32" l="1"/>
  <c r="D95" i="32" s="1"/>
  <c r="D93" i="32"/>
  <c r="E96" i="30"/>
  <c r="D96" i="30"/>
  <c r="C96" i="30"/>
  <c r="E89" i="30"/>
  <c r="E97" i="30" s="1"/>
  <c r="D89" i="30"/>
  <c r="D97" i="30" s="1"/>
  <c r="C89" i="30"/>
  <c r="C97" i="30" s="1"/>
  <c r="E88" i="30"/>
  <c r="D88" i="30"/>
  <c r="C88" i="30"/>
  <c r="E86" i="30"/>
  <c r="D86" i="30"/>
  <c r="C86" i="30"/>
  <c r="E83" i="30"/>
  <c r="D83" i="30"/>
  <c r="C83" i="30"/>
  <c r="E80" i="30"/>
  <c r="D80" i="30"/>
  <c r="C80" i="30"/>
  <c r="E64" i="30"/>
  <c r="D64" i="30"/>
  <c r="C64" i="30"/>
  <c r="E57" i="30"/>
  <c r="E65" i="30" s="1"/>
  <c r="D57" i="30"/>
  <c r="D65" i="30" s="1"/>
  <c r="C57" i="30"/>
  <c r="C65" i="30" s="1"/>
  <c r="E56" i="30"/>
  <c r="D56" i="30"/>
  <c r="C56" i="30"/>
  <c r="E54" i="30"/>
  <c r="D54" i="30"/>
  <c r="C54" i="30"/>
  <c r="E51" i="30"/>
  <c r="D51" i="30"/>
  <c r="C51" i="30"/>
  <c r="E48" i="30"/>
  <c r="D48" i="30"/>
  <c r="C48" i="30"/>
  <c r="E31" i="30"/>
  <c r="D31" i="30"/>
  <c r="C31" i="30"/>
  <c r="C25" i="30"/>
  <c r="E24" i="30"/>
  <c r="E25" i="30" s="1"/>
  <c r="D24" i="30"/>
  <c r="D32" i="30" s="1"/>
  <c r="C24" i="30"/>
  <c r="C32" i="30" s="1"/>
  <c r="E23" i="30"/>
  <c r="D23" i="30"/>
  <c r="C23" i="30"/>
  <c r="E21" i="30"/>
  <c r="D21" i="30"/>
  <c r="C21" i="30"/>
  <c r="E18" i="30"/>
  <c r="D18" i="30"/>
  <c r="C18" i="30"/>
  <c r="E15" i="30"/>
  <c r="D15" i="30"/>
  <c r="C15" i="30"/>
  <c r="C27" i="30" s="1"/>
  <c r="C28" i="30" s="1"/>
  <c r="E97" i="28"/>
  <c r="D97" i="28"/>
  <c r="C97" i="28"/>
  <c r="E90" i="28"/>
  <c r="E98" i="28" s="1"/>
  <c r="D90" i="28"/>
  <c r="D98" i="28" s="1"/>
  <c r="C90" i="28"/>
  <c r="C98" i="28" s="1"/>
  <c r="D89" i="28"/>
  <c r="E87" i="28"/>
  <c r="D87" i="28"/>
  <c r="C87" i="28"/>
  <c r="E84" i="28"/>
  <c r="D84" i="28"/>
  <c r="C84" i="28"/>
  <c r="E82" i="28"/>
  <c r="D82" i="28"/>
  <c r="C82" i="28"/>
  <c r="E81" i="28"/>
  <c r="E89" i="28" s="1"/>
  <c r="D81" i="28"/>
  <c r="C81" i="28"/>
  <c r="C89" i="28" s="1"/>
  <c r="E64" i="28"/>
  <c r="D64" i="28"/>
  <c r="C64" i="28"/>
  <c r="E57" i="28"/>
  <c r="E65" i="28" s="1"/>
  <c r="E67" i="28" s="1"/>
  <c r="E68" i="28" s="1"/>
  <c r="D57" i="28"/>
  <c r="D65" i="28" s="1"/>
  <c r="C57" i="28"/>
  <c r="C65" i="28" s="1"/>
  <c r="E56" i="28"/>
  <c r="D56" i="28"/>
  <c r="C56" i="28"/>
  <c r="E54" i="28"/>
  <c r="D54" i="28"/>
  <c r="C54" i="28"/>
  <c r="E51" i="28"/>
  <c r="D51" i="28"/>
  <c r="C51" i="28"/>
  <c r="E49" i="28"/>
  <c r="D49" i="28"/>
  <c r="C49" i="28"/>
  <c r="E48" i="28"/>
  <c r="D48" i="28"/>
  <c r="C48" i="28"/>
  <c r="E31" i="28"/>
  <c r="D31" i="28"/>
  <c r="C31" i="28"/>
  <c r="E24" i="28"/>
  <c r="E27" i="28" s="1"/>
  <c r="E28" i="28" s="1"/>
  <c r="D24" i="28"/>
  <c r="D32" i="28" s="1"/>
  <c r="C24" i="28"/>
  <c r="C32" i="28" s="1"/>
  <c r="E23" i="28"/>
  <c r="D23" i="28"/>
  <c r="C23" i="28"/>
  <c r="E21" i="28"/>
  <c r="D21" i="28"/>
  <c r="C21" i="28"/>
  <c r="E18" i="28"/>
  <c r="D18" i="28"/>
  <c r="C18" i="28"/>
  <c r="E16" i="28"/>
  <c r="D16" i="28"/>
  <c r="C16" i="28"/>
  <c r="E15" i="28"/>
  <c r="D15" i="28"/>
  <c r="C15" i="28"/>
  <c r="E31" i="29"/>
  <c r="D31" i="29"/>
  <c r="C31" i="29"/>
  <c r="E24" i="29"/>
  <c r="E32" i="29" s="1"/>
  <c r="D24" i="29"/>
  <c r="D32" i="29" s="1"/>
  <c r="C24" i="29"/>
  <c r="C32" i="29" s="1"/>
  <c r="E23" i="29"/>
  <c r="D23" i="29"/>
  <c r="C23" i="29"/>
  <c r="E21" i="29"/>
  <c r="D21" i="29"/>
  <c r="C21" i="29"/>
  <c r="E18" i="29"/>
  <c r="D18" i="29"/>
  <c r="C18" i="29"/>
  <c r="E16" i="29"/>
  <c r="D16" i="29"/>
  <c r="C16" i="29"/>
  <c r="E15" i="29"/>
  <c r="E27" i="29" s="1"/>
  <c r="E28" i="29" s="1"/>
  <c r="D15" i="29"/>
  <c r="D27" i="29" s="1"/>
  <c r="D28" i="29" s="1"/>
  <c r="C15" i="29"/>
  <c r="C27" i="29" s="1"/>
  <c r="C28" i="29" s="1"/>
  <c r="E96" i="1"/>
  <c r="D96" i="1"/>
  <c r="C96" i="1"/>
  <c r="E89" i="1"/>
  <c r="E97" i="1" s="1"/>
  <c r="D89" i="1"/>
  <c r="D97" i="1" s="1"/>
  <c r="C89" i="1"/>
  <c r="C97" i="1" s="1"/>
  <c r="D88" i="1"/>
  <c r="E86" i="1"/>
  <c r="D86" i="1"/>
  <c r="C86" i="1"/>
  <c r="E83" i="1"/>
  <c r="D83" i="1"/>
  <c r="C83" i="1"/>
  <c r="E81" i="1"/>
  <c r="D81" i="1"/>
  <c r="C81" i="1"/>
  <c r="E80" i="1"/>
  <c r="E88" i="1" s="1"/>
  <c r="D80" i="1"/>
  <c r="C80" i="1"/>
  <c r="C88" i="1" s="1"/>
  <c r="E64" i="1"/>
  <c r="D64" i="1"/>
  <c r="C64" i="1"/>
  <c r="E57" i="1"/>
  <c r="E60" i="1" s="1"/>
  <c r="E61" i="1" s="1"/>
  <c r="D57" i="1"/>
  <c r="D65" i="1" s="1"/>
  <c r="C57" i="1"/>
  <c r="C65" i="1" s="1"/>
  <c r="C66" i="1" s="1"/>
  <c r="E56" i="1"/>
  <c r="D56" i="1"/>
  <c r="C56" i="1"/>
  <c r="E54" i="1"/>
  <c r="D54" i="1"/>
  <c r="C54" i="1"/>
  <c r="E51" i="1"/>
  <c r="D51" i="1"/>
  <c r="C51" i="1"/>
  <c r="E49" i="1"/>
  <c r="D49" i="1"/>
  <c r="C49" i="1"/>
  <c r="E48" i="1"/>
  <c r="D48" i="1"/>
  <c r="C48" i="1"/>
  <c r="E31" i="1"/>
  <c r="D31" i="1"/>
  <c r="C31" i="1"/>
  <c r="E24" i="1"/>
  <c r="E32" i="1" s="1"/>
  <c r="E34" i="1" s="1"/>
  <c r="E35" i="1" s="1"/>
  <c r="D24" i="1"/>
  <c r="D32" i="1" s="1"/>
  <c r="C24" i="1"/>
  <c r="C32" i="1" s="1"/>
  <c r="E23" i="1"/>
  <c r="D23" i="1"/>
  <c r="C23" i="1"/>
  <c r="E21" i="1"/>
  <c r="D21" i="1"/>
  <c r="C21" i="1"/>
  <c r="E18" i="1"/>
  <c r="D18" i="1"/>
  <c r="C18" i="1"/>
  <c r="E16" i="1"/>
  <c r="D16" i="1"/>
  <c r="C16" i="1"/>
  <c r="E15" i="1"/>
  <c r="D15" i="1"/>
  <c r="C15" i="1"/>
  <c r="D16" i="10"/>
  <c r="C247" i="10"/>
  <c r="C248" i="10" s="1"/>
  <c r="E246" i="10"/>
  <c r="D246" i="10"/>
  <c r="C246" i="10"/>
  <c r="C240" i="10"/>
  <c r="E239" i="10"/>
  <c r="E247" i="10" s="1"/>
  <c r="D239" i="10"/>
  <c r="D240" i="10" s="1"/>
  <c r="C239" i="10"/>
  <c r="C242" i="10" s="1"/>
  <c r="C243" i="10" s="1"/>
  <c r="E238" i="10"/>
  <c r="D238" i="10"/>
  <c r="C238" i="10"/>
  <c r="E236" i="10"/>
  <c r="D236" i="10"/>
  <c r="C236" i="10"/>
  <c r="E233" i="10"/>
  <c r="D233" i="10"/>
  <c r="C233" i="10"/>
  <c r="E215" i="10"/>
  <c r="D215" i="10"/>
  <c r="C215" i="10"/>
  <c r="C209" i="10"/>
  <c r="E208" i="10"/>
  <c r="E216" i="10" s="1"/>
  <c r="D208" i="10"/>
  <c r="D211" i="10" s="1"/>
  <c r="D212" i="10" s="1"/>
  <c r="C208" i="10"/>
  <c r="C211" i="10" s="1"/>
  <c r="C212" i="10" s="1"/>
  <c r="E207" i="10"/>
  <c r="D207" i="10"/>
  <c r="C207" i="10"/>
  <c r="E205" i="10"/>
  <c r="D205" i="10"/>
  <c r="C205" i="10"/>
  <c r="E202" i="10"/>
  <c r="D202" i="10"/>
  <c r="C202" i="10"/>
  <c r="E184" i="10"/>
  <c r="D184" i="10"/>
  <c r="C184" i="10"/>
  <c r="D178" i="10"/>
  <c r="C178" i="10"/>
  <c r="E177" i="10"/>
  <c r="E185" i="10" s="1"/>
  <c r="D177" i="10"/>
  <c r="D185" i="10" s="1"/>
  <c r="C177" i="10"/>
  <c r="C185" i="10" s="1"/>
  <c r="E176" i="10"/>
  <c r="D176" i="10"/>
  <c r="C176" i="10"/>
  <c r="E174" i="10"/>
  <c r="D174" i="10"/>
  <c r="C174" i="10"/>
  <c r="E171" i="10"/>
  <c r="D171" i="10"/>
  <c r="C171" i="10"/>
  <c r="E153" i="10"/>
  <c r="D153" i="10"/>
  <c r="C153" i="10"/>
  <c r="E146" i="10"/>
  <c r="E154" i="10" s="1"/>
  <c r="D146" i="10"/>
  <c r="D147" i="10" s="1"/>
  <c r="C146" i="10"/>
  <c r="C154" i="10" s="1"/>
  <c r="E145" i="10"/>
  <c r="D145" i="10"/>
  <c r="C145" i="10"/>
  <c r="E143" i="10"/>
  <c r="D143" i="10"/>
  <c r="C143" i="10"/>
  <c r="E140" i="10"/>
  <c r="D140" i="10"/>
  <c r="C140" i="10"/>
  <c r="E122" i="10"/>
  <c r="D122" i="10"/>
  <c r="C122" i="10"/>
  <c r="C116" i="10"/>
  <c r="E115" i="10"/>
  <c r="E123" i="10" s="1"/>
  <c r="D115" i="10"/>
  <c r="D116" i="10" s="1"/>
  <c r="C115" i="10"/>
  <c r="C118" i="10" s="1"/>
  <c r="C119" i="10" s="1"/>
  <c r="E114" i="10"/>
  <c r="D114" i="10"/>
  <c r="C114" i="10"/>
  <c r="E112" i="10"/>
  <c r="D112" i="10"/>
  <c r="C112" i="10"/>
  <c r="E109" i="10"/>
  <c r="D109" i="10"/>
  <c r="C109" i="10"/>
  <c r="E91" i="10"/>
  <c r="D91" i="10"/>
  <c r="C91" i="10"/>
  <c r="C85" i="10"/>
  <c r="E84" i="10"/>
  <c r="E87" i="10" s="1"/>
  <c r="E88" i="10" s="1"/>
  <c r="D84" i="10"/>
  <c r="D92" i="10" s="1"/>
  <c r="C84" i="10"/>
  <c r="C87" i="10" s="1"/>
  <c r="C88" i="10" s="1"/>
  <c r="E83" i="10"/>
  <c r="D83" i="10"/>
  <c r="C83" i="10"/>
  <c r="E81" i="10"/>
  <c r="D81" i="10"/>
  <c r="C81" i="10"/>
  <c r="E78" i="10"/>
  <c r="D78" i="10"/>
  <c r="C78" i="10"/>
  <c r="E60" i="10"/>
  <c r="D60" i="10"/>
  <c r="C60" i="10"/>
  <c r="D54" i="10"/>
  <c r="E53" i="10"/>
  <c r="E61" i="10" s="1"/>
  <c r="D53" i="10"/>
  <c r="D61" i="10" s="1"/>
  <c r="C53" i="10"/>
  <c r="C61" i="10" s="1"/>
  <c r="E52" i="10"/>
  <c r="D52" i="10"/>
  <c r="C52" i="10"/>
  <c r="E50" i="10"/>
  <c r="D50" i="10"/>
  <c r="C50" i="10"/>
  <c r="E47" i="10"/>
  <c r="D47" i="10"/>
  <c r="C47" i="10"/>
  <c r="C92" i="30" l="1"/>
  <c r="C93" i="30" s="1"/>
  <c r="C90" i="30"/>
  <c r="E90" i="30"/>
  <c r="E92" i="30"/>
  <c r="E93" i="30" s="1"/>
  <c r="E99" i="30"/>
  <c r="E100" i="30" s="1"/>
  <c r="C60" i="30"/>
  <c r="C61" i="30" s="1"/>
  <c r="C58" i="30"/>
  <c r="D58" i="30"/>
  <c r="E32" i="30"/>
  <c r="E34" i="30" s="1"/>
  <c r="E35" i="30" s="1"/>
  <c r="E91" i="28"/>
  <c r="C93" i="28"/>
  <c r="C94" i="28" s="1"/>
  <c r="C91" i="28"/>
  <c r="C58" i="28"/>
  <c r="C60" i="28"/>
  <c r="C61" i="28" s="1"/>
  <c r="E60" i="28"/>
  <c r="E61" i="28" s="1"/>
  <c r="C25" i="28"/>
  <c r="D25" i="28"/>
  <c r="E32" i="28"/>
  <c r="C27" i="28"/>
  <c r="C28" i="28" s="1"/>
  <c r="D90" i="1"/>
  <c r="C90" i="1"/>
  <c r="E90" i="1"/>
  <c r="C92" i="1"/>
  <c r="C93" i="1" s="1"/>
  <c r="C58" i="1"/>
  <c r="E58" i="1"/>
  <c r="C60" i="1"/>
  <c r="C61" i="1" s="1"/>
  <c r="E65" i="1"/>
  <c r="E67" i="1" s="1"/>
  <c r="E68" i="1" s="1"/>
  <c r="C67" i="1"/>
  <c r="C68" i="1" s="1"/>
  <c r="D25" i="1"/>
  <c r="E25" i="1"/>
  <c r="E27" i="1"/>
  <c r="E28" i="1" s="1"/>
  <c r="D34" i="1"/>
  <c r="D35" i="1" s="1"/>
  <c r="D27" i="1"/>
  <c r="D28" i="1" s="1"/>
  <c r="E27" i="30"/>
  <c r="E28" i="30" s="1"/>
  <c r="C98" i="30"/>
  <c r="C99" i="30"/>
  <c r="C100" i="30" s="1"/>
  <c r="D99" i="30"/>
  <c r="D100" i="30" s="1"/>
  <c r="D98" i="30"/>
  <c r="D90" i="30"/>
  <c r="E98" i="30"/>
  <c r="D92" i="30"/>
  <c r="D93" i="30" s="1"/>
  <c r="E67" i="30"/>
  <c r="E68" i="30" s="1"/>
  <c r="E66" i="30"/>
  <c r="D67" i="30"/>
  <c r="D68" i="30" s="1"/>
  <c r="D66" i="30"/>
  <c r="C66" i="30"/>
  <c r="C67" i="30"/>
  <c r="C68" i="30" s="1"/>
  <c r="E58" i="30"/>
  <c r="D60" i="30"/>
  <c r="D61" i="30" s="1"/>
  <c r="E60" i="30"/>
  <c r="E61" i="30" s="1"/>
  <c r="C33" i="30"/>
  <c r="C34" i="30"/>
  <c r="C35" i="30" s="1"/>
  <c r="D34" i="30"/>
  <c r="D35" i="30" s="1"/>
  <c r="D33" i="30"/>
  <c r="D25" i="30"/>
  <c r="E33" i="30"/>
  <c r="D27" i="30"/>
  <c r="D28" i="30" s="1"/>
  <c r="D100" i="28"/>
  <c r="D101" i="28" s="1"/>
  <c r="D99" i="28"/>
  <c r="C99" i="28"/>
  <c r="C100" i="28"/>
  <c r="C101" i="28" s="1"/>
  <c r="E100" i="28"/>
  <c r="E101" i="28" s="1"/>
  <c r="E99" i="28"/>
  <c r="D91" i="28"/>
  <c r="D93" i="28"/>
  <c r="D94" i="28" s="1"/>
  <c r="E93" i="28"/>
  <c r="E94" i="28" s="1"/>
  <c r="D67" i="28"/>
  <c r="D68" i="28" s="1"/>
  <c r="D66" i="28"/>
  <c r="C66" i="28"/>
  <c r="C67" i="28"/>
  <c r="C68" i="28" s="1"/>
  <c r="E66" i="28"/>
  <c r="E58" i="28"/>
  <c r="D58" i="28"/>
  <c r="D60" i="28"/>
  <c r="D61" i="28" s="1"/>
  <c r="C33" i="28"/>
  <c r="C34" i="28"/>
  <c r="C35" i="28" s="1"/>
  <c r="D33" i="28"/>
  <c r="D34" i="28"/>
  <c r="D35" i="28" s="1"/>
  <c r="E25" i="28"/>
  <c r="D27" i="28"/>
  <c r="D28" i="28" s="1"/>
  <c r="C25" i="29"/>
  <c r="D25" i="29"/>
  <c r="E34" i="29"/>
  <c r="E35" i="29" s="1"/>
  <c r="E33" i="29"/>
  <c r="D34" i="29"/>
  <c r="D35" i="29" s="1"/>
  <c r="D33" i="29"/>
  <c r="C33" i="29"/>
  <c r="C34" i="29"/>
  <c r="C35" i="29" s="1"/>
  <c r="E25" i="29"/>
  <c r="E99" i="1"/>
  <c r="E100" i="1" s="1"/>
  <c r="E98" i="1"/>
  <c r="C98" i="1"/>
  <c r="C99" i="1"/>
  <c r="C100" i="1" s="1"/>
  <c r="D98" i="1"/>
  <c r="D99" i="1"/>
  <c r="D100" i="1" s="1"/>
  <c r="D92" i="1"/>
  <c r="D93" i="1" s="1"/>
  <c r="E92" i="1"/>
  <c r="E93" i="1" s="1"/>
  <c r="D67" i="1"/>
  <c r="D68" i="1" s="1"/>
  <c r="D66" i="1"/>
  <c r="D58" i="1"/>
  <c r="D60" i="1"/>
  <c r="D61" i="1" s="1"/>
  <c r="C33" i="1"/>
  <c r="C34" i="1"/>
  <c r="C35" i="1" s="1"/>
  <c r="C25" i="1"/>
  <c r="D33" i="1"/>
  <c r="E33" i="1"/>
  <c r="C27" i="1"/>
  <c r="C28" i="1" s="1"/>
  <c r="C123" i="10"/>
  <c r="C249" i="10"/>
  <c r="C250" i="10" s="1"/>
  <c r="E249" i="10"/>
  <c r="E250" i="10" s="1"/>
  <c r="E248" i="10"/>
  <c r="D242" i="10"/>
  <c r="D243" i="10" s="1"/>
  <c r="E242" i="10"/>
  <c r="E243" i="10" s="1"/>
  <c r="E240" i="10"/>
  <c r="D247" i="10"/>
  <c r="E217" i="10"/>
  <c r="E218" i="10"/>
  <c r="E219" i="10" s="1"/>
  <c r="D209" i="10"/>
  <c r="C216" i="10"/>
  <c r="E209" i="10"/>
  <c r="D216" i="10"/>
  <c r="E211" i="10"/>
  <c r="E212" i="10" s="1"/>
  <c r="C186" i="10"/>
  <c r="C187" i="10"/>
  <c r="C188" i="10" s="1"/>
  <c r="D186" i="10"/>
  <c r="D187" i="10"/>
  <c r="D188" i="10" s="1"/>
  <c r="E187" i="10"/>
  <c r="E188" i="10" s="1"/>
  <c r="E186" i="10"/>
  <c r="C180" i="10"/>
  <c r="C181" i="10" s="1"/>
  <c r="D180" i="10"/>
  <c r="D181" i="10" s="1"/>
  <c r="E180" i="10"/>
  <c r="E181" i="10" s="1"/>
  <c r="E178" i="10"/>
  <c r="C155" i="10"/>
  <c r="C156" i="10"/>
  <c r="C157" i="10" s="1"/>
  <c r="E156" i="10"/>
  <c r="E157" i="10" s="1"/>
  <c r="E155" i="10"/>
  <c r="C149" i="10"/>
  <c r="C150" i="10" s="1"/>
  <c r="D149" i="10"/>
  <c r="D150" i="10" s="1"/>
  <c r="E149" i="10"/>
  <c r="E150" i="10" s="1"/>
  <c r="C147" i="10"/>
  <c r="E147" i="10"/>
  <c r="D154" i="10"/>
  <c r="E125" i="10"/>
  <c r="E126" i="10" s="1"/>
  <c r="E124" i="10"/>
  <c r="D118" i="10"/>
  <c r="D119" i="10" s="1"/>
  <c r="E118" i="10"/>
  <c r="E119" i="10" s="1"/>
  <c r="E116" i="10"/>
  <c r="D123" i="10"/>
  <c r="D93" i="10"/>
  <c r="D94" i="10"/>
  <c r="D95" i="10" s="1"/>
  <c r="D85" i="10"/>
  <c r="C92" i="10"/>
  <c r="D87" i="10"/>
  <c r="D88" i="10" s="1"/>
  <c r="E85" i="10"/>
  <c r="E92" i="10"/>
  <c r="D63" i="10"/>
  <c r="D64" i="10" s="1"/>
  <c r="D62" i="10"/>
  <c r="C62" i="10"/>
  <c r="C63" i="10"/>
  <c r="C64" i="10" s="1"/>
  <c r="E63" i="10"/>
  <c r="E64" i="10" s="1"/>
  <c r="E62" i="10"/>
  <c r="C56" i="10"/>
  <c r="C57" i="10" s="1"/>
  <c r="D56" i="10"/>
  <c r="D57" i="10" s="1"/>
  <c r="E56" i="10"/>
  <c r="E57" i="10" s="1"/>
  <c r="E54" i="10"/>
  <c r="C54" i="10"/>
  <c r="E34" i="28" l="1"/>
  <c r="E35" i="28" s="1"/>
  <c r="E33" i="28"/>
  <c r="E66" i="1"/>
  <c r="C124" i="10"/>
  <c r="C125" i="10"/>
  <c r="C126" i="10" s="1"/>
  <c r="D248" i="10"/>
  <c r="D249" i="10"/>
  <c r="D250" i="10" s="1"/>
  <c r="C217" i="10"/>
  <c r="C218" i="10"/>
  <c r="C219" i="10" s="1"/>
  <c r="D217" i="10"/>
  <c r="D218" i="10"/>
  <c r="D219" i="10" s="1"/>
  <c r="D156" i="10"/>
  <c r="D157" i="10" s="1"/>
  <c r="D155" i="10"/>
  <c r="D124" i="10"/>
  <c r="D125" i="10"/>
  <c r="D126" i="10" s="1"/>
  <c r="E93" i="10"/>
  <c r="E94" i="10"/>
  <c r="E95" i="10" s="1"/>
  <c r="C94" i="10"/>
  <c r="C95" i="10" s="1"/>
  <c r="C93" i="10"/>
  <c r="C1" i="4" l="1"/>
  <c r="G119" i="7" s="1"/>
  <c r="C81" i="13"/>
  <c r="C89" i="13" s="1"/>
  <c r="C91" i="13" s="1"/>
  <c r="C92" i="13" s="1"/>
  <c r="D81" i="13"/>
  <c r="D82" i="13" s="1"/>
  <c r="E81" i="13"/>
  <c r="E82" i="13" s="1"/>
  <c r="C51" i="13"/>
  <c r="C59" i="13" s="1"/>
  <c r="C21" i="13"/>
  <c r="C29" i="13" s="1"/>
  <c r="E88" i="13"/>
  <c r="D88" i="13"/>
  <c r="C88" i="13"/>
  <c r="E80" i="13"/>
  <c r="D80" i="13"/>
  <c r="C80" i="13"/>
  <c r="E78" i="13"/>
  <c r="D78" i="13"/>
  <c r="C78" i="13"/>
  <c r="E58" i="13"/>
  <c r="D58" i="13"/>
  <c r="C58" i="13"/>
  <c r="E51" i="13"/>
  <c r="E54" i="13" s="1"/>
  <c r="E55" i="13" s="1"/>
  <c r="D51" i="13"/>
  <c r="D54" i="13" s="1"/>
  <c r="D55" i="13" s="1"/>
  <c r="E50" i="13"/>
  <c r="D50" i="13"/>
  <c r="C50" i="13"/>
  <c r="E48" i="13"/>
  <c r="D48" i="13"/>
  <c r="C48" i="13"/>
  <c r="D28" i="13"/>
  <c r="E28" i="13"/>
  <c r="C28" i="13"/>
  <c r="D21" i="13"/>
  <c r="D24" i="13" s="1"/>
  <c r="D25" i="13" s="1"/>
  <c r="E21" i="13"/>
  <c r="E24" i="13" s="1"/>
  <c r="E25" i="13" s="1"/>
  <c r="D20" i="13"/>
  <c r="E20" i="13"/>
  <c r="C20" i="13"/>
  <c r="D18" i="13"/>
  <c r="E18" i="13"/>
  <c r="C18" i="13"/>
  <c r="C82" i="13"/>
  <c r="D22" i="24"/>
  <c r="E22" i="24"/>
  <c r="C22" i="24"/>
  <c r="D29" i="24"/>
  <c r="E29" i="24"/>
  <c r="C29" i="24"/>
  <c r="D21" i="24"/>
  <c r="E21" i="24"/>
  <c r="C21" i="24"/>
  <c r="D19" i="24"/>
  <c r="E19" i="24"/>
  <c r="C19" i="24"/>
  <c r="D16" i="24"/>
  <c r="E16" i="24"/>
  <c r="C16" i="24"/>
  <c r="C1" i="17"/>
  <c r="B19" i="7"/>
  <c r="D19" i="7"/>
  <c r="C19" i="7"/>
  <c r="E22" i="10"/>
  <c r="E30" i="10" s="1"/>
  <c r="D22" i="10"/>
  <c r="D23" i="10" s="1"/>
  <c r="C22" i="10"/>
  <c r="C30" i="10" s="1"/>
  <c r="E29" i="10"/>
  <c r="D29" i="10"/>
  <c r="C29" i="10"/>
  <c r="E21" i="10"/>
  <c r="D21" i="10"/>
  <c r="C21" i="10"/>
  <c r="E19" i="10"/>
  <c r="D19" i="10"/>
  <c r="C19" i="10"/>
  <c r="E16" i="10"/>
  <c r="C16" i="10"/>
  <c r="A115" i="7"/>
  <c r="G128" i="7"/>
  <c r="G11" i="4"/>
  <c r="A79" i="2" s="1"/>
  <c r="A10" i="4"/>
  <c r="A197" i="4"/>
  <c r="A432" i="4"/>
  <c r="G168" i="4"/>
  <c r="A226" i="4"/>
  <c r="A222" i="4"/>
  <c r="G456" i="4"/>
  <c r="G344" i="4"/>
  <c r="G494" i="4"/>
  <c r="A388" i="4"/>
  <c r="A176" i="4"/>
  <c r="A254" i="4"/>
  <c r="A468" i="4"/>
  <c r="G484" i="4"/>
  <c r="A361" i="4"/>
  <c r="A441" i="4"/>
  <c r="G140" i="4"/>
  <c r="G267" i="4"/>
  <c r="A497" i="4"/>
  <c r="G183" i="4"/>
  <c r="G357" i="4"/>
  <c r="G254" i="4"/>
  <c r="A257" i="4"/>
  <c r="A163" i="4"/>
  <c r="G471" i="4"/>
  <c r="G394" i="4"/>
  <c r="A189" i="4"/>
  <c r="A279" i="4"/>
  <c r="A362" i="4"/>
  <c r="A160" i="4"/>
  <c r="G313" i="4"/>
  <c r="G404" i="4"/>
  <c r="G40" i="4"/>
  <c r="A111" i="2" s="1"/>
  <c r="G442" i="4"/>
  <c r="G177" i="4"/>
  <c r="A22" i="4"/>
  <c r="A223" i="10" s="1"/>
  <c r="A115" i="4"/>
  <c r="A244" i="4"/>
  <c r="A507" i="4"/>
  <c r="A293" i="4"/>
  <c r="A227" i="4"/>
  <c r="G393" i="4"/>
  <c r="A466" i="4"/>
  <c r="G55" i="4"/>
  <c r="A127" i="2" s="1"/>
  <c r="A488" i="4"/>
  <c r="A250" i="4"/>
  <c r="G165" i="4"/>
  <c r="G476" i="4"/>
  <c r="A493" i="4"/>
  <c r="A225" i="4"/>
  <c r="G25" i="4"/>
  <c r="A94" i="2" s="1"/>
  <c r="G208" i="4"/>
  <c r="A502" i="4"/>
  <c r="A180" i="4"/>
  <c r="G435" i="4"/>
  <c r="G320" i="4"/>
  <c r="A323" i="4"/>
  <c r="G215" i="4"/>
  <c r="A464" i="4"/>
  <c r="G64" i="4"/>
  <c r="A136" i="2" s="1"/>
  <c r="A504" i="4"/>
  <c r="A522" i="4"/>
  <c r="G226" i="4"/>
  <c r="A443" i="4"/>
  <c r="A184" i="4"/>
  <c r="A121" i="4"/>
  <c r="A93" i="2" s="1"/>
  <c r="A404" i="4"/>
  <c r="G514" i="4"/>
  <c r="A216" i="4"/>
  <c r="A142" i="4"/>
  <c r="A259" i="4"/>
  <c r="A391" i="4"/>
  <c r="A402" i="4"/>
  <c r="G48" i="4"/>
  <c r="A120" i="2" s="1"/>
  <c r="A424" i="4"/>
  <c r="A207" i="4"/>
  <c r="A394" i="4"/>
  <c r="G521" i="4"/>
  <c r="G246" i="4"/>
  <c r="G125" i="4"/>
  <c r="A451" i="4"/>
  <c r="A381" i="4"/>
  <c r="A286" i="4"/>
  <c r="G82" i="4"/>
  <c r="A75" i="2" s="1"/>
  <c r="G417" i="4"/>
  <c r="G156" i="4"/>
  <c r="A397" i="4"/>
  <c r="A334" i="4"/>
  <c r="G224" i="4"/>
  <c r="A30" i="4"/>
  <c r="D228" i="10" s="1"/>
  <c r="A194" i="4"/>
  <c r="G46" i="4"/>
  <c r="A118" i="2" s="1"/>
  <c r="A188" i="4"/>
  <c r="A481" i="4"/>
  <c r="A177" i="4"/>
  <c r="A492" i="4"/>
  <c r="G50" i="4"/>
  <c r="A122" i="2" s="1"/>
  <c r="G51" i="4"/>
  <c r="A123" i="2" s="1"/>
  <c r="G49" i="4"/>
  <c r="A121" i="2" s="1"/>
  <c r="A137" i="4"/>
  <c r="A374" i="4"/>
  <c r="A190" i="4"/>
  <c r="A147" i="4"/>
  <c r="G31" i="4"/>
  <c r="A101" i="2" s="1"/>
  <c r="G263" i="4"/>
  <c r="G189" i="4"/>
  <c r="A387" i="4"/>
  <c r="A486" i="4"/>
  <c r="A302" i="4"/>
  <c r="A291" i="4"/>
  <c r="A340" i="4"/>
  <c r="G241" i="4"/>
  <c r="G120" i="4"/>
  <c r="A253" i="4"/>
  <c r="A258" i="4"/>
  <c r="A247" i="4"/>
  <c r="G35" i="4"/>
  <c r="A105" i="2" s="1"/>
  <c r="A348" i="4"/>
  <c r="A234" i="4"/>
  <c r="A333" i="4"/>
  <c r="A378" i="4"/>
  <c r="G10" i="4"/>
  <c r="A78" i="2" s="1"/>
  <c r="G167" i="4"/>
  <c r="A231" i="4"/>
  <c r="G212" i="4"/>
  <c r="A447" i="4"/>
  <c r="A422" i="4"/>
  <c r="A461" i="4"/>
  <c r="A366" i="4"/>
  <c r="A355" i="4"/>
  <c r="A212" i="4"/>
  <c r="G450" i="4"/>
  <c r="G197" i="4"/>
  <c r="G244" i="4"/>
  <c r="A495" i="4"/>
  <c r="A434" i="4"/>
  <c r="A505" i="4"/>
  <c r="A322" i="4"/>
  <c r="A311" i="4"/>
  <c r="A300" i="4"/>
  <c r="G43" i="4"/>
  <c r="A114" i="2" s="1"/>
  <c r="A119" i="4"/>
  <c r="A98" i="32" s="1"/>
  <c r="A392" i="4"/>
  <c r="A335" i="4"/>
  <c r="A186" i="4"/>
  <c r="A401" i="4"/>
  <c r="A442" i="4"/>
  <c r="A345" i="4"/>
  <c r="G380" i="4"/>
  <c r="G414" i="4"/>
  <c r="A470" i="4"/>
  <c r="A509" i="4"/>
  <c r="A350" i="4"/>
  <c r="A307" i="4"/>
  <c r="A308" i="4"/>
  <c r="G70" i="4"/>
  <c r="A143" i="2" s="1"/>
  <c r="G102" i="4"/>
  <c r="G529" i="4"/>
  <c r="G490" i="4"/>
  <c r="A471" i="4"/>
  <c r="A379" i="4"/>
  <c r="A280" i="4"/>
  <c r="A357" i="4"/>
  <c r="A206" i="4"/>
  <c r="A195" i="4"/>
  <c r="A452" i="4"/>
  <c r="G56" i="4"/>
  <c r="A128" i="2" s="1"/>
  <c r="G130" i="4"/>
  <c r="G121" i="4"/>
  <c r="A519" i="4"/>
  <c r="A427" i="4"/>
  <c r="A304" i="4"/>
  <c r="A409" i="4"/>
  <c r="A162" i="4"/>
  <c r="A151" i="4"/>
  <c r="A496" i="4"/>
  <c r="A34" i="4"/>
  <c r="F228" i="10" s="1"/>
  <c r="G18" i="4"/>
  <c r="A86" i="2" s="1"/>
  <c r="A220" i="4"/>
  <c r="A456" i="4"/>
  <c r="A255" i="4"/>
  <c r="A346" i="4"/>
  <c r="A513" i="4"/>
  <c r="A395" i="4"/>
  <c r="G222" i="4"/>
  <c r="A155" i="4"/>
  <c r="G439" i="4"/>
  <c r="A316" i="4"/>
  <c r="A472" i="4"/>
  <c r="A303" i="4"/>
  <c r="A175" i="4"/>
  <c r="A330" i="4"/>
  <c r="A202" i="4"/>
  <c r="A141" i="4"/>
  <c r="A103" i="5" s="1"/>
  <c r="A385" i="4"/>
  <c r="A426" i="4"/>
  <c r="A459" i="4"/>
  <c r="A217" i="4"/>
  <c r="G436" i="4"/>
  <c r="G485" i="4"/>
  <c r="A310" i="4"/>
  <c r="G370" i="4"/>
  <c r="G179" i="4"/>
  <c r="A271" i="4"/>
  <c r="A143" i="4"/>
  <c r="A298" i="4"/>
  <c r="A170" i="4"/>
  <c r="A205" i="4"/>
  <c r="A417" i="4"/>
  <c r="A224" i="4"/>
  <c r="A458" i="4"/>
  <c r="A297" i="4"/>
  <c r="A487" i="4"/>
  <c r="G141" i="4"/>
  <c r="G150" i="4"/>
  <c r="A421" i="4"/>
  <c r="G288" i="4"/>
  <c r="G359" i="4"/>
  <c r="A282" i="4"/>
  <c r="A154" i="4"/>
  <c r="A237" i="4"/>
  <c r="A433" i="4"/>
  <c r="A256" i="4"/>
  <c r="A474" i="4"/>
  <c r="A399" i="4"/>
  <c r="A7" i="4"/>
  <c r="G352" i="4"/>
  <c r="G248" i="4"/>
  <c r="A360" i="4"/>
  <c r="G153" i="4"/>
  <c r="G181" i="4"/>
  <c r="A408" i="4"/>
  <c r="A367" i="4"/>
  <c r="A239" i="4"/>
  <c r="A266" i="4"/>
  <c r="A269" i="4"/>
  <c r="A465" i="4"/>
  <c r="A288" i="4"/>
  <c r="A506" i="4"/>
  <c r="A527" i="4"/>
  <c r="G119" i="4"/>
  <c r="G143" i="4"/>
  <c r="G365" i="4"/>
  <c r="A201" i="4"/>
  <c r="G506" i="4"/>
  <c r="G513" i="4"/>
  <c r="G350" i="4"/>
  <c r="G196" i="4"/>
  <c r="G438" i="4"/>
  <c r="A283" i="4"/>
  <c r="A494" i="4"/>
  <c r="G411" i="4"/>
  <c r="G408" i="4"/>
  <c r="G103" i="4"/>
  <c r="G97" i="4"/>
  <c r="G402" i="4"/>
  <c r="G266" i="4"/>
  <c r="G368" i="4"/>
  <c r="G235" i="4"/>
  <c r="A213" i="4"/>
  <c r="G192" i="4"/>
  <c r="G123" i="4"/>
  <c r="G512" i="4"/>
  <c r="G223" i="4"/>
  <c r="G522" i="4"/>
  <c r="G268" i="4"/>
  <c r="A356" i="4"/>
  <c r="G390" i="4"/>
  <c r="G396" i="4"/>
  <c r="G301" i="4"/>
  <c r="A499" i="4"/>
  <c r="G409" i="4"/>
  <c r="G345" i="4"/>
  <c r="G351" i="4"/>
  <c r="Q177" i="7"/>
  <c r="G316" i="4"/>
  <c r="G517" i="4"/>
  <c r="G504" i="4"/>
  <c r="G17" i="4"/>
  <c r="A85" i="2" s="1"/>
  <c r="G342" i="4"/>
  <c r="G75" i="4"/>
  <c r="A149" i="2" s="1"/>
  <c r="G340" i="4"/>
  <c r="G525" i="4"/>
  <c r="G232" i="4"/>
  <c r="Q127" i="7"/>
  <c r="A12" i="7"/>
  <c r="B12" i="7"/>
  <c r="A450" i="4"/>
  <c r="Q49" i="7"/>
  <c r="Q81" i="7"/>
  <c r="A425" i="4"/>
  <c r="Q32" i="7"/>
  <c r="A167" i="4"/>
  <c r="Q45" i="7"/>
  <c r="Q163" i="7"/>
  <c r="A281" i="4"/>
  <c r="A24" i="4"/>
  <c r="A225" i="10" s="1"/>
  <c r="Q15" i="7"/>
  <c r="A199" i="4"/>
  <c r="G86" i="4"/>
  <c r="Q111" i="7"/>
  <c r="Q141" i="7"/>
  <c r="Q35" i="7"/>
  <c r="Q167" i="7"/>
  <c r="Q65" i="7"/>
  <c r="Q28" i="7"/>
  <c r="G98" i="4"/>
  <c r="G114" i="4"/>
  <c r="G24" i="4"/>
  <c r="A92" i="2" s="1"/>
  <c r="A386" i="4"/>
  <c r="A210" i="4"/>
  <c r="A204" i="4"/>
  <c r="G163" i="4"/>
  <c r="A336" i="4"/>
  <c r="G28" i="4"/>
  <c r="A97" i="2" s="1"/>
  <c r="A274" i="4"/>
  <c r="G201" i="4"/>
  <c r="G5" i="4"/>
  <c r="A70" i="2" s="1"/>
  <c r="A370" i="4"/>
  <c r="A353" i="4"/>
  <c r="G23" i="4"/>
  <c r="A91" i="2" s="1"/>
  <c r="G463" i="4"/>
  <c r="G335" i="4"/>
  <c r="G207" i="4"/>
  <c r="G381" i="4"/>
  <c r="G210" i="4"/>
  <c r="G492" i="4"/>
  <c r="G321" i="4"/>
  <c r="G474" i="4"/>
  <c r="G160" i="4"/>
  <c r="G302" i="4"/>
  <c r="G519" i="4"/>
  <c r="G339" i="4"/>
  <c r="G498" i="4"/>
  <c r="G269" i="4"/>
  <c r="G518" i="4"/>
  <c r="G289" i="4"/>
  <c r="G293" i="4"/>
  <c r="G356" i="4"/>
  <c r="G469" i="4"/>
  <c r="G157" i="4"/>
  <c r="G297" i="4"/>
  <c r="G419" i="4"/>
  <c r="G247" i="4"/>
  <c r="G376" i="4"/>
  <c r="G162" i="4"/>
  <c r="G369" i="4"/>
  <c r="G453" i="4"/>
  <c r="G505" i="4"/>
  <c r="G132" i="4"/>
  <c r="G245" i="4"/>
  <c r="G372" i="4"/>
  <c r="G371" i="4"/>
  <c r="G312" i="4"/>
  <c r="G332" i="4"/>
  <c r="G324" i="4"/>
  <c r="G147" i="4"/>
  <c r="G145" i="4"/>
  <c r="A483" i="4"/>
  <c r="A475" i="4"/>
  <c r="A478" i="4"/>
  <c r="A328" i="4"/>
  <c r="A21" i="4"/>
  <c r="A222" i="10" s="1"/>
  <c r="A405" i="4"/>
  <c r="A181" i="4"/>
  <c r="A198" i="4"/>
  <c r="A326" i="4"/>
  <c r="A171" i="4"/>
  <c r="A299" i="4"/>
  <c r="A476" i="4"/>
  <c r="A324" i="4"/>
  <c r="G78" i="4"/>
  <c r="A152" i="2" s="1"/>
  <c r="G195" i="4"/>
  <c r="Q196" i="7"/>
  <c r="Q100" i="7"/>
  <c r="Q131" i="7"/>
  <c r="Q19" i="7"/>
  <c r="Q151" i="7"/>
  <c r="Q23" i="7"/>
  <c r="Q6" i="7"/>
  <c r="G92" i="4"/>
  <c r="G89" i="4"/>
  <c r="A416" i="4"/>
  <c r="G280" i="4"/>
  <c r="A221" i="4"/>
  <c r="A359" i="4"/>
  <c r="G294" i="4"/>
  <c r="A491" i="4"/>
  <c r="G47" i="4"/>
  <c r="A119" i="2" s="1"/>
  <c r="A146" i="4"/>
  <c r="G309" i="4"/>
  <c r="G41" i="4"/>
  <c r="A112" i="2" s="1"/>
  <c r="A242" i="4"/>
  <c r="G19" i="4"/>
  <c r="A87" i="2" s="1"/>
  <c r="G447" i="4"/>
  <c r="G319" i="4"/>
  <c r="G530" i="4"/>
  <c r="G360" i="4"/>
  <c r="G190" i="4"/>
  <c r="G470" i="4"/>
  <c r="G300" i="4"/>
  <c r="G432" i="4"/>
  <c r="G139" i="4"/>
  <c r="G260" i="4"/>
  <c r="G491" i="4"/>
  <c r="G315" i="4"/>
  <c r="G472" i="4"/>
  <c r="G242" i="4"/>
  <c r="G486" i="4"/>
  <c r="G262" i="4"/>
  <c r="G240" i="4"/>
  <c r="G292" i="4"/>
  <c r="G426" i="4"/>
  <c r="G136" i="4"/>
  <c r="G44" i="4"/>
  <c r="A116" i="2" s="1"/>
  <c r="G395" i="4"/>
  <c r="G227" i="4"/>
  <c r="G349" i="4"/>
  <c r="G138" i="4"/>
  <c r="G337" i="4"/>
  <c r="G400" i="4"/>
  <c r="G452" i="4"/>
  <c r="G118" i="4"/>
  <c r="G202" i="4"/>
  <c r="G329" i="4"/>
  <c r="G327" i="4"/>
  <c r="G258" i="4"/>
  <c r="G273" i="4"/>
  <c r="G206" i="4"/>
  <c r="G14" i="4"/>
  <c r="A82" i="2" s="1"/>
  <c r="G124" i="4"/>
  <c r="A419" i="4"/>
  <c r="A411" i="4"/>
  <c r="A462" i="4"/>
  <c r="A296" i="4"/>
  <c r="A517" i="4"/>
  <c r="A389" i="4"/>
  <c r="A149" i="4"/>
  <c r="A214" i="4"/>
  <c r="A342" i="4"/>
  <c r="A187" i="4"/>
  <c r="A315" i="4"/>
  <c r="A460" i="4"/>
  <c r="A292" i="4"/>
  <c r="G495" i="4"/>
  <c r="G477" i="4"/>
  <c r="G497" i="4"/>
  <c r="G250" i="4"/>
  <c r="G437" i="4"/>
  <c r="G265" i="4"/>
  <c r="A423" i="4"/>
  <c r="A463" i="4"/>
  <c r="A161" i="4"/>
  <c r="A410" i="4"/>
  <c r="A192" i="4"/>
  <c r="A449" i="4"/>
  <c r="K71" i="16"/>
  <c r="Q191" i="7"/>
  <c r="Q84" i="7"/>
  <c r="Q104" i="7"/>
  <c r="Q7" i="7"/>
  <c r="Q135" i="7"/>
  <c r="Q60" i="7"/>
  <c r="G61" i="4"/>
  <c r="A133" i="2" s="1"/>
  <c r="G93" i="4"/>
  <c r="G527" i="4"/>
  <c r="A457" i="4"/>
  <c r="G20" i="4"/>
  <c r="A88" i="2" s="1"/>
  <c r="A482" i="4"/>
  <c r="A113" i="4"/>
  <c r="A115" i="5" s="1"/>
  <c r="G343" i="4"/>
  <c r="G164" i="4"/>
  <c r="G76" i="4"/>
  <c r="A150" i="2" s="1"/>
  <c r="A349" i="4"/>
  <c r="G133" i="4"/>
  <c r="G63" i="4"/>
  <c r="A135" i="2" s="1"/>
  <c r="A455" i="4"/>
  <c r="G29" i="4"/>
  <c r="A99" i="2" s="1"/>
  <c r="G431" i="4"/>
  <c r="G303" i="4"/>
  <c r="G509" i="4"/>
  <c r="G338" i="4"/>
  <c r="G174" i="4"/>
  <c r="G449" i="4"/>
  <c r="G278" i="4"/>
  <c r="G389" i="4"/>
  <c r="G112" i="4"/>
  <c r="A10" i="8" s="1"/>
  <c r="G217" i="4"/>
  <c r="G467" i="4"/>
  <c r="G295" i="4"/>
  <c r="G440" i="4"/>
  <c r="G216" i="4"/>
  <c r="G460" i="4"/>
  <c r="G230" i="4"/>
  <c r="G188" i="4"/>
  <c r="G238" i="4"/>
  <c r="G384" i="4"/>
  <c r="G110" i="4"/>
  <c r="A8" i="8" s="1"/>
  <c r="G59" i="4"/>
  <c r="A131" i="2" s="1"/>
  <c r="G375" i="4"/>
  <c r="G203" i="4"/>
  <c r="G322" i="4"/>
  <c r="G12" i="4"/>
  <c r="A80" i="2" s="1"/>
  <c r="G310" i="4"/>
  <c r="G336" i="4"/>
  <c r="G398" i="4"/>
  <c r="G501" i="4"/>
  <c r="G173" i="4"/>
  <c r="G286" i="4"/>
  <c r="G283" i="4"/>
  <c r="G200" i="4"/>
  <c r="G220" i="4"/>
  <c r="G148" i="4"/>
  <c r="G446" i="4"/>
  <c r="G13" i="4"/>
  <c r="A81" i="2" s="1"/>
  <c r="A337" i="4"/>
  <c r="A321" i="4"/>
  <c r="A446" i="4"/>
  <c r="A264" i="4"/>
  <c r="A501" i="4"/>
  <c r="A373" i="4"/>
  <c r="A27" i="4"/>
  <c r="E226" i="10" s="1"/>
  <c r="A230" i="4"/>
  <c r="A358" i="4"/>
  <c r="A203" i="4"/>
  <c r="A331" i="4"/>
  <c r="A444" i="4"/>
  <c r="A260" i="4"/>
  <c r="G451" i="4"/>
  <c r="G418" i="4"/>
  <c r="Q185" i="7"/>
  <c r="Q63" i="7"/>
  <c r="Q99" i="7"/>
  <c r="Q129" i="7"/>
  <c r="Q17" i="7"/>
  <c r="G65" i="4"/>
  <c r="A137" i="2" s="1"/>
  <c r="G94" i="4"/>
  <c r="G366" i="4"/>
  <c r="G73" i="4"/>
  <c r="A147" i="2" s="1"/>
  <c r="A369" i="4"/>
  <c r="A178" i="4"/>
  <c r="G101" i="4"/>
  <c r="G170" i="4"/>
  <c r="A489" i="4"/>
  <c r="G412" i="4"/>
  <c r="G57" i="4"/>
  <c r="A129" i="2" s="1"/>
  <c r="A157" i="4"/>
  <c r="G308" i="4"/>
  <c r="G38" i="4"/>
  <c r="A109" i="2" s="1"/>
  <c r="G415" i="4"/>
  <c r="G287" i="4"/>
  <c r="G488" i="4"/>
  <c r="G317" i="4"/>
  <c r="G158" i="4"/>
  <c r="G428" i="4"/>
  <c r="G257" i="4"/>
  <c r="G346" i="4"/>
  <c r="G516" i="4"/>
  <c r="G180" i="4"/>
  <c r="G443" i="4"/>
  <c r="G275" i="4"/>
  <c r="G413" i="4"/>
  <c r="G186" i="4"/>
  <c r="G433" i="4"/>
  <c r="G204" i="4"/>
  <c r="G155" i="4"/>
  <c r="G187" i="4"/>
  <c r="G341" i="4"/>
  <c r="G510" i="4"/>
  <c r="G26" i="4"/>
  <c r="A95" i="2" s="1"/>
  <c r="G355" i="4"/>
  <c r="G520" i="4"/>
  <c r="G290" i="4"/>
  <c r="G508" i="4"/>
  <c r="G284" i="4"/>
  <c r="G282" i="4"/>
  <c r="G334" i="4"/>
  <c r="G458" i="4"/>
  <c r="G152" i="4"/>
  <c r="G58" i="4"/>
  <c r="A130" i="2" s="1"/>
  <c r="G243" i="4"/>
  <c r="G154" i="4"/>
  <c r="G496" i="4"/>
  <c r="G16" i="4"/>
  <c r="A84" i="2" s="1"/>
  <c r="G361" i="4"/>
  <c r="A503" i="4"/>
  <c r="A209" i="4"/>
  <c r="A193" i="4"/>
  <c r="A430" i="4"/>
  <c r="A232" i="4"/>
  <c r="A485" i="4"/>
  <c r="A341" i="4"/>
  <c r="A246" i="4"/>
  <c r="A219" i="4"/>
  <c r="A347" i="4"/>
  <c r="A428" i="4"/>
  <c r="A228" i="4"/>
  <c r="G407" i="4"/>
  <c r="Q58" i="7"/>
  <c r="Q169" i="7"/>
  <c r="Q57" i="7"/>
  <c r="Q189" i="7"/>
  <c r="Q93" i="7"/>
  <c r="Q119" i="7"/>
  <c r="Q55" i="7"/>
  <c r="G87" i="4"/>
  <c r="G7" i="4"/>
  <c r="A72" i="2" s="1"/>
  <c r="G32" i="4"/>
  <c r="A102" i="2" s="1"/>
  <c r="G77" i="4"/>
  <c r="A151" i="2" s="1"/>
  <c r="G478" i="4"/>
  <c r="A285" i="4"/>
  <c r="A384" i="4"/>
  <c r="A268" i="4"/>
  <c r="A208" i="4"/>
  <c r="G392" i="4"/>
  <c r="A332" i="4"/>
  <c r="A393" i="4"/>
  <c r="G480" i="4"/>
  <c r="G100" i="4"/>
  <c r="G399" i="4"/>
  <c r="G271" i="4"/>
  <c r="G466" i="4"/>
  <c r="G296" i="4"/>
  <c r="G142" i="4"/>
  <c r="G406" i="4"/>
  <c r="G236" i="4"/>
  <c r="G304" i="4"/>
  <c r="G473" i="4"/>
  <c r="G4" i="4"/>
  <c r="G423" i="4"/>
  <c r="G251" i="4"/>
  <c r="G386" i="4"/>
  <c r="G166" i="4"/>
  <c r="G401" i="4"/>
  <c r="G528" i="4"/>
  <c r="G128" i="4"/>
  <c r="G159" i="4"/>
  <c r="G298" i="4"/>
  <c r="G468" i="4"/>
  <c r="G511" i="4"/>
  <c r="G331" i="4"/>
  <c r="G493" i="4"/>
  <c r="G264" i="4"/>
  <c r="G481" i="4"/>
  <c r="G252" i="4"/>
  <c r="G229" i="4"/>
  <c r="G281" i="4"/>
  <c r="G416" i="4"/>
  <c r="G131" i="4"/>
  <c r="G74" i="4"/>
  <c r="A148" i="2" s="1"/>
  <c r="G199" i="4"/>
  <c r="G109" i="4"/>
  <c r="A6" i="8" s="1"/>
  <c r="G378" i="4"/>
  <c r="G448" i="4"/>
  <c r="G276" i="4"/>
  <c r="A439" i="4"/>
  <c r="A479" i="4"/>
  <c r="A31" i="4"/>
  <c r="E228" i="10" s="1"/>
  <c r="A414" i="4"/>
  <c r="A200" i="4"/>
  <c r="A469" i="4"/>
  <c r="A309" i="4"/>
  <c r="A134" i="4"/>
  <c r="A262" i="4"/>
  <c r="A33" i="4"/>
  <c r="A235" i="4"/>
  <c r="A363" i="4"/>
  <c r="A412" i="4"/>
  <c r="A196" i="4"/>
  <c r="G363" i="4"/>
  <c r="G306" i="4"/>
  <c r="G326" i="4"/>
  <c r="G420" i="4"/>
  <c r="G184" i="4"/>
  <c r="G161" i="4"/>
  <c r="A467" i="4"/>
  <c r="A169" i="4"/>
  <c r="A490" i="4"/>
  <c r="A352" i="4"/>
  <c r="A529" i="4"/>
  <c r="A62" i="4"/>
  <c r="Q22" i="7"/>
  <c r="Q148" i="7"/>
  <c r="Q52" i="7"/>
  <c r="Q179" i="7"/>
  <c r="Q77" i="7"/>
  <c r="Q108" i="7"/>
  <c r="Q33" i="7"/>
  <c r="G95" i="4"/>
  <c r="G88" i="4"/>
  <c r="A306" i="4"/>
  <c r="G151" i="4"/>
  <c r="G185" i="4"/>
  <c r="A144" i="4"/>
  <c r="A71" i="28" s="1"/>
  <c r="A263" i="4"/>
  <c r="G483" i="4"/>
  <c r="A448" i="4"/>
  <c r="A418" i="4"/>
  <c r="G427" i="4"/>
  <c r="A480" i="4"/>
  <c r="A521" i="4"/>
  <c r="G314" i="4"/>
  <c r="G523" i="4"/>
  <c r="G383" i="4"/>
  <c r="G255" i="4"/>
  <c r="G445" i="4"/>
  <c r="G274" i="4"/>
  <c r="G126" i="4"/>
  <c r="G385" i="4"/>
  <c r="G214" i="4"/>
  <c r="G261" i="4"/>
  <c r="G430" i="4"/>
  <c r="G45" i="4"/>
  <c r="A117" i="2" s="1"/>
  <c r="G403" i="4"/>
  <c r="G231" i="4"/>
  <c r="G354" i="4"/>
  <c r="G146" i="4"/>
  <c r="G374" i="4"/>
  <c r="G464" i="4"/>
  <c r="G526" i="4"/>
  <c r="G137" i="4"/>
  <c r="G256" i="4"/>
  <c r="G425" i="4"/>
  <c r="G487" i="4"/>
  <c r="G311" i="4"/>
  <c r="G461" i="4"/>
  <c r="G237" i="4"/>
  <c r="G454" i="4"/>
  <c r="G225" i="4"/>
  <c r="G176" i="4"/>
  <c r="G228" i="4"/>
  <c r="G373" i="4"/>
  <c r="G500" i="4"/>
  <c r="G507" i="4"/>
  <c r="G482" i="4"/>
  <c r="G502" i="4"/>
  <c r="G272" i="4"/>
  <c r="G362" i="4"/>
  <c r="G233" i="4"/>
  <c r="A375" i="4"/>
  <c r="A415" i="4"/>
  <c r="A526" i="4"/>
  <c r="A398" i="4"/>
  <c r="A168" i="4"/>
  <c r="A453" i="4"/>
  <c r="A277" i="4"/>
  <c r="A150" i="4"/>
  <c r="A278" i="4"/>
  <c r="A118" i="4"/>
  <c r="A67" i="32" s="1"/>
  <c r="A251" i="4"/>
  <c r="A524" i="4"/>
  <c r="A396" i="4"/>
  <c r="A164" i="4"/>
  <c r="G323" i="4"/>
  <c r="Q128" i="7"/>
  <c r="Q137" i="7"/>
  <c r="Q25" i="7"/>
  <c r="Q173" i="7"/>
  <c r="Q56" i="7"/>
  <c r="Q207" i="7"/>
  <c r="Q87" i="7"/>
  <c r="Q11" i="7"/>
  <c r="G96" i="4"/>
  <c r="A233" i="4"/>
  <c r="G71" i="4"/>
  <c r="A144" i="2" s="1"/>
  <c r="A512" i="4"/>
  <c r="G259" i="4"/>
  <c r="A514" i="4"/>
  <c r="A338" i="4"/>
  <c r="G34" i="4"/>
  <c r="A104" i="2" s="1"/>
  <c r="A327" i="4"/>
  <c r="A431" i="4"/>
  <c r="G531" i="4"/>
  <c r="A295" i="4"/>
  <c r="A272" i="4"/>
  <c r="G524" i="4"/>
  <c r="G503" i="4"/>
  <c r="G367" i="4"/>
  <c r="G239" i="4"/>
  <c r="G424" i="4"/>
  <c r="G253" i="4"/>
  <c r="G364" i="4"/>
  <c r="G193" i="4"/>
  <c r="G218" i="4"/>
  <c r="G388" i="4"/>
  <c r="G69" i="4"/>
  <c r="A142" i="2" s="1"/>
  <c r="G379" i="4"/>
  <c r="G211" i="4"/>
  <c r="G328" i="4"/>
  <c r="G122" i="4"/>
  <c r="G348" i="4"/>
  <c r="G410" i="4"/>
  <c r="G462" i="4"/>
  <c r="G111" i="4"/>
  <c r="A9" i="8" s="1"/>
  <c r="G213" i="4"/>
  <c r="G382" i="4"/>
  <c r="G459" i="4"/>
  <c r="G291" i="4"/>
  <c r="G434" i="4"/>
  <c r="G205" i="4"/>
  <c r="G422" i="4"/>
  <c r="G198" i="4"/>
  <c r="G149" i="4"/>
  <c r="G175" i="4"/>
  <c r="G330" i="4"/>
  <c r="G457" i="4"/>
  <c r="G455" i="4"/>
  <c r="G429" i="4"/>
  <c r="G444" i="4"/>
  <c r="G171" i="4"/>
  <c r="G277" i="4"/>
  <c r="G191" i="4"/>
  <c r="A249" i="4"/>
  <c r="A329" i="4"/>
  <c r="A510" i="4"/>
  <c r="A382" i="4"/>
  <c r="A437" i="4"/>
  <c r="A245" i="4"/>
  <c r="A166" i="4"/>
  <c r="A294" i="4"/>
  <c r="A139" i="4"/>
  <c r="A14" i="29" s="1"/>
  <c r="A267" i="4"/>
  <c r="A508" i="4"/>
  <c r="A380" i="4"/>
  <c r="G279" i="4"/>
  <c r="G194" i="4"/>
  <c r="G209" i="4"/>
  <c r="G8" i="4"/>
  <c r="A73" i="2" s="1"/>
  <c r="G91" i="4"/>
  <c r="G66" i="4"/>
  <c r="A138" i="2" s="1"/>
  <c r="Q76" i="7"/>
  <c r="Q92" i="7"/>
  <c r="Q161" i="7"/>
  <c r="Q51" i="7"/>
  <c r="Q120" i="7"/>
  <c r="Q184" i="7"/>
  <c r="Q8" i="7"/>
  <c r="Q68" i="7"/>
  <c r="Q143" i="7"/>
  <c r="Q98" i="7"/>
  <c r="Q113" i="7"/>
  <c r="Q172" i="7"/>
  <c r="Q61" i="7"/>
  <c r="Q136" i="7"/>
  <c r="Q208" i="7"/>
  <c r="Q20" i="7"/>
  <c r="Q95" i="7"/>
  <c r="Q153" i="7"/>
  <c r="Q16" i="7"/>
  <c r="G95" i="17"/>
  <c r="A8" i="2" s="1"/>
  <c r="G62" i="4"/>
  <c r="A134" i="2" s="1"/>
  <c r="G104" i="4"/>
  <c r="G90" i="4"/>
  <c r="Q71" i="7"/>
  <c r="Q44" i="7"/>
  <c r="Q124" i="7"/>
  <c r="Q193" i="7"/>
  <c r="Q13" i="7"/>
  <c r="Q88" i="7"/>
  <c r="Q147" i="7"/>
  <c r="Q41" i="7"/>
  <c r="Q105" i="7"/>
  <c r="Q180" i="7"/>
  <c r="Q101" i="7"/>
  <c r="Q75" i="7"/>
  <c r="Q90" i="7"/>
  <c r="A95" i="7"/>
  <c r="Q117" i="7"/>
  <c r="Q186" i="7"/>
  <c r="A95" i="4"/>
  <c r="K243" i="16"/>
  <c r="Q197" i="7"/>
  <c r="X5" i="7"/>
  <c r="A54" i="4"/>
  <c r="A110" i="32" s="1"/>
  <c r="A208" i="17"/>
  <c r="A70" i="4"/>
  <c r="Q39" i="7"/>
  <c r="Q97" i="7"/>
  <c r="Q140" i="7"/>
  <c r="Q183" i="7"/>
  <c r="Q24" i="7"/>
  <c r="Q67" i="7"/>
  <c r="Q109" i="7"/>
  <c r="Q152" i="7"/>
  <c r="Q195" i="7"/>
  <c r="Q31" i="7"/>
  <c r="Q73" i="7"/>
  <c r="Q116" i="7"/>
  <c r="Q159" i="7"/>
  <c r="Q203" i="7"/>
  <c r="Q37" i="7"/>
  <c r="Q150" i="7"/>
  <c r="A101" i="4"/>
  <c r="Q103" i="7"/>
  <c r="Q145" i="7"/>
  <c r="Q188" i="7"/>
  <c r="Q29" i="7"/>
  <c r="Q72" i="7"/>
  <c r="Q115" i="7"/>
  <c r="Q157" i="7"/>
  <c r="Q200" i="7"/>
  <c r="Q36" i="7"/>
  <c r="Q79" i="7"/>
  <c r="Q121" i="7"/>
  <c r="Q164" i="7"/>
  <c r="Q59" i="7"/>
  <c r="Q182" i="7"/>
  <c r="A97" i="4"/>
  <c r="A61" i="17"/>
  <c r="Q156" i="7"/>
  <c r="Q199" i="7"/>
  <c r="Q40" i="7"/>
  <c r="Q83" i="7"/>
  <c r="Q125" i="7"/>
  <c r="Q168" i="7"/>
  <c r="Q3" i="7"/>
  <c r="Q47" i="7"/>
  <c r="Q89" i="7"/>
  <c r="Q132" i="7"/>
  <c r="Q175" i="7"/>
  <c r="Q80" i="7"/>
  <c r="A23" i="4"/>
  <c r="A224" i="10" s="1"/>
  <c r="Q43" i="7"/>
  <c r="Q85" i="7"/>
  <c r="Q155" i="7"/>
  <c r="Q205" i="7"/>
  <c r="Q26" i="7"/>
  <c r="Q118" i="7"/>
  <c r="Q194" i="7"/>
  <c r="X3" i="7"/>
  <c r="A103" i="4"/>
  <c r="K172" i="16"/>
  <c r="Q4" i="7"/>
  <c r="Q48" i="7"/>
  <c r="Q91" i="7"/>
  <c r="Q160" i="7"/>
  <c r="Q34" i="7"/>
  <c r="Q122" i="7"/>
  <c r="A99" i="4"/>
  <c r="A330" i="17"/>
  <c r="Q10" i="7"/>
  <c r="Q53" i="7"/>
  <c r="Q96" i="7"/>
  <c r="Q171" i="7"/>
  <c r="Q54" i="7"/>
  <c r="Q130" i="7"/>
  <c r="A100" i="4"/>
  <c r="A90" i="4"/>
  <c r="A144" i="5" s="1"/>
  <c r="A10" i="7"/>
  <c r="K39" i="16"/>
  <c r="K157" i="16"/>
  <c r="Q21" i="7"/>
  <c r="Q64" i="7"/>
  <c r="Q107" i="7"/>
  <c r="Q204" i="7"/>
  <c r="Q66" i="7"/>
  <c r="Q154" i="7"/>
  <c r="A107" i="4"/>
  <c r="A87" i="4"/>
  <c r="A138" i="5" s="1"/>
  <c r="K128" i="16"/>
  <c r="K151" i="16"/>
  <c r="Q27" i="7"/>
  <c r="Q69" i="7"/>
  <c r="Q112" i="7"/>
  <c r="Q86" i="7"/>
  <c r="Q162" i="7"/>
  <c r="A104" i="4"/>
  <c r="A57" i="4"/>
  <c r="A115" i="32" s="1"/>
  <c r="K200" i="16"/>
  <c r="A93" i="4"/>
  <c r="A11" i="7"/>
  <c r="K132" i="16"/>
  <c r="A26" i="17"/>
  <c r="A108" i="32" s="1"/>
  <c r="R5" i="16"/>
  <c r="A60" i="4"/>
  <c r="B7" i="7"/>
  <c r="K140" i="16"/>
  <c r="K62" i="16"/>
  <c r="K29" i="16"/>
  <c r="A63" i="4"/>
  <c r="K192" i="16"/>
  <c r="K115" i="16"/>
  <c r="A94" i="7"/>
  <c r="K59" i="16"/>
  <c r="A322" i="17"/>
  <c r="K30" i="16"/>
  <c r="G191" i="17"/>
  <c r="A79" i="7"/>
  <c r="K123" i="16"/>
  <c r="K99" i="16"/>
  <c r="K34" i="16"/>
  <c r="A282" i="17"/>
  <c r="A124" i="17"/>
  <c r="K40" i="16"/>
  <c r="K28" i="16"/>
  <c r="K146" i="16"/>
  <c r="A77" i="17"/>
  <c r="G227" i="17"/>
  <c r="A36" i="4"/>
  <c r="A88" i="4"/>
  <c r="A140" i="5" s="1"/>
  <c r="B9" i="7"/>
  <c r="B9" i="16"/>
  <c r="K171" i="16"/>
  <c r="K159" i="16"/>
  <c r="K114" i="16"/>
  <c r="K109" i="16"/>
  <c r="A191" i="17"/>
  <c r="A102" i="4"/>
  <c r="A68" i="4"/>
  <c r="A8" i="7"/>
  <c r="K24" i="16"/>
  <c r="A30" i="17"/>
  <c r="K199" i="16"/>
  <c r="K126" i="16"/>
  <c r="A55" i="17"/>
  <c r="G89" i="17"/>
  <c r="K125" i="16"/>
  <c r="A276" i="17"/>
  <c r="A73" i="4"/>
  <c r="A116" i="5" s="1"/>
  <c r="A55" i="4"/>
  <c r="A111" i="32" s="1"/>
  <c r="B11" i="7"/>
  <c r="K96" i="16"/>
  <c r="K44" i="16"/>
  <c r="G129" i="17"/>
  <c r="K194" i="16"/>
  <c r="A71" i="17"/>
  <c r="G99" i="17"/>
  <c r="A69" i="4"/>
  <c r="A81" i="7"/>
  <c r="K104" i="16"/>
  <c r="K27" i="16"/>
  <c r="K68" i="16"/>
  <c r="G105" i="17"/>
  <c r="K31" i="16"/>
  <c r="G145" i="17"/>
  <c r="K210" i="16"/>
  <c r="G159" i="17"/>
  <c r="G139" i="17"/>
  <c r="A23" i="17"/>
  <c r="G126" i="17"/>
  <c r="G289" i="17"/>
  <c r="A371" i="17"/>
  <c r="A144" i="17"/>
  <c r="Q123" i="7"/>
  <c r="Q165" i="7"/>
  <c r="Q201" i="7"/>
  <c r="Q30" i="7"/>
  <c r="Q62" i="7"/>
  <c r="Q94" i="7"/>
  <c r="Q126" i="7"/>
  <c r="Q158" i="7"/>
  <c r="Q190" i="7"/>
  <c r="X4" i="7"/>
  <c r="A91" i="4"/>
  <c r="A146" i="5" s="1"/>
  <c r="A58" i="4"/>
  <c r="A94" i="4"/>
  <c r="A61" i="4"/>
  <c r="A98" i="4"/>
  <c r="A64" i="4"/>
  <c r="A92" i="4"/>
  <c r="A148" i="5" s="1"/>
  <c r="A59" i="4"/>
  <c r="A213" i="24" s="1"/>
  <c r="A6" i="7"/>
  <c r="B14" i="7"/>
  <c r="A91" i="7"/>
  <c r="A83" i="7"/>
  <c r="K32" i="16"/>
  <c r="K120" i="16"/>
  <c r="K91" i="16"/>
  <c r="A4" i="17"/>
  <c r="A5" i="24" s="1"/>
  <c r="K60" i="16"/>
  <c r="K156" i="16"/>
  <c r="G169" i="17"/>
  <c r="K131" i="16"/>
  <c r="G97" i="17"/>
  <c r="K55" i="16"/>
  <c r="K167" i="16"/>
  <c r="G113" i="17"/>
  <c r="K50" i="16"/>
  <c r="K130" i="16"/>
  <c r="A63" i="17"/>
  <c r="A250" i="17"/>
  <c r="A41" i="17"/>
  <c r="G107" i="17"/>
  <c r="K13" i="16"/>
  <c r="K141" i="16"/>
  <c r="A168" i="17"/>
  <c r="G84" i="17"/>
  <c r="A313" i="17"/>
  <c r="Q133" i="7"/>
  <c r="Q176" i="7"/>
  <c r="Q209" i="7"/>
  <c r="Q5" i="7"/>
  <c r="Q38" i="7"/>
  <c r="Q70" i="7"/>
  <c r="Q102" i="7"/>
  <c r="Q134" i="7"/>
  <c r="Q166" i="7"/>
  <c r="Q198" i="7"/>
  <c r="A83" i="4"/>
  <c r="A49" i="4"/>
  <c r="A89" i="13" s="1"/>
  <c r="A86" i="4"/>
  <c r="A53" i="4"/>
  <c r="A89" i="4"/>
  <c r="A142" i="5" s="1"/>
  <c r="A56" i="4"/>
  <c r="A113" i="32" s="1"/>
  <c r="A84" i="4"/>
  <c r="A133" i="5" s="1"/>
  <c r="A51" i="4"/>
  <c r="A15" i="7"/>
  <c r="B6" i="7"/>
  <c r="A88" i="7"/>
  <c r="A80" i="7"/>
  <c r="K56" i="16"/>
  <c r="K136" i="16"/>
  <c r="G121" i="17"/>
  <c r="K139" i="16"/>
  <c r="A290" i="17"/>
  <c r="K76" i="16"/>
  <c r="K188" i="16"/>
  <c r="A15" i="17"/>
  <c r="K203" i="16"/>
  <c r="G161" i="17"/>
  <c r="K87" i="16"/>
  <c r="A3" i="16"/>
  <c r="K66" i="16"/>
  <c r="K158" i="16"/>
  <c r="K242" i="16"/>
  <c r="G91" i="17"/>
  <c r="G163" i="17"/>
  <c r="K41" i="16"/>
  <c r="K189" i="16"/>
  <c r="G141" i="17"/>
  <c r="A272" i="17"/>
  <c r="G152" i="17"/>
  <c r="A397" i="17"/>
  <c r="Q139" i="7"/>
  <c r="Q181" i="7"/>
  <c r="Q9" i="7"/>
  <c r="Q42" i="7"/>
  <c r="Q74" i="7"/>
  <c r="Q106" i="7"/>
  <c r="Q138" i="7"/>
  <c r="Q170" i="7"/>
  <c r="Q202" i="7"/>
  <c r="A79" i="4"/>
  <c r="A125" i="5" s="1"/>
  <c r="A45" i="4"/>
  <c r="A245" i="10" s="1"/>
  <c r="A82" i="4"/>
  <c r="A130" i="5" s="1"/>
  <c r="A48" i="4"/>
  <c r="A74" i="13" s="1"/>
  <c r="A85" i="4"/>
  <c r="A135" i="5" s="1"/>
  <c r="A52" i="4"/>
  <c r="A80" i="4"/>
  <c r="A126" i="5" s="1"/>
  <c r="A46" i="4"/>
  <c r="A247" i="10" s="1"/>
  <c r="B8" i="7"/>
  <c r="B10" i="7"/>
  <c r="A78" i="7"/>
  <c r="A84" i="7"/>
  <c r="K64" i="16"/>
  <c r="K152" i="16"/>
  <c r="G185" i="17"/>
  <c r="K155" i="16"/>
  <c r="K5" i="16"/>
  <c r="K92" i="16"/>
  <c r="K196" i="16"/>
  <c r="A32" i="17"/>
  <c r="A25" i="32" s="1"/>
  <c r="K7" i="16"/>
  <c r="B4" i="16"/>
  <c r="K95" i="16"/>
  <c r="K82" i="16"/>
  <c r="K162" i="16"/>
  <c r="A38" i="17"/>
  <c r="A58" i="17"/>
  <c r="G171" i="17"/>
  <c r="K61" i="16"/>
  <c r="K201" i="16"/>
  <c r="G189" i="17"/>
  <c r="A280" i="17"/>
  <c r="G238" i="17"/>
  <c r="G406" i="17"/>
  <c r="Q144" i="7"/>
  <c r="Q187" i="7"/>
  <c r="Q14" i="7"/>
  <c r="Q46" i="7"/>
  <c r="Q78" i="7"/>
  <c r="Q110" i="7"/>
  <c r="Q142" i="7"/>
  <c r="Q174" i="7"/>
  <c r="Q206" i="7"/>
  <c r="A105" i="4"/>
  <c r="A75" i="4"/>
  <c r="A118" i="5" s="1"/>
  <c r="A41" i="4"/>
  <c r="A239" i="10" s="1"/>
  <c r="A78" i="4"/>
  <c r="A123" i="5" s="1"/>
  <c r="A81" i="4"/>
  <c r="A128" i="5" s="1"/>
  <c r="A47" i="4"/>
  <c r="A249" i="10" s="1"/>
  <c r="A76" i="4"/>
  <c r="A119" i="5" s="1"/>
  <c r="B13" i="7"/>
  <c r="B15" i="7"/>
  <c r="A82" i="7"/>
  <c r="K4" i="16"/>
  <c r="K72" i="16"/>
  <c r="K168" i="16"/>
  <c r="B5" i="16"/>
  <c r="K179" i="16"/>
  <c r="K108" i="16"/>
  <c r="K204" i="16"/>
  <c r="A49" i="17"/>
  <c r="K35" i="16"/>
  <c r="K103" i="16"/>
  <c r="B7" i="16"/>
  <c r="K94" i="16"/>
  <c r="K178" i="16"/>
  <c r="G127" i="17"/>
  <c r="A64" i="17"/>
  <c r="A205" i="17"/>
  <c r="K73" i="16"/>
  <c r="K209" i="16"/>
  <c r="A96" i="17"/>
  <c r="A111" i="17"/>
  <c r="G254" i="17"/>
  <c r="G432" i="17"/>
  <c r="Q149" i="7"/>
  <c r="Q192" i="7"/>
  <c r="Q18" i="7"/>
  <c r="Q50" i="7"/>
  <c r="Q82" i="7"/>
  <c r="Q114" i="7"/>
  <c r="Q146" i="7"/>
  <c r="Q178" i="7"/>
  <c r="Q210" i="7"/>
  <c r="G99" i="4"/>
  <c r="A106" i="4"/>
  <c r="A39" i="4"/>
  <c r="A71" i="4"/>
  <c r="A113" i="5" s="1"/>
  <c r="A37" i="4"/>
  <c r="A232" i="10" s="1"/>
  <c r="A74" i="4"/>
  <c r="A117" i="5" s="1"/>
  <c r="A40" i="4"/>
  <c r="A237" i="10" s="1"/>
  <c r="A77" i="4"/>
  <c r="A121" i="5" s="1"/>
  <c r="A43" i="4"/>
  <c r="A242" i="10" s="1"/>
  <c r="A72" i="4"/>
  <c r="A114" i="5" s="1"/>
  <c r="A38" i="4"/>
  <c r="A234" i="10" s="1"/>
  <c r="A7" i="7"/>
  <c r="A14" i="7"/>
  <c r="B39" i="28" s="1"/>
  <c r="A77" i="7"/>
  <c r="K6" i="16"/>
  <c r="K88" i="16"/>
  <c r="K184" i="16"/>
  <c r="A19" i="17"/>
  <c r="K11" i="16"/>
  <c r="K12" i="16"/>
  <c r="K124" i="16"/>
  <c r="K67" i="16"/>
  <c r="K23" i="16"/>
  <c r="K135" i="16"/>
  <c r="A17" i="17"/>
  <c r="K18" i="16"/>
  <c r="K98" i="16"/>
  <c r="K190" i="16"/>
  <c r="G88" i="17"/>
  <c r="G151" i="17"/>
  <c r="A66" i="17"/>
  <c r="A298" i="17"/>
  <c r="K105" i="16"/>
  <c r="A104" i="17"/>
  <c r="A127" i="17"/>
  <c r="G335" i="17"/>
  <c r="K45" i="16"/>
  <c r="K137" i="16"/>
  <c r="A142" i="17"/>
  <c r="A89" i="17"/>
  <c r="G471" i="17"/>
  <c r="G352" i="17"/>
  <c r="K77" i="16"/>
  <c r="K169" i="16"/>
  <c r="A12" i="17"/>
  <c r="A274" i="17"/>
  <c r="A182" i="17"/>
  <c r="A153" i="17"/>
  <c r="G154" i="17"/>
  <c r="G411" i="17"/>
  <c r="A408" i="17"/>
  <c r="K9" i="16"/>
  <c r="K93" i="16"/>
  <c r="K173" i="16"/>
  <c r="A20" i="17"/>
  <c r="G78" i="17"/>
  <c r="A184" i="17"/>
  <c r="A177" i="17"/>
  <c r="A326" i="17"/>
  <c r="A213" i="17"/>
  <c r="A9" i="7"/>
  <c r="A93" i="7"/>
  <c r="A90" i="7"/>
  <c r="K16" i="16"/>
  <c r="K80" i="16"/>
  <c r="K144" i="16"/>
  <c r="K208" i="16"/>
  <c r="A11" i="17"/>
  <c r="K43" i="16"/>
  <c r="K163" i="16"/>
  <c r="A22" i="17"/>
  <c r="K20" i="16"/>
  <c r="K84" i="16"/>
  <c r="K148" i="16"/>
  <c r="A6" i="17"/>
  <c r="A67" i="24" s="1"/>
  <c r="A76" i="17"/>
  <c r="K19" i="16"/>
  <c r="K147" i="16"/>
  <c r="A13" i="17"/>
  <c r="G193" i="17"/>
  <c r="K47" i="16"/>
  <c r="K111" i="16"/>
  <c r="K175" i="16"/>
  <c r="K239" i="16"/>
  <c r="A34" i="17"/>
  <c r="A121" i="32" s="1"/>
  <c r="G177" i="17"/>
  <c r="K8" i="16"/>
  <c r="K38" i="16"/>
  <c r="K70" i="16"/>
  <c r="K102" i="16"/>
  <c r="K134" i="16"/>
  <c r="K166" i="16"/>
  <c r="K198" i="16"/>
  <c r="G90" i="17"/>
  <c r="A65" i="17"/>
  <c r="G103" i="17"/>
  <c r="G167" i="17"/>
  <c r="A314" i="17"/>
  <c r="A52" i="17"/>
  <c r="A68" i="17"/>
  <c r="G115" i="17"/>
  <c r="G179" i="17"/>
  <c r="G449" i="17"/>
  <c r="K17" i="16"/>
  <c r="K49" i="16"/>
  <c r="K81" i="16"/>
  <c r="K113" i="16"/>
  <c r="K145" i="16"/>
  <c r="K177" i="16"/>
  <c r="A33" i="17"/>
  <c r="A78" i="17"/>
  <c r="G481" i="17"/>
  <c r="A108" i="17"/>
  <c r="A150" i="17"/>
  <c r="A192" i="17"/>
  <c r="G345" i="17"/>
  <c r="A129" i="17"/>
  <c r="A193" i="17"/>
  <c r="G186" i="17"/>
  <c r="G270" i="17"/>
  <c r="G243" i="17"/>
  <c r="A237" i="17"/>
  <c r="A419" i="17"/>
  <c r="G482" i="17"/>
  <c r="K119" i="16"/>
  <c r="K183" i="16"/>
  <c r="A226" i="17"/>
  <c r="K10" i="16"/>
  <c r="K42" i="16"/>
  <c r="K74" i="16"/>
  <c r="K106" i="16"/>
  <c r="K138" i="16"/>
  <c r="K170" i="16"/>
  <c r="K202" i="16"/>
  <c r="A51" i="17"/>
  <c r="A67" i="17"/>
  <c r="G111" i="17"/>
  <c r="G175" i="17"/>
  <c r="G385" i="17"/>
  <c r="A54" i="17"/>
  <c r="A70" i="17"/>
  <c r="G123" i="17"/>
  <c r="G187" i="17"/>
  <c r="R3" i="16"/>
  <c r="K21" i="16"/>
  <c r="K53" i="16"/>
  <c r="K85" i="16"/>
  <c r="K117" i="16"/>
  <c r="K149" i="16"/>
  <c r="K181" i="16"/>
  <c r="A3" i="17"/>
  <c r="A35" i="17"/>
  <c r="A154" i="24" s="1"/>
  <c r="G85" i="17"/>
  <c r="A118" i="17"/>
  <c r="A156" i="17"/>
  <c r="A198" i="17"/>
  <c r="G377" i="17"/>
  <c r="A137" i="17"/>
  <c r="A220" i="17"/>
  <c r="G102" i="17"/>
  <c r="G202" i="17"/>
  <c r="G286" i="17"/>
  <c r="G257" i="17"/>
  <c r="A287" i="17"/>
  <c r="A449" i="17"/>
  <c r="A336" i="17"/>
  <c r="K160" i="16"/>
  <c r="A28" i="17"/>
  <c r="G153" i="17"/>
  <c r="K75" i="16"/>
  <c r="K195" i="16"/>
  <c r="K36" i="16"/>
  <c r="K100" i="16"/>
  <c r="K164" i="16"/>
  <c r="A24" i="17"/>
  <c r="G137" i="17"/>
  <c r="K51" i="16"/>
  <c r="K187" i="16"/>
  <c r="B6" i="16"/>
  <c r="K63" i="16"/>
  <c r="K127" i="16"/>
  <c r="K191" i="16"/>
  <c r="G93" i="17"/>
  <c r="G417" i="17"/>
  <c r="K14" i="16"/>
  <c r="K46" i="16"/>
  <c r="K78" i="16"/>
  <c r="K110" i="16"/>
  <c r="K142" i="16"/>
  <c r="K174" i="16"/>
  <c r="K206" i="16"/>
  <c r="K238" i="16"/>
  <c r="A53" i="17"/>
  <c r="A69" i="17"/>
  <c r="G119" i="17"/>
  <c r="G183" i="17"/>
  <c r="G4" i="17"/>
  <c r="A10" i="2" s="1"/>
  <c r="A39" i="17"/>
  <c r="A56" i="17"/>
  <c r="A73" i="17"/>
  <c r="G131" i="17"/>
  <c r="G195" i="17"/>
  <c r="R4" i="16"/>
  <c r="K25" i="16"/>
  <c r="K57" i="16"/>
  <c r="K89" i="16"/>
  <c r="K121" i="16"/>
  <c r="K153" i="16"/>
  <c r="K185" i="16"/>
  <c r="A5" i="17"/>
  <c r="A36" i="24" s="1"/>
  <c r="G125" i="17"/>
  <c r="A120" i="17"/>
  <c r="A158" i="17"/>
  <c r="A200" i="17"/>
  <c r="A81" i="17"/>
  <c r="A145" i="17"/>
  <c r="A252" i="17"/>
  <c r="G110" i="17"/>
  <c r="A254" i="17"/>
  <c r="G318" i="17"/>
  <c r="G275" i="17"/>
  <c r="A311" i="17"/>
  <c r="A473" i="17"/>
  <c r="A342" i="17"/>
  <c r="A13" i="7"/>
  <c r="B16" i="7"/>
  <c r="A89" i="7"/>
  <c r="A16" i="7"/>
  <c r="K48" i="16"/>
  <c r="K112" i="16"/>
  <c r="K176" i="16"/>
  <c r="K240" i="16"/>
  <c r="A258" i="17"/>
  <c r="K107" i="16"/>
  <c r="K3" i="16"/>
  <c r="K52" i="16"/>
  <c r="K116" i="16"/>
  <c r="K180" i="16"/>
  <c r="G201" i="17"/>
  <c r="K83" i="16"/>
  <c r="A72" i="17"/>
  <c r="K15" i="16"/>
  <c r="K79" i="16"/>
  <c r="K143" i="16"/>
  <c r="K207" i="16"/>
  <c r="K22" i="16"/>
  <c r="K54" i="16"/>
  <c r="K86" i="16"/>
  <c r="K118" i="16"/>
  <c r="K150" i="16"/>
  <c r="K182" i="16"/>
  <c r="G5" i="17"/>
  <c r="A11" i="2" s="1"/>
  <c r="A40" i="17"/>
  <c r="A57" i="17"/>
  <c r="A75" i="17"/>
  <c r="G135" i="17"/>
  <c r="G199" i="17"/>
  <c r="A43" i="17"/>
  <c r="A60" i="17"/>
  <c r="G83" i="17"/>
  <c r="G147" i="17"/>
  <c r="A234" i="17"/>
  <c r="K33" i="16"/>
  <c r="K65" i="16"/>
  <c r="K97" i="16"/>
  <c r="K129" i="16"/>
  <c r="K161" i="16"/>
  <c r="K193" i="16"/>
  <c r="K241" i="16"/>
  <c r="A14" i="17"/>
  <c r="A50" i="17"/>
  <c r="G149" i="17"/>
  <c r="A92" i="17"/>
  <c r="A128" i="17"/>
  <c r="A172" i="17"/>
  <c r="A216" i="17"/>
  <c r="A95" i="17"/>
  <c r="A169" i="17"/>
  <c r="A316" i="17"/>
  <c r="G132" i="17"/>
  <c r="G204" i="17"/>
  <c r="G343" i="17"/>
  <c r="G323" i="17"/>
  <c r="G445" i="17"/>
  <c r="G354" i="17"/>
  <c r="A8" i="17"/>
  <c r="A129" i="24" s="1"/>
  <c r="G81" i="17"/>
  <c r="K26" i="16"/>
  <c r="K58" i="16"/>
  <c r="K90" i="16"/>
  <c r="K122" i="16"/>
  <c r="K154" i="16"/>
  <c r="K186" i="16"/>
  <c r="A42" i="17"/>
  <c r="A59" i="17"/>
  <c r="A80" i="17"/>
  <c r="G143" i="17"/>
  <c r="A218" i="17"/>
  <c r="G87" i="17"/>
  <c r="A62" i="17"/>
  <c r="G155" i="17"/>
  <c r="A266" i="17"/>
  <c r="B8" i="16"/>
  <c r="K37" i="16"/>
  <c r="K69" i="16"/>
  <c r="K101" i="16"/>
  <c r="K133" i="16"/>
  <c r="K165" i="16"/>
  <c r="K197" i="16"/>
  <c r="A16" i="17"/>
  <c r="G181" i="17"/>
  <c r="A94" i="17"/>
  <c r="A134" i="17"/>
  <c r="A174" i="17"/>
  <c r="A264" i="17"/>
  <c r="A105" i="17"/>
  <c r="A175" i="17"/>
  <c r="G361" i="17"/>
  <c r="G134" i="17"/>
  <c r="G236" i="17"/>
  <c r="G463" i="17"/>
  <c r="G325" i="17"/>
  <c r="G461" i="17"/>
  <c r="G382" i="17"/>
  <c r="K205" i="16"/>
  <c r="K237" i="16"/>
  <c r="A18" i="17"/>
  <c r="G157" i="17"/>
  <c r="A102" i="17"/>
  <c r="A126" i="17"/>
  <c r="A152" i="17"/>
  <c r="A176" i="17"/>
  <c r="A204" i="17"/>
  <c r="A312" i="17"/>
  <c r="A97" i="17"/>
  <c r="A143" i="17"/>
  <c r="A185" i="17"/>
  <c r="A284" i="17"/>
  <c r="G100" i="17"/>
  <c r="G142" i="17"/>
  <c r="A262" i="17"/>
  <c r="G268" i="17"/>
  <c r="G407" i="17"/>
  <c r="G259" i="17"/>
  <c r="G499" i="17"/>
  <c r="G365" i="17"/>
  <c r="A425" i="17"/>
  <c r="G402" i="17"/>
  <c r="A372" i="17"/>
  <c r="A412" i="17"/>
  <c r="A7" i="17"/>
  <c r="A98" i="24" s="1"/>
  <c r="A25" i="17"/>
  <c r="A231" i="10" s="1"/>
  <c r="G96" i="17"/>
  <c r="A210" i="17"/>
  <c r="A86" i="17"/>
  <c r="A110" i="17"/>
  <c r="A136" i="17"/>
  <c r="A160" i="17"/>
  <c r="A188" i="17"/>
  <c r="A240" i="17"/>
  <c r="A113" i="17"/>
  <c r="A159" i="17"/>
  <c r="A201" i="17"/>
  <c r="G393" i="17"/>
  <c r="G116" i="17"/>
  <c r="G170" i="17"/>
  <c r="G206" i="17"/>
  <c r="G300" i="17"/>
  <c r="G211" i="17"/>
  <c r="G291" i="17"/>
  <c r="A261" i="17"/>
  <c r="A347" i="17"/>
  <c r="A475" i="17"/>
  <c r="G454" i="17"/>
  <c r="A452" i="17"/>
  <c r="A9" i="17"/>
  <c r="A160" i="24" s="1"/>
  <c r="A27" i="17"/>
  <c r="G117" i="17"/>
  <c r="A242" i="17"/>
  <c r="A88" i="17"/>
  <c r="A112" i="17"/>
  <c r="A140" i="17"/>
  <c r="A166" i="17"/>
  <c r="A190" i="17"/>
  <c r="A248" i="17"/>
  <c r="G77" i="17"/>
  <c r="A121" i="17"/>
  <c r="A161" i="17"/>
  <c r="A212" i="17"/>
  <c r="A79" i="17"/>
  <c r="G118" i="17"/>
  <c r="G184" i="17"/>
  <c r="G222" i="17"/>
  <c r="G302" i="17"/>
  <c r="G225" i="17"/>
  <c r="G307" i="17"/>
  <c r="A263" i="17"/>
  <c r="A369" i="17"/>
  <c r="A499" i="17"/>
  <c r="G456" i="17"/>
  <c r="A29" i="17"/>
  <c r="G101" i="17"/>
  <c r="G165" i="17"/>
  <c r="A306" i="17"/>
  <c r="A82" i="17"/>
  <c r="A98" i="17"/>
  <c r="A114" i="17"/>
  <c r="A130" i="17"/>
  <c r="A146" i="17"/>
  <c r="A162" i="17"/>
  <c r="A178" i="17"/>
  <c r="A194" i="17"/>
  <c r="A224" i="17"/>
  <c r="A288" i="17"/>
  <c r="G409" i="17"/>
  <c r="A83" i="17"/>
  <c r="A99" i="17"/>
  <c r="A115" i="17"/>
  <c r="A131" i="17"/>
  <c r="A147" i="17"/>
  <c r="A163" i="17"/>
  <c r="A179" i="17"/>
  <c r="A195" i="17"/>
  <c r="A228" i="17"/>
  <c r="A292" i="17"/>
  <c r="G425" i="17"/>
  <c r="G104" i="17"/>
  <c r="G120" i="17"/>
  <c r="G136" i="17"/>
  <c r="G164" i="17"/>
  <c r="G196" i="17"/>
  <c r="A302" i="17"/>
  <c r="G216" i="17"/>
  <c r="G248" i="17"/>
  <c r="G280" i="17"/>
  <c r="G312" i="17"/>
  <c r="G383" i="17"/>
  <c r="G205" i="17"/>
  <c r="G237" i="17"/>
  <c r="G269" i="17"/>
  <c r="G301" i="17"/>
  <c r="G371" i="17"/>
  <c r="A229" i="17"/>
  <c r="A279" i="17"/>
  <c r="A329" i="17"/>
  <c r="A337" i="17"/>
  <c r="A387" i="17"/>
  <c r="A441" i="17"/>
  <c r="A491" i="17"/>
  <c r="G370" i="17"/>
  <c r="G422" i="17"/>
  <c r="G472" i="17"/>
  <c r="A358" i="17"/>
  <c r="A438" i="17"/>
  <c r="A31" i="17"/>
  <c r="G109" i="17"/>
  <c r="G173" i="17"/>
  <c r="G353" i="17"/>
  <c r="A84" i="17"/>
  <c r="A100" i="17"/>
  <c r="A116" i="17"/>
  <c r="A132" i="17"/>
  <c r="A148" i="17"/>
  <c r="A164" i="17"/>
  <c r="A180" i="17"/>
  <c r="A196" i="17"/>
  <c r="A232" i="17"/>
  <c r="A296" i="17"/>
  <c r="G441" i="17"/>
  <c r="A85" i="17"/>
  <c r="A101" i="17"/>
  <c r="A117" i="17"/>
  <c r="A133" i="17"/>
  <c r="A149" i="17"/>
  <c r="A165" i="17"/>
  <c r="A181" i="17"/>
  <c r="A197" i="17"/>
  <c r="A236" i="17"/>
  <c r="A300" i="17"/>
  <c r="G457" i="17"/>
  <c r="G106" i="17"/>
  <c r="G122" i="17"/>
  <c r="G138" i="17"/>
  <c r="G166" i="17"/>
  <c r="G198" i="17"/>
  <c r="A310" i="17"/>
  <c r="G218" i="17"/>
  <c r="G250" i="17"/>
  <c r="G282" i="17"/>
  <c r="G314" i="17"/>
  <c r="G391" i="17"/>
  <c r="G207" i="17"/>
  <c r="G239" i="17"/>
  <c r="G271" i="17"/>
  <c r="G303" i="17"/>
  <c r="G395" i="17"/>
  <c r="A231" i="17"/>
  <c r="A281" i="17"/>
  <c r="G333" i="17"/>
  <c r="A339" i="17"/>
  <c r="A393" i="17"/>
  <c r="A443" i="17"/>
  <c r="A493" i="17"/>
  <c r="G374" i="17"/>
  <c r="G424" i="17"/>
  <c r="G478" i="17"/>
  <c r="A360" i="17"/>
  <c r="A440" i="17"/>
  <c r="A304" i="17"/>
  <c r="G473" i="17"/>
  <c r="A87" i="17"/>
  <c r="A103" i="17"/>
  <c r="A119" i="17"/>
  <c r="A135" i="17"/>
  <c r="A151" i="17"/>
  <c r="A167" i="17"/>
  <c r="A183" i="17"/>
  <c r="A199" i="17"/>
  <c r="A244" i="17"/>
  <c r="A308" i="17"/>
  <c r="G489" i="17"/>
  <c r="G108" i="17"/>
  <c r="G124" i="17"/>
  <c r="G140" i="17"/>
  <c r="G168" i="17"/>
  <c r="G200" i="17"/>
  <c r="A318" i="17"/>
  <c r="G220" i="17"/>
  <c r="G252" i="17"/>
  <c r="G284" i="17"/>
  <c r="G316" i="17"/>
  <c r="G399" i="17"/>
  <c r="G209" i="17"/>
  <c r="G241" i="17"/>
  <c r="G273" i="17"/>
  <c r="G305" i="17"/>
  <c r="G403" i="17"/>
  <c r="A233" i="17"/>
  <c r="A285" i="17"/>
  <c r="G341" i="17"/>
  <c r="A345" i="17"/>
  <c r="A395" i="17"/>
  <c r="A445" i="17"/>
  <c r="A497" i="17"/>
  <c r="G376" i="17"/>
  <c r="G430" i="17"/>
  <c r="G480" i="17"/>
  <c r="A364" i="17"/>
  <c r="A446" i="17"/>
  <c r="A74" i="17"/>
  <c r="G133" i="17"/>
  <c r="G197" i="17"/>
  <c r="A90" i="17"/>
  <c r="A106" i="17"/>
  <c r="A122" i="17"/>
  <c r="A138" i="17"/>
  <c r="A154" i="17"/>
  <c r="A170" i="17"/>
  <c r="A186" i="17"/>
  <c r="A202" i="17"/>
  <c r="A256" i="17"/>
  <c r="A320" i="17"/>
  <c r="A91" i="17"/>
  <c r="A107" i="17"/>
  <c r="A123" i="17"/>
  <c r="A139" i="17"/>
  <c r="A155" i="17"/>
  <c r="A171" i="17"/>
  <c r="A187" i="17"/>
  <c r="A203" i="17"/>
  <c r="A260" i="17"/>
  <c r="A324" i="17"/>
  <c r="G80" i="17"/>
  <c r="G112" i="17"/>
  <c r="G128" i="17"/>
  <c r="G148" i="17"/>
  <c r="G180" i="17"/>
  <c r="A238" i="17"/>
  <c r="G465" i="17"/>
  <c r="G232" i="17"/>
  <c r="G264" i="17"/>
  <c r="G296" i="17"/>
  <c r="G328" i="17"/>
  <c r="G447" i="17"/>
  <c r="G221" i="17"/>
  <c r="G253" i="17"/>
  <c r="G285" i="17"/>
  <c r="G317" i="17"/>
  <c r="G475" i="17"/>
  <c r="A253" i="17"/>
  <c r="A303" i="17"/>
  <c r="G429" i="17"/>
  <c r="A363" i="17"/>
  <c r="A413" i="17"/>
  <c r="A465" i="17"/>
  <c r="G344" i="17"/>
  <c r="G398" i="17"/>
  <c r="G448" i="17"/>
  <c r="G498" i="17"/>
  <c r="A396" i="17"/>
  <c r="A328" i="17"/>
  <c r="A93" i="17"/>
  <c r="A109" i="17"/>
  <c r="A125" i="17"/>
  <c r="A141" i="17"/>
  <c r="A157" i="17"/>
  <c r="A173" i="17"/>
  <c r="A189" i="17"/>
  <c r="A206" i="17"/>
  <c r="A268" i="17"/>
  <c r="A332" i="17"/>
  <c r="G82" i="17"/>
  <c r="G98" i="17"/>
  <c r="G114" i="17"/>
  <c r="G130" i="17"/>
  <c r="G150" i="17"/>
  <c r="G182" i="17"/>
  <c r="A246" i="17"/>
  <c r="G497" i="17"/>
  <c r="G234" i="17"/>
  <c r="G266" i="17"/>
  <c r="G298" i="17"/>
  <c r="G330" i="17"/>
  <c r="G455" i="17"/>
  <c r="G223" i="17"/>
  <c r="G255" i="17"/>
  <c r="G287" i="17"/>
  <c r="G319" i="17"/>
  <c r="G491" i="17"/>
  <c r="A255" i="17"/>
  <c r="A309" i="17"/>
  <c r="G437" i="17"/>
  <c r="A365" i="17"/>
  <c r="A417" i="17"/>
  <c r="A467" i="17"/>
  <c r="G350" i="17"/>
  <c r="G400" i="17"/>
  <c r="G450" i="17"/>
  <c r="A334" i="17"/>
  <c r="A398" i="17"/>
  <c r="G156" i="17"/>
  <c r="G172" i="17"/>
  <c r="G188" i="17"/>
  <c r="A207" i="17"/>
  <c r="A270" i="17"/>
  <c r="G337" i="17"/>
  <c r="G208" i="17"/>
  <c r="G224" i="17"/>
  <c r="G240" i="17"/>
  <c r="G256" i="17"/>
  <c r="G272" i="17"/>
  <c r="G288" i="17"/>
  <c r="G304" i="17"/>
  <c r="G320" i="17"/>
  <c r="G351" i="17"/>
  <c r="G415" i="17"/>
  <c r="G479" i="17"/>
  <c r="G213" i="17"/>
  <c r="G229" i="17"/>
  <c r="G245" i="17"/>
  <c r="G261" i="17"/>
  <c r="G277" i="17"/>
  <c r="G293" i="17"/>
  <c r="G309" i="17"/>
  <c r="G331" i="17"/>
  <c r="G427" i="17"/>
  <c r="A215" i="17"/>
  <c r="A239" i="17"/>
  <c r="A265" i="17"/>
  <c r="A293" i="17"/>
  <c r="A317" i="17"/>
  <c r="G373" i="17"/>
  <c r="G469" i="17"/>
  <c r="A349" i="17"/>
  <c r="A377" i="17"/>
  <c r="A401" i="17"/>
  <c r="A427" i="17"/>
  <c r="A451" i="17"/>
  <c r="A477" i="17"/>
  <c r="G334" i="17"/>
  <c r="G358" i="17"/>
  <c r="G384" i="17"/>
  <c r="G408" i="17"/>
  <c r="G434" i="17"/>
  <c r="G462" i="17"/>
  <c r="G486" i="17"/>
  <c r="A344" i="17"/>
  <c r="A374" i="17"/>
  <c r="A414" i="17"/>
  <c r="A460" i="17"/>
  <c r="G158" i="17"/>
  <c r="G174" i="17"/>
  <c r="G190" i="17"/>
  <c r="A214" i="17"/>
  <c r="A278" i="17"/>
  <c r="G369" i="17"/>
  <c r="G210" i="17"/>
  <c r="G226" i="17"/>
  <c r="G242" i="17"/>
  <c r="G258" i="17"/>
  <c r="G274" i="17"/>
  <c r="G290" i="17"/>
  <c r="G306" i="17"/>
  <c r="G322" i="17"/>
  <c r="G359" i="17"/>
  <c r="G423" i="17"/>
  <c r="G487" i="17"/>
  <c r="G215" i="17"/>
  <c r="G231" i="17"/>
  <c r="G247" i="17"/>
  <c r="G263" i="17"/>
  <c r="G279" i="17"/>
  <c r="G295" i="17"/>
  <c r="G311" i="17"/>
  <c r="G339" i="17"/>
  <c r="G435" i="17"/>
  <c r="A217" i="17"/>
  <c r="A245" i="17"/>
  <c r="A269" i="17"/>
  <c r="A295" i="17"/>
  <c r="A319" i="17"/>
  <c r="G381" i="17"/>
  <c r="G493" i="17"/>
  <c r="A353" i="17"/>
  <c r="A379" i="17"/>
  <c r="A403" i="17"/>
  <c r="A429" i="17"/>
  <c r="A457" i="17"/>
  <c r="A481" i="17"/>
  <c r="G336" i="17"/>
  <c r="G360" i="17"/>
  <c r="G386" i="17"/>
  <c r="G414" i="17"/>
  <c r="G438" i="17"/>
  <c r="G464" i="17"/>
  <c r="G488" i="17"/>
  <c r="A346" i="17"/>
  <c r="A382" i="17"/>
  <c r="A422" i="17"/>
  <c r="A462" i="17"/>
  <c r="G144" i="17"/>
  <c r="G160" i="17"/>
  <c r="G176" i="17"/>
  <c r="G192" i="17"/>
  <c r="A222" i="17"/>
  <c r="A286" i="17"/>
  <c r="G401" i="17"/>
  <c r="G212" i="17"/>
  <c r="G228" i="17"/>
  <c r="G244" i="17"/>
  <c r="G260" i="17"/>
  <c r="G276" i="17"/>
  <c r="G292" i="17"/>
  <c r="G308" i="17"/>
  <c r="G324" i="17"/>
  <c r="G367" i="17"/>
  <c r="G431" i="17"/>
  <c r="G495" i="17"/>
  <c r="G217" i="17"/>
  <c r="G233" i="17"/>
  <c r="G249" i="17"/>
  <c r="G265" i="17"/>
  <c r="G281" i="17"/>
  <c r="G297" i="17"/>
  <c r="G313" i="17"/>
  <c r="G347" i="17"/>
  <c r="G459" i="17"/>
  <c r="A221" i="17"/>
  <c r="A247" i="17"/>
  <c r="A271" i="17"/>
  <c r="A297" i="17"/>
  <c r="A325" i="17"/>
  <c r="G397" i="17"/>
  <c r="G501" i="17"/>
  <c r="A355" i="17"/>
  <c r="A381" i="17"/>
  <c r="A409" i="17"/>
  <c r="A433" i="17"/>
  <c r="A459" i="17"/>
  <c r="A483" i="17"/>
  <c r="G338" i="17"/>
  <c r="G366" i="17"/>
  <c r="G390" i="17"/>
  <c r="G416" i="17"/>
  <c r="G440" i="17"/>
  <c r="G466" i="17"/>
  <c r="G494" i="17"/>
  <c r="A350" i="17"/>
  <c r="A388" i="17"/>
  <c r="A424" i="17"/>
  <c r="A468" i="17"/>
  <c r="G146" i="17"/>
  <c r="G162" i="17"/>
  <c r="G178" i="17"/>
  <c r="G194" i="17"/>
  <c r="A230" i="17"/>
  <c r="A294" i="17"/>
  <c r="G433" i="17"/>
  <c r="G214" i="17"/>
  <c r="G230" i="17"/>
  <c r="G246" i="17"/>
  <c r="G262" i="17"/>
  <c r="G278" i="17"/>
  <c r="G294" i="17"/>
  <c r="G310" i="17"/>
  <c r="G326" i="17"/>
  <c r="G375" i="17"/>
  <c r="G439" i="17"/>
  <c r="G203" i="17"/>
  <c r="G219" i="17"/>
  <c r="G235" i="17"/>
  <c r="G251" i="17"/>
  <c r="G267" i="17"/>
  <c r="G283" i="17"/>
  <c r="G299" i="17"/>
  <c r="G315" i="17"/>
  <c r="G363" i="17"/>
  <c r="G467" i="17"/>
  <c r="A223" i="17"/>
  <c r="A249" i="17"/>
  <c r="A277" i="17"/>
  <c r="A301" i="17"/>
  <c r="A327" i="17"/>
  <c r="G405" i="17"/>
  <c r="A333" i="17"/>
  <c r="A361" i="17"/>
  <c r="A385" i="17"/>
  <c r="A411" i="17"/>
  <c r="A435" i="17"/>
  <c r="A461" i="17"/>
  <c r="A489" i="17"/>
  <c r="G342" i="17"/>
  <c r="G368" i="17"/>
  <c r="G392" i="17"/>
  <c r="G418" i="17"/>
  <c r="G446" i="17"/>
  <c r="G470" i="17"/>
  <c r="G496" i="17"/>
  <c r="A352" i="17"/>
  <c r="A390" i="17"/>
  <c r="A436" i="17"/>
  <c r="G321" i="17"/>
  <c r="G355" i="17"/>
  <c r="G419" i="17"/>
  <c r="G483" i="17"/>
  <c r="A219" i="17"/>
  <c r="A235" i="17"/>
  <c r="A251" i="17"/>
  <c r="A267" i="17"/>
  <c r="A283" i="17"/>
  <c r="A299" i="17"/>
  <c r="A315" i="17"/>
  <c r="A331" i="17"/>
  <c r="G389" i="17"/>
  <c r="G453" i="17"/>
  <c r="A335" i="17"/>
  <c r="A351" i="17"/>
  <c r="A367" i="17"/>
  <c r="A383" i="17"/>
  <c r="A399" i="17"/>
  <c r="A415" i="17"/>
  <c r="A431" i="17"/>
  <c r="A447" i="17"/>
  <c r="A463" i="17"/>
  <c r="A479" i="17"/>
  <c r="A495" i="17"/>
  <c r="G340" i="17"/>
  <c r="G356" i="17"/>
  <c r="G372" i="17"/>
  <c r="G388" i="17"/>
  <c r="G404" i="17"/>
  <c r="G420" i="17"/>
  <c r="G436" i="17"/>
  <c r="G452" i="17"/>
  <c r="G468" i="17"/>
  <c r="G484" i="17"/>
  <c r="G500" i="17"/>
  <c r="A348" i="17"/>
  <c r="A366" i="17"/>
  <c r="A392" i="17"/>
  <c r="A420" i="17"/>
  <c r="A444" i="17"/>
  <c r="A472" i="17"/>
  <c r="A478" i="17"/>
  <c r="A484" i="17"/>
  <c r="G327" i="17"/>
  <c r="G379" i="17"/>
  <c r="G443" i="17"/>
  <c r="A209" i="17"/>
  <c r="A225" i="17"/>
  <c r="A241" i="17"/>
  <c r="A257" i="17"/>
  <c r="A273" i="17"/>
  <c r="A289" i="17"/>
  <c r="A305" i="17"/>
  <c r="A321" i="17"/>
  <c r="G349" i="17"/>
  <c r="G413" i="17"/>
  <c r="G477" i="17"/>
  <c r="A341" i="17"/>
  <c r="A357" i="17"/>
  <c r="A373" i="17"/>
  <c r="A389" i="17"/>
  <c r="A405" i="17"/>
  <c r="A421" i="17"/>
  <c r="A437" i="17"/>
  <c r="A453" i="17"/>
  <c r="A469" i="17"/>
  <c r="A485" i="17"/>
  <c r="A501" i="17"/>
  <c r="G346" i="17"/>
  <c r="G362" i="17"/>
  <c r="G378" i="17"/>
  <c r="G394" i="17"/>
  <c r="G410" i="17"/>
  <c r="G426" i="17"/>
  <c r="G442" i="17"/>
  <c r="G458" i="17"/>
  <c r="G474" i="17"/>
  <c r="G490" i="17"/>
  <c r="A338" i="17"/>
  <c r="A354" i="17"/>
  <c r="A376" i="17"/>
  <c r="A404" i="17"/>
  <c r="A428" i="17"/>
  <c r="A454" i="17"/>
  <c r="A490" i="17"/>
  <c r="G329" i="17"/>
  <c r="G387" i="17"/>
  <c r="G451" i="17"/>
  <c r="A211" i="17"/>
  <c r="A227" i="17"/>
  <c r="A243" i="17"/>
  <c r="A259" i="17"/>
  <c r="A275" i="17"/>
  <c r="A291" i="17"/>
  <c r="A307" i="17"/>
  <c r="A323" i="17"/>
  <c r="G357" i="17"/>
  <c r="G421" i="17"/>
  <c r="G485" i="17"/>
  <c r="A343" i="17"/>
  <c r="A359" i="17"/>
  <c r="A375" i="17"/>
  <c r="A391" i="17"/>
  <c r="A407" i="17"/>
  <c r="A423" i="17"/>
  <c r="A439" i="17"/>
  <c r="A455" i="17"/>
  <c r="A471" i="17"/>
  <c r="A487" i="17"/>
  <c r="G332" i="17"/>
  <c r="G348" i="17"/>
  <c r="G364" i="17"/>
  <c r="G380" i="17"/>
  <c r="G396" i="17"/>
  <c r="G412" i="17"/>
  <c r="G428" i="17"/>
  <c r="G444" i="17"/>
  <c r="G460" i="17"/>
  <c r="G476" i="17"/>
  <c r="G492" i="17"/>
  <c r="A340" i="17"/>
  <c r="A356" i="17"/>
  <c r="A380" i="17"/>
  <c r="A406" i="17"/>
  <c r="A430" i="17"/>
  <c r="A456" i="17"/>
  <c r="A362" i="17"/>
  <c r="A378" i="17"/>
  <c r="A394" i="17"/>
  <c r="A410" i="17"/>
  <c r="A426" i="17"/>
  <c r="A442" i="17"/>
  <c r="A458" i="17"/>
  <c r="A474" i="17"/>
  <c r="A492" i="17"/>
  <c r="A476" i="17"/>
  <c r="A496" i="17"/>
  <c r="A498" i="17"/>
  <c r="A368" i="17"/>
  <c r="A384" i="17"/>
  <c r="A400" i="17"/>
  <c r="A416" i="17"/>
  <c r="A432" i="17"/>
  <c r="A448" i="17"/>
  <c r="A464" i="17"/>
  <c r="A480" i="17"/>
  <c r="A500" i="17"/>
  <c r="A370" i="17"/>
  <c r="A386" i="17"/>
  <c r="A402" i="17"/>
  <c r="A418" i="17"/>
  <c r="A434" i="17"/>
  <c r="A450" i="17"/>
  <c r="A466" i="17"/>
  <c r="A482" i="17"/>
  <c r="A470" i="17"/>
  <c r="A486" i="17"/>
  <c r="A92" i="7"/>
  <c r="A502" i="17"/>
  <c r="A488" i="17"/>
  <c r="A85" i="7"/>
  <c r="A96" i="7"/>
  <c r="A494" i="17"/>
  <c r="A12" i="4" l="1"/>
  <c r="A112" i="7"/>
  <c r="G138" i="7"/>
  <c r="A123" i="4"/>
  <c r="A24" i="13" s="1"/>
  <c r="A105" i="7"/>
  <c r="C84" i="13"/>
  <c r="C85" i="13" s="1"/>
  <c r="E59" i="13"/>
  <c r="E61" i="13" s="1"/>
  <c r="E62" i="13" s="1"/>
  <c r="D52" i="13"/>
  <c r="D59" i="13"/>
  <c r="D61" i="13" s="1"/>
  <c r="D62" i="13" s="1"/>
  <c r="E84" i="13"/>
  <c r="E85" i="13" s="1"/>
  <c r="D84" i="13"/>
  <c r="D85" i="13" s="1"/>
  <c r="E89" i="13"/>
  <c r="E91" i="13" s="1"/>
  <c r="E92" i="13" s="1"/>
  <c r="D89" i="13"/>
  <c r="E52" i="13"/>
  <c r="E60" i="13"/>
  <c r="A47" i="17"/>
  <c r="A315" i="24" s="1"/>
  <c r="B21" i="16"/>
  <c r="A235" i="10"/>
  <c r="A18" i="10"/>
  <c r="D25" i="24"/>
  <c r="D26" i="24" s="1"/>
  <c r="D30" i="24"/>
  <c r="D31" i="24" s="1"/>
  <c r="C23" i="24"/>
  <c r="C30" i="24"/>
  <c r="C31" i="24" s="1"/>
  <c r="E23" i="24"/>
  <c r="E30" i="24"/>
  <c r="E31" i="24" s="1"/>
  <c r="D32" i="24"/>
  <c r="D33" i="24" s="1"/>
  <c r="G144" i="4"/>
  <c r="A191" i="4"/>
  <c r="A498" i="4"/>
  <c r="A165" i="4"/>
  <c r="G21" i="4"/>
  <c r="A89" i="2" s="1"/>
  <c r="G52" i="4"/>
  <c r="A124" i="2" s="1"/>
  <c r="A314" i="4"/>
  <c r="G333" i="4"/>
  <c r="G79" i="4"/>
  <c r="A154" i="2" s="1"/>
  <c r="G307" i="4"/>
  <c r="A364" i="4"/>
  <c r="A145" i="4"/>
  <c r="G135" i="4"/>
  <c r="A368" i="4"/>
  <c r="A211" i="4"/>
  <c r="A515" i="4"/>
  <c r="A528" i="4"/>
  <c r="G377" i="4"/>
  <c r="G475" i="4"/>
  <c r="A440" i="4"/>
  <c r="G325" i="4"/>
  <c r="G72" i="4"/>
  <c r="A145" i="2" s="1"/>
  <c r="A152" i="4"/>
  <c r="A406" i="4"/>
  <c r="A523" i="4"/>
  <c r="A44" i="17"/>
  <c r="A222" i="24" s="1"/>
  <c r="A116" i="7"/>
  <c r="A520" i="4"/>
  <c r="A435" i="4"/>
  <c r="A525" i="4"/>
  <c r="A500" i="4"/>
  <c r="G53" i="4"/>
  <c r="A125" i="2" s="1"/>
  <c r="A351" i="4"/>
  <c r="A420" i="4"/>
  <c r="A339" i="4"/>
  <c r="G182" i="4"/>
  <c r="A317" i="4"/>
  <c r="G169" i="4"/>
  <c r="G270" i="4"/>
  <c r="G172" i="4"/>
  <c r="A261" i="4"/>
  <c r="A318" i="4"/>
  <c r="A35" i="4"/>
  <c r="A230" i="10" s="1"/>
  <c r="G515" i="4"/>
  <c r="G249" i="4"/>
  <c r="G30" i="4"/>
  <c r="A100" i="2" s="1"/>
  <c r="A445" i="4"/>
  <c r="A436" i="4"/>
  <c r="G39" i="4"/>
  <c r="A110" i="2" s="1"/>
  <c r="A312" i="4"/>
  <c r="A273" i="4"/>
  <c r="A45" i="17"/>
  <c r="A253" i="24" s="1"/>
  <c r="A114" i="7"/>
  <c r="A305" i="4"/>
  <c r="A400" i="4"/>
  <c r="G299" i="4"/>
  <c r="G489" i="4"/>
  <c r="A413" i="4"/>
  <c r="G36" i="4"/>
  <c r="A106" i="2" s="1"/>
  <c r="A343" i="4"/>
  <c r="A518" i="4"/>
  <c r="A438" i="4"/>
  <c r="A125" i="4"/>
  <c r="G421" i="4"/>
  <c r="A179" i="4"/>
  <c r="A218" i="4"/>
  <c r="A229" i="4"/>
  <c r="G391" i="4"/>
  <c r="A320" i="4"/>
  <c r="G387" i="4"/>
  <c r="A325" i="4"/>
  <c r="G479" i="4"/>
  <c r="A530" i="4"/>
  <c r="G305" i="4"/>
  <c r="A284" i="4"/>
  <c r="G134" i="4"/>
  <c r="A243" i="4"/>
  <c r="A32" i="4"/>
  <c r="A133" i="4"/>
  <c r="A70" i="30" s="1"/>
  <c r="A4" i="16"/>
  <c r="A12" i="16"/>
  <c r="A5" i="16"/>
  <c r="A13" i="16"/>
  <c r="A6" i="16"/>
  <c r="A14" i="16"/>
  <c r="A7" i="16"/>
  <c r="A8" i="16"/>
  <c r="A9" i="16"/>
  <c r="A10" i="16"/>
  <c r="A11" i="16"/>
  <c r="A130" i="7"/>
  <c r="G24" i="17"/>
  <c r="A33" i="2" s="1"/>
  <c r="G68" i="17"/>
  <c r="A124" i="4"/>
  <c r="A61" i="13" s="1"/>
  <c r="D23" i="24"/>
  <c r="C23" i="10"/>
  <c r="E229" i="10"/>
  <c r="D229" i="10"/>
  <c r="C229" i="10"/>
  <c r="A177" i="10"/>
  <c r="A208" i="10"/>
  <c r="A175" i="10"/>
  <c r="A206" i="10"/>
  <c r="A160" i="10"/>
  <c r="A191" i="10"/>
  <c r="A170" i="10"/>
  <c r="A201" i="10"/>
  <c r="A162" i="10"/>
  <c r="A193" i="10"/>
  <c r="E166" i="10"/>
  <c r="E197" i="10"/>
  <c r="E164" i="10"/>
  <c r="E195" i="10"/>
  <c r="D198" i="10"/>
  <c r="E198" i="10"/>
  <c r="C198" i="10"/>
  <c r="A163" i="10"/>
  <c r="A194" i="10"/>
  <c r="F166" i="10"/>
  <c r="F197" i="10"/>
  <c r="A169" i="10"/>
  <c r="A200" i="10"/>
  <c r="A172" i="10"/>
  <c r="A203" i="10"/>
  <c r="A173" i="10"/>
  <c r="A204" i="10"/>
  <c r="A187" i="10"/>
  <c r="A218" i="10"/>
  <c r="A183" i="10"/>
  <c r="A214" i="10"/>
  <c r="A161" i="10"/>
  <c r="A192" i="10"/>
  <c r="A180" i="10"/>
  <c r="A211" i="10"/>
  <c r="A185" i="10"/>
  <c r="A216" i="10"/>
  <c r="D166" i="10"/>
  <c r="D197" i="10"/>
  <c r="E167" i="10"/>
  <c r="D167" i="10"/>
  <c r="C167" i="10"/>
  <c r="A113" i="10"/>
  <c r="A144" i="10"/>
  <c r="A98" i="10"/>
  <c r="A129" i="10"/>
  <c r="A108" i="10"/>
  <c r="A139" i="10"/>
  <c r="A100" i="10"/>
  <c r="A131" i="10"/>
  <c r="E104" i="10"/>
  <c r="E135" i="10"/>
  <c r="E102" i="10"/>
  <c r="E133" i="10"/>
  <c r="E136" i="10"/>
  <c r="D136" i="10"/>
  <c r="C136" i="10"/>
  <c r="A101" i="10"/>
  <c r="A132" i="10"/>
  <c r="F104" i="10"/>
  <c r="F135" i="10"/>
  <c r="A107" i="10"/>
  <c r="A138" i="10"/>
  <c r="A110" i="10"/>
  <c r="A141" i="10"/>
  <c r="A111" i="10"/>
  <c r="A142" i="10"/>
  <c r="A125" i="10"/>
  <c r="A156" i="10"/>
  <c r="A121" i="10"/>
  <c r="A152" i="10"/>
  <c r="A115" i="10"/>
  <c r="A146" i="10"/>
  <c r="A99" i="10"/>
  <c r="A130" i="10"/>
  <c r="A118" i="10"/>
  <c r="A149" i="10"/>
  <c r="A123" i="10"/>
  <c r="A154" i="10"/>
  <c r="D104" i="10"/>
  <c r="D135" i="10"/>
  <c r="E105" i="10"/>
  <c r="D105" i="10"/>
  <c r="C105" i="10"/>
  <c r="A53" i="10"/>
  <c r="A84" i="10"/>
  <c r="A36" i="10"/>
  <c r="A67" i="10"/>
  <c r="A51" i="10"/>
  <c r="A82" i="10"/>
  <c r="A46" i="10"/>
  <c r="A77" i="10"/>
  <c r="A38" i="10"/>
  <c r="A69" i="10"/>
  <c r="E42" i="10"/>
  <c r="E73" i="10"/>
  <c r="E40" i="10"/>
  <c r="E71" i="10"/>
  <c r="A39" i="10"/>
  <c r="A70" i="10"/>
  <c r="A45" i="10"/>
  <c r="A76" i="10"/>
  <c r="A48" i="10"/>
  <c r="A79" i="10"/>
  <c r="A49" i="10"/>
  <c r="A80" i="10"/>
  <c r="A63" i="10"/>
  <c r="A94" i="10"/>
  <c r="A59" i="10"/>
  <c r="A90" i="10"/>
  <c r="F42" i="10"/>
  <c r="F73" i="10"/>
  <c r="A37" i="10"/>
  <c r="A68" i="10"/>
  <c r="E74" i="10"/>
  <c r="D74" i="10"/>
  <c r="C74" i="10"/>
  <c r="A56" i="10"/>
  <c r="A87" i="10"/>
  <c r="A61" i="10"/>
  <c r="A92" i="10"/>
  <c r="D42" i="10"/>
  <c r="D73" i="10"/>
  <c r="D43" i="10"/>
  <c r="E43" i="10"/>
  <c r="C43" i="10"/>
  <c r="C25" i="10"/>
  <c r="C26" i="10" s="1"/>
  <c r="C32" i="10"/>
  <c r="C33" i="10" s="1"/>
  <c r="C31" i="10"/>
  <c r="D12" i="10"/>
  <c r="A45" i="32"/>
  <c r="A52" i="28"/>
  <c r="A67" i="30"/>
  <c r="A95" i="30"/>
  <c r="A15" i="10"/>
  <c r="A60" i="28"/>
  <c r="A65" i="30"/>
  <c r="A89" i="30"/>
  <c r="A7" i="10"/>
  <c r="A22" i="28"/>
  <c r="C22" i="13"/>
  <c r="E22" i="13"/>
  <c r="E29" i="13"/>
  <c r="D29" i="13"/>
  <c r="D31" i="13" s="1"/>
  <c r="D32" i="13" s="1"/>
  <c r="D22" i="13"/>
  <c r="C24" i="13"/>
  <c r="C25" i="13" s="1"/>
  <c r="C25" i="24"/>
  <c r="C26" i="24" s="1"/>
  <c r="E25" i="24"/>
  <c r="E26" i="24" s="1"/>
  <c r="F1" i="32"/>
  <c r="H2" i="8"/>
  <c r="A14" i="1"/>
  <c r="G68" i="4"/>
  <c r="A141" i="2" s="1"/>
  <c r="A18" i="16"/>
  <c r="G62" i="17"/>
  <c r="A138" i="4"/>
  <c r="A14" i="28" s="1"/>
  <c r="D104" i="32"/>
  <c r="D109" i="5"/>
  <c r="E322" i="24"/>
  <c r="A100" i="32"/>
  <c r="A105" i="5"/>
  <c r="A99" i="32"/>
  <c r="A104" i="5"/>
  <c r="E73" i="24"/>
  <c r="E109" i="5"/>
  <c r="E102" i="32"/>
  <c r="E107" i="5"/>
  <c r="A39" i="32"/>
  <c r="A106" i="5"/>
  <c r="F104" i="32"/>
  <c r="F109" i="5"/>
  <c r="A74" i="5"/>
  <c r="A48" i="5"/>
  <c r="A17" i="5"/>
  <c r="A16" i="5"/>
  <c r="A72" i="5"/>
  <c r="A28" i="5"/>
  <c r="A69" i="5"/>
  <c r="A50" i="5"/>
  <c r="A95" i="5"/>
  <c r="A19" i="5"/>
  <c r="A37" i="5"/>
  <c r="A18" i="5"/>
  <c r="A44" i="5"/>
  <c r="A40" i="5"/>
  <c r="A64" i="5"/>
  <c r="A21" i="5"/>
  <c r="A84" i="5"/>
  <c r="A30" i="5"/>
  <c r="A91" i="5"/>
  <c r="A6" i="30"/>
  <c r="B72" i="28"/>
  <c r="D77" i="28"/>
  <c r="A98" i="28"/>
  <c r="A88" i="28"/>
  <c r="A72" i="28"/>
  <c r="A100" i="28"/>
  <c r="A73" i="28"/>
  <c r="E77" i="28"/>
  <c r="A74" i="28"/>
  <c r="F77" i="28"/>
  <c r="A85" i="28"/>
  <c r="A86" i="28"/>
  <c r="A90" i="28"/>
  <c r="A93" i="28"/>
  <c r="A96" i="28"/>
  <c r="E75" i="28"/>
  <c r="A79" i="1"/>
  <c r="A47" i="1"/>
  <c r="A140" i="4"/>
  <c r="G43" i="17"/>
  <c r="A58" i="2" s="1"/>
  <c r="G46" i="17"/>
  <c r="A61" i="2" s="1"/>
  <c r="A429" i="4"/>
  <c r="G358" i="4"/>
  <c r="A9" i="4"/>
  <c r="A365" i="4"/>
  <c r="A276" i="4"/>
  <c r="A511" i="4"/>
  <c r="A236" i="4"/>
  <c r="A182" i="4"/>
  <c r="G347" i="4"/>
  <c r="B10" i="16"/>
  <c r="A14" i="4"/>
  <c r="A101" i="7"/>
  <c r="G115" i="7"/>
  <c r="G40" i="17"/>
  <c r="A55" i="2" s="1"/>
  <c r="A265" i="4"/>
  <c r="A148" i="4"/>
  <c r="A376" i="4"/>
  <c r="A159" i="4"/>
  <c r="A270" i="4"/>
  <c r="G234" i="4"/>
  <c r="A516" i="4"/>
  <c r="A287" i="4"/>
  <c r="A158" i="4"/>
  <c r="G6" i="4"/>
  <c r="A71" i="2" s="1"/>
  <c r="A113" i="7"/>
  <c r="G127" i="7"/>
  <c r="G32" i="17"/>
  <c r="A45" i="2" s="1"/>
  <c r="G60" i="4"/>
  <c r="A132" i="2" s="1"/>
  <c r="A477" i="4"/>
  <c r="A215" i="4"/>
  <c r="G106" i="4"/>
  <c r="A313" i="4"/>
  <c r="A301" i="4"/>
  <c r="A484" i="4"/>
  <c r="A403" i="4"/>
  <c r="A275" i="4"/>
  <c r="A21" i="17"/>
  <c r="G9" i="4"/>
  <c r="A125" i="7"/>
  <c r="G126" i="7"/>
  <c r="G17" i="17"/>
  <c r="A25" i="2" s="1"/>
  <c r="G84" i="4"/>
  <c r="A372" i="4"/>
  <c r="A383" i="4"/>
  <c r="A377" i="4"/>
  <c r="A183" i="4"/>
  <c r="G178" i="4"/>
  <c r="G499" i="4"/>
  <c r="G105" i="4"/>
  <c r="A319" i="4"/>
  <c r="A344" i="4"/>
  <c r="B11" i="16"/>
  <c r="G139" i="7"/>
  <c r="A104" i="7"/>
  <c r="G76" i="17"/>
  <c r="B17" i="7"/>
  <c r="G116" i="4"/>
  <c r="A4" i="5" s="1"/>
  <c r="C31" i="13"/>
  <c r="C32" i="13" s="1"/>
  <c r="C30" i="13"/>
  <c r="E32" i="10"/>
  <c r="E33" i="10" s="1"/>
  <c r="E31" i="10"/>
  <c r="E23" i="10"/>
  <c r="D25" i="10"/>
  <c r="D26" i="10" s="1"/>
  <c r="E25" i="10"/>
  <c r="E26" i="10" s="1"/>
  <c r="D30" i="13"/>
  <c r="D30" i="10"/>
  <c r="C61" i="13"/>
  <c r="C62" i="13" s="1"/>
  <c r="C60" i="13"/>
  <c r="D60" i="13"/>
  <c r="C90" i="13"/>
  <c r="C54" i="13"/>
  <c r="C55" i="13" s="1"/>
  <c r="C52" i="13"/>
  <c r="G41" i="17"/>
  <c r="A56" i="2" s="1"/>
  <c r="G19" i="17"/>
  <c r="A27" i="2" s="1"/>
  <c r="G67" i="17"/>
  <c r="B22" i="16"/>
  <c r="G35" i="17"/>
  <c r="A48" i="2" s="1"/>
  <c r="G16" i="17"/>
  <c r="A24" i="2" s="1"/>
  <c r="G60" i="17"/>
  <c r="B18" i="16"/>
  <c r="G53" i="17"/>
  <c r="A15" i="2" s="1"/>
  <c r="G33" i="17"/>
  <c r="A46" i="2" s="1"/>
  <c r="G9" i="17"/>
  <c r="A17" i="2" s="1"/>
  <c r="G59" i="17"/>
  <c r="A19" i="16"/>
  <c r="G83" i="4"/>
  <c r="A76" i="2" s="1"/>
  <c r="G51" i="17"/>
  <c r="G27" i="17"/>
  <c r="A38" i="2" s="1"/>
  <c r="G75" i="17"/>
  <c r="G14" i="17"/>
  <c r="A66" i="2" s="1"/>
  <c r="A26" i="4"/>
  <c r="C226" i="10" s="1"/>
  <c r="A65" i="4"/>
  <c r="A5" i="13" s="1"/>
  <c r="G49" i="17"/>
  <c r="A64" i="2" s="1"/>
  <c r="G25" i="17"/>
  <c r="A34" i="2" s="1"/>
  <c r="G70" i="17"/>
  <c r="G15" i="17"/>
  <c r="A51" i="2" s="1"/>
  <c r="A5" i="4"/>
  <c r="A128" i="4"/>
  <c r="A38" i="1" s="1"/>
  <c r="G441" i="4"/>
  <c r="G108" i="4"/>
  <c r="A5" i="8" s="1"/>
  <c r="A371" i="4"/>
  <c r="A185" i="4"/>
  <c r="A407" i="4"/>
  <c r="G219" i="4"/>
  <c r="G221" i="4"/>
  <c r="A390" i="4"/>
  <c r="A19" i="4"/>
  <c r="Q12" i="7"/>
  <c r="B14" i="16"/>
  <c r="G125" i="7"/>
  <c r="G112" i="7"/>
  <c r="G137" i="7"/>
  <c r="A126" i="7"/>
  <c r="A103" i="7"/>
  <c r="G15" i="4"/>
  <c r="A153" i="2" s="1"/>
  <c r="G42" i="17"/>
  <c r="A57" i="2" s="1"/>
  <c r="G34" i="17"/>
  <c r="A47" i="2" s="1"/>
  <c r="G26" i="17"/>
  <c r="A35" i="2" s="1"/>
  <c r="G18" i="17"/>
  <c r="A26" i="2" s="1"/>
  <c r="G8" i="17"/>
  <c r="A13" i="2" s="1"/>
  <c r="G69" i="17"/>
  <c r="G61" i="17"/>
  <c r="G50" i="17"/>
  <c r="A65" i="2" s="1"/>
  <c r="A17" i="7"/>
  <c r="B19" i="16"/>
  <c r="A29" i="4"/>
  <c r="C228" i="10" s="1"/>
  <c r="G54" i="17"/>
  <c r="A16" i="2" s="1"/>
  <c r="A120" i="4"/>
  <c r="A129" i="4"/>
  <c r="A70" i="1" s="1"/>
  <c r="A130" i="4"/>
  <c r="A5" i="29" s="1"/>
  <c r="A111" i="4"/>
  <c r="A35" i="13" s="1"/>
  <c r="A135" i="4"/>
  <c r="A5" i="28" s="1"/>
  <c r="A354" i="4"/>
  <c r="A290" i="4"/>
  <c r="G127" i="4"/>
  <c r="A153" i="4"/>
  <c r="A252" i="4"/>
  <c r="A18" i="4"/>
  <c r="B12" i="16"/>
  <c r="G113" i="7"/>
  <c r="G129" i="7"/>
  <c r="G114" i="7"/>
  <c r="A117" i="7"/>
  <c r="G116" i="7"/>
  <c r="A127" i="7"/>
  <c r="G48" i="17"/>
  <c r="A63" i="2" s="1"/>
  <c r="G39" i="17"/>
  <c r="A54" i="2" s="1"/>
  <c r="G31" i="17"/>
  <c r="A42" i="2" s="1"/>
  <c r="G23" i="17"/>
  <c r="A32" i="2" s="1"/>
  <c r="G13" i="17"/>
  <c r="A21" i="2" s="1"/>
  <c r="G74" i="17"/>
  <c r="G66" i="17"/>
  <c r="G58" i="17"/>
  <c r="G52" i="17"/>
  <c r="A68" i="2" s="1"/>
  <c r="B20" i="16"/>
  <c r="G3" i="17"/>
  <c r="A9" i="2" s="1"/>
  <c r="A6" i="4"/>
  <c r="A112" i="4"/>
  <c r="A65" i="13" s="1"/>
  <c r="A136" i="4"/>
  <c r="A454" i="4"/>
  <c r="A173" i="4"/>
  <c r="A117" i="4"/>
  <c r="A36" i="32" s="1"/>
  <c r="G129" i="4"/>
  <c r="G353" i="4"/>
  <c r="A223" i="4"/>
  <c r="G27" i="4"/>
  <c r="A96" i="2" s="1"/>
  <c r="G405" i="4"/>
  <c r="G54" i="4"/>
  <c r="A126" i="2" s="1"/>
  <c r="A13" i="4"/>
  <c r="A17" i="4"/>
  <c r="B13" i="16"/>
  <c r="G136" i="7"/>
  <c r="A102" i="7"/>
  <c r="A106" i="7"/>
  <c r="G117" i="7"/>
  <c r="A128" i="7"/>
  <c r="G144" i="7"/>
  <c r="B7" i="29" s="1"/>
  <c r="A3" i="4"/>
  <c r="B9" i="8" s="1"/>
  <c r="G80" i="4"/>
  <c r="A155" i="2" s="1"/>
  <c r="G47" i="17"/>
  <c r="A62" i="2" s="1"/>
  <c r="G38" i="17"/>
  <c r="A53" i="2" s="1"/>
  <c r="G30" i="17"/>
  <c r="A41" i="2" s="1"/>
  <c r="G22" i="17"/>
  <c r="A31" i="2" s="1"/>
  <c r="G12" i="17"/>
  <c r="A20" i="2" s="1"/>
  <c r="G73" i="17"/>
  <c r="G65" i="17"/>
  <c r="G57" i="17"/>
  <c r="G42" i="4"/>
  <c r="A113" i="2" s="1"/>
  <c r="A22" i="16"/>
  <c r="G3" i="4"/>
  <c r="A69" i="2" s="1"/>
  <c r="A4" i="4"/>
  <c r="A67" i="4"/>
  <c r="A5" i="5" s="1"/>
  <c r="A131" i="4"/>
  <c r="G33" i="4"/>
  <c r="A103" i="2" s="1"/>
  <c r="A172" i="4"/>
  <c r="A241" i="4"/>
  <c r="A174" i="4"/>
  <c r="A8" i="4"/>
  <c r="A116" i="4"/>
  <c r="A5" i="32" s="1"/>
  <c r="A289" i="4"/>
  <c r="A156" i="4"/>
  <c r="A15" i="4"/>
  <c r="A16" i="4"/>
  <c r="A46" i="17"/>
  <c r="A284" i="24" s="1"/>
  <c r="G130" i="7"/>
  <c r="A107" i="7"/>
  <c r="A118" i="7"/>
  <c r="A129" i="7"/>
  <c r="A144" i="7"/>
  <c r="B6" i="29" s="1"/>
  <c r="A110" i="4"/>
  <c r="A75" i="13" s="1"/>
  <c r="G37" i="4"/>
  <c r="A108" i="2" s="1"/>
  <c r="G45" i="17"/>
  <c r="A60" i="2" s="1"/>
  <c r="G37" i="17"/>
  <c r="A52" i="2" s="1"/>
  <c r="G29" i="17"/>
  <c r="A40" i="2" s="1"/>
  <c r="G21" i="17"/>
  <c r="A28" i="2" s="1"/>
  <c r="G11" i="17"/>
  <c r="A19" i="2" s="1"/>
  <c r="G72" i="17"/>
  <c r="G64" i="17"/>
  <c r="G56" i="17"/>
  <c r="A36" i="17"/>
  <c r="A63" i="32" s="1"/>
  <c r="A21" i="16"/>
  <c r="A28" i="4"/>
  <c r="A227" i="10" s="1"/>
  <c r="G7" i="17"/>
  <c r="A14" i="2" s="1"/>
  <c r="A42" i="4"/>
  <c r="A241" i="10" s="1"/>
  <c r="A114" i="4"/>
  <c r="A132" i="4"/>
  <c r="A38" i="30" s="1"/>
  <c r="A248" i="4"/>
  <c r="A240" i="4"/>
  <c r="G318" i="4"/>
  <c r="G285" i="4"/>
  <c r="G397" i="4"/>
  <c r="A473" i="4"/>
  <c r="G465" i="4"/>
  <c r="A238" i="4"/>
  <c r="A20" i="4"/>
  <c r="A10" i="17"/>
  <c r="A191" i="24" s="1"/>
  <c r="B3" i="16"/>
  <c r="A100" i="7"/>
  <c r="A119" i="7"/>
  <c r="G118" i="7"/>
  <c r="A136" i="7"/>
  <c r="B71" i="1" s="1"/>
  <c r="A109" i="4"/>
  <c r="G67" i="4"/>
  <c r="A140" i="2" s="1"/>
  <c r="G44" i="17"/>
  <c r="A59" i="2" s="1"/>
  <c r="G36" i="17"/>
  <c r="A49" i="2" s="1"/>
  <c r="G28" i="17"/>
  <c r="A39" i="2" s="1"/>
  <c r="G20" i="17"/>
  <c r="G10" i="17"/>
  <c r="A18" i="2" s="1"/>
  <c r="G71" i="17"/>
  <c r="G63" i="17"/>
  <c r="G55" i="17"/>
  <c r="A122" i="4"/>
  <c r="A20" i="16"/>
  <c r="A25" i="4"/>
  <c r="A226" i="10" s="1"/>
  <c r="G6" i="17"/>
  <c r="A12" i="2" s="1"/>
  <c r="A44" i="4"/>
  <c r="A244" i="10" s="1"/>
  <c r="A127" i="4"/>
  <c r="A5" i="1" s="1"/>
  <c r="A15" i="24"/>
  <c r="A325" i="24"/>
  <c r="A232" i="24"/>
  <c r="A77" i="32"/>
  <c r="F11" i="30"/>
  <c r="E133" i="24"/>
  <c r="A20" i="5"/>
  <c r="A266" i="24"/>
  <c r="A111" i="24"/>
  <c r="A55" i="28"/>
  <c r="C136" i="24"/>
  <c r="A20" i="10"/>
  <c r="F1" i="5"/>
  <c r="A22" i="1"/>
  <c r="E260" i="24"/>
  <c r="A108" i="24"/>
  <c r="A294" i="24"/>
  <c r="B6" i="28"/>
  <c r="A46" i="24"/>
  <c r="A15" i="32"/>
  <c r="A59" i="32"/>
  <c r="A338" i="24"/>
  <c r="F1" i="10"/>
  <c r="F1" i="29"/>
  <c r="F1" i="30"/>
  <c r="A22" i="29"/>
  <c r="A15" i="5"/>
  <c r="E9" i="1"/>
  <c r="A99" i="24"/>
  <c r="A285" i="24"/>
  <c r="E39" i="13"/>
  <c r="A67" i="5"/>
  <c r="A152" i="24"/>
  <c r="A82" i="1"/>
  <c r="A40" i="28"/>
  <c r="A21" i="13"/>
  <c r="F1" i="13"/>
  <c r="D260" i="24"/>
  <c r="A50" i="1"/>
  <c r="A22" i="30"/>
  <c r="A65" i="28"/>
  <c r="A90" i="32"/>
  <c r="E136" i="24"/>
  <c r="A32" i="28"/>
  <c r="A82" i="30"/>
  <c r="A25" i="5"/>
  <c r="C322" i="24"/>
  <c r="A77" i="24"/>
  <c r="A170" i="24"/>
  <c r="A201" i="24"/>
  <c r="A263" i="24"/>
  <c r="D322" i="24"/>
  <c r="A32" i="30"/>
  <c r="A46" i="32"/>
  <c r="E12" i="10"/>
  <c r="A139" i="24"/>
  <c r="A50" i="30"/>
  <c r="A183" i="24"/>
  <c r="A68" i="5"/>
  <c r="A28" i="32"/>
  <c r="A17" i="1"/>
  <c r="A7" i="32"/>
  <c r="A59" i="24"/>
  <c r="A121" i="24"/>
  <c r="A245" i="24"/>
  <c r="A28" i="24"/>
  <c r="A90" i="24"/>
  <c r="A214" i="24"/>
  <c r="A307" i="24"/>
  <c r="A72" i="30"/>
  <c r="A276" i="24"/>
  <c r="A115" i="24"/>
  <c r="A8" i="32"/>
  <c r="A22" i="32"/>
  <c r="A192" i="24"/>
  <c r="A332" i="24"/>
  <c r="A6" i="5"/>
  <c r="A301" i="24"/>
  <c r="A39" i="1"/>
  <c r="E9" i="30"/>
  <c r="A239" i="24"/>
  <c r="A270" i="24"/>
  <c r="A287" i="24"/>
  <c r="A53" i="24"/>
  <c r="A53" i="32"/>
  <c r="E197" i="24"/>
  <c r="A22" i="10"/>
  <c r="A208" i="24"/>
  <c r="A22" i="24"/>
  <c r="A177" i="24"/>
  <c r="E44" i="1"/>
  <c r="E44" i="28"/>
  <c r="F42" i="32"/>
  <c r="E9" i="24"/>
  <c r="A101" i="24"/>
  <c r="A146" i="24"/>
  <c r="F41" i="13"/>
  <c r="A48" i="24"/>
  <c r="A203" i="24"/>
  <c r="A17" i="32"/>
  <c r="A110" i="24"/>
  <c r="A234" i="24"/>
  <c r="A51" i="32"/>
  <c r="A32" i="1"/>
  <c r="A17" i="24"/>
  <c r="A79" i="24"/>
  <c r="A172" i="24"/>
  <c r="A296" i="24"/>
  <c r="A67" i="1"/>
  <c r="A327" i="24"/>
  <c r="A141" i="24"/>
  <c r="A265" i="24"/>
  <c r="A92" i="1"/>
  <c r="A97" i="30"/>
  <c r="A99" i="1"/>
  <c r="A30" i="10"/>
  <c r="A32" i="29"/>
  <c r="A79" i="32"/>
  <c r="A32" i="10"/>
  <c r="A51" i="24"/>
  <c r="A97" i="1"/>
  <c r="A20" i="32"/>
  <c r="A48" i="32"/>
  <c r="A65" i="1"/>
  <c r="A6" i="13"/>
  <c r="E40" i="24"/>
  <c r="A68" i="24"/>
  <c r="E164" i="24"/>
  <c r="A223" i="24"/>
  <c r="A254" i="24"/>
  <c r="E76" i="1"/>
  <c r="A24" i="30"/>
  <c r="E44" i="30"/>
  <c r="A6" i="32"/>
  <c r="E9" i="5"/>
  <c r="A89" i="1"/>
  <c r="E74" i="30"/>
  <c r="A37" i="32"/>
  <c r="E9" i="10"/>
  <c r="E102" i="24"/>
  <c r="E42" i="1"/>
  <c r="A6" i="28"/>
  <c r="A57" i="28"/>
  <c r="E58" i="5"/>
  <c r="E9" i="13"/>
  <c r="E71" i="24"/>
  <c r="E319" i="24"/>
  <c r="E74" i="1"/>
  <c r="A57" i="1"/>
  <c r="E9" i="28"/>
  <c r="E11" i="29"/>
  <c r="E11" i="30"/>
  <c r="E42" i="30"/>
  <c r="A42" i="5"/>
  <c r="E69" i="13"/>
  <c r="E9" i="32"/>
  <c r="A24" i="1"/>
  <c r="A37" i="24"/>
  <c r="A161" i="24"/>
  <c r="A24" i="29"/>
  <c r="A57" i="30"/>
  <c r="A6" i="1"/>
  <c r="E226" i="24"/>
  <c r="D42" i="24"/>
  <c r="A6" i="24"/>
  <c r="A130" i="24"/>
  <c r="E195" i="24"/>
  <c r="E288" i="24"/>
  <c r="E9" i="29"/>
  <c r="A6" i="29"/>
  <c r="A39" i="28"/>
  <c r="E76" i="30"/>
  <c r="A51" i="13"/>
  <c r="A77" i="5"/>
  <c r="E71" i="32"/>
  <c r="A23" i="5"/>
  <c r="A24" i="28"/>
  <c r="E42" i="28"/>
  <c r="A39" i="30"/>
  <c r="A81" i="13"/>
  <c r="E104" i="24"/>
  <c r="E228" i="24"/>
  <c r="E259" i="24"/>
  <c r="E257" i="24"/>
  <c r="A316" i="24"/>
  <c r="A71" i="1"/>
  <c r="A36" i="13"/>
  <c r="E40" i="32"/>
  <c r="A231" i="24"/>
  <c r="A93" i="5"/>
  <c r="A6" i="10"/>
  <c r="A20" i="24"/>
  <c r="A76" i="24"/>
  <c r="A113" i="24"/>
  <c r="A299" i="24"/>
  <c r="A317" i="24"/>
  <c r="A330" i="24"/>
  <c r="A7" i="1"/>
  <c r="A45" i="24"/>
  <c r="A82" i="24"/>
  <c r="A268" i="24"/>
  <c r="A7" i="29"/>
  <c r="A27" i="13"/>
  <c r="A7" i="13"/>
  <c r="A38" i="24"/>
  <c r="A100" i="24"/>
  <c r="A175" i="24"/>
  <c r="A200" i="24"/>
  <c r="A237" i="24"/>
  <c r="A286" i="24"/>
  <c r="A7" i="24"/>
  <c r="A69" i="24"/>
  <c r="A144" i="24"/>
  <c r="A169" i="24"/>
  <c r="A206" i="24"/>
  <c r="A255" i="24"/>
  <c r="A72" i="1"/>
  <c r="A56" i="5"/>
  <c r="A69" i="32"/>
  <c r="A162" i="24"/>
  <c r="A40" i="1"/>
  <c r="A67" i="13"/>
  <c r="A38" i="32"/>
  <c r="A7" i="5"/>
  <c r="A131" i="24"/>
  <c r="A193" i="24"/>
  <c r="A278" i="24"/>
  <c r="A7" i="28"/>
  <c r="A7" i="30"/>
  <c r="E104" i="32"/>
  <c r="A224" i="24"/>
  <c r="A28" i="10"/>
  <c r="A14" i="10"/>
  <c r="A262" i="24"/>
  <c r="A40" i="30"/>
  <c r="A37" i="13"/>
  <c r="A82" i="32"/>
  <c r="A80" i="24"/>
  <c r="A49" i="24"/>
  <c r="A235" i="24"/>
  <c r="A173" i="24"/>
  <c r="A297" i="24"/>
  <c r="A44" i="13"/>
  <c r="A66" i="5"/>
  <c r="A18" i="32"/>
  <c r="A56" i="32"/>
  <c r="A87" i="32"/>
  <c r="A18" i="24"/>
  <c r="A107" i="24"/>
  <c r="A142" i="24"/>
  <c r="A204" i="24"/>
  <c r="A14" i="24"/>
  <c r="A324" i="24"/>
  <c r="A328" i="24"/>
  <c r="A89" i="5"/>
  <c r="A123" i="24"/>
  <c r="A80" i="32"/>
  <c r="A61" i="32"/>
  <c r="A138" i="24"/>
  <c r="A17" i="10"/>
  <c r="A293" i="24"/>
  <c r="A76" i="32"/>
  <c r="A30" i="24"/>
  <c r="A92" i="24"/>
  <c r="A180" i="24"/>
  <c r="A49" i="32"/>
  <c r="A58" i="32"/>
  <c r="A118" i="32"/>
  <c r="A120" i="32"/>
  <c r="D11" i="5"/>
  <c r="E11" i="13"/>
  <c r="A67" i="28"/>
  <c r="A70" i="5"/>
  <c r="E73" i="32"/>
  <c r="D166" i="24"/>
  <c r="A256" i="24"/>
  <c r="D11" i="1"/>
  <c r="A14" i="13"/>
  <c r="F42" i="24"/>
  <c r="D73" i="24"/>
  <c r="D259" i="24"/>
  <c r="F44" i="1"/>
  <c r="A84" i="1"/>
  <c r="F11" i="29"/>
  <c r="A53" i="28"/>
  <c r="A84" i="30"/>
  <c r="D60" i="5"/>
  <c r="A335" i="24"/>
  <c r="D11" i="32"/>
  <c r="A20" i="1"/>
  <c r="A34" i="1"/>
  <c r="E11" i="5"/>
  <c r="F11" i="13"/>
  <c r="F11" i="10"/>
  <c r="A29" i="13"/>
  <c r="A25" i="10"/>
  <c r="F11" i="24"/>
  <c r="A56" i="24"/>
  <c r="A39" i="24"/>
  <c r="A118" i="24"/>
  <c r="F166" i="24"/>
  <c r="D197" i="24"/>
  <c r="A244" i="24"/>
  <c r="E321" i="24"/>
  <c r="A52" i="1"/>
  <c r="D11" i="30"/>
  <c r="A52" i="30"/>
  <c r="A17" i="13"/>
  <c r="A46" i="5"/>
  <c r="A57" i="5"/>
  <c r="E60" i="5"/>
  <c r="D71" i="13"/>
  <c r="E42" i="32"/>
  <c r="A85" i="1"/>
  <c r="A19" i="30"/>
  <c r="A38" i="13"/>
  <c r="F76" i="30"/>
  <c r="A86" i="5"/>
  <c r="A19" i="1"/>
  <c r="D11" i="10"/>
  <c r="D104" i="24"/>
  <c r="D135" i="24"/>
  <c r="A149" i="24"/>
  <c r="A34" i="28"/>
  <c r="D11" i="29"/>
  <c r="D76" i="30"/>
  <c r="E42" i="24"/>
  <c r="A8" i="24"/>
  <c r="D44" i="30"/>
  <c r="E71" i="13"/>
  <c r="D73" i="32"/>
  <c r="A8" i="13"/>
  <c r="A225" i="24"/>
  <c r="F76" i="1"/>
  <c r="A53" i="1"/>
  <c r="A41" i="30"/>
  <c r="A53" i="30"/>
  <c r="A16" i="13"/>
  <c r="E11" i="10"/>
  <c r="D228" i="24"/>
  <c r="A194" i="24"/>
  <c r="F321" i="24"/>
  <c r="F71" i="13"/>
  <c r="E11" i="1"/>
  <c r="A25" i="24"/>
  <c r="A120" i="24"/>
  <c r="F135" i="24"/>
  <c r="F44" i="30"/>
  <c r="A99" i="30"/>
  <c r="A8" i="1"/>
  <c r="F11" i="1"/>
  <c r="F11" i="5"/>
  <c r="C12" i="10"/>
  <c r="E11" i="24"/>
  <c r="F104" i="24"/>
  <c r="A89" i="24"/>
  <c r="E166" i="24"/>
  <c r="A132" i="24"/>
  <c r="F228" i="24"/>
  <c r="A242" i="24"/>
  <c r="F259" i="24"/>
  <c r="A304" i="24"/>
  <c r="A318" i="24"/>
  <c r="D76" i="1"/>
  <c r="D11" i="28"/>
  <c r="A34" i="29"/>
  <c r="F44" i="28"/>
  <c r="D44" i="28"/>
  <c r="A59" i="13"/>
  <c r="A35" i="5"/>
  <c r="E11" i="32"/>
  <c r="F11" i="32"/>
  <c r="A70" i="32"/>
  <c r="D42" i="32"/>
  <c r="A8" i="10"/>
  <c r="D11" i="24"/>
  <c r="A70" i="24"/>
  <c r="D41" i="13"/>
  <c r="A77" i="13"/>
  <c r="D11" i="13"/>
  <c r="D290" i="24"/>
  <c r="A73" i="30"/>
  <c r="A47" i="13"/>
  <c r="F60" i="5"/>
  <c r="A60" i="1"/>
  <c r="E11" i="28"/>
  <c r="A8" i="29"/>
  <c r="A41" i="28"/>
  <c r="A87" i="24"/>
  <c r="A163" i="24"/>
  <c r="F290" i="24"/>
  <c r="A85" i="30"/>
  <c r="A65" i="5"/>
  <c r="A68" i="13"/>
  <c r="A8" i="5"/>
  <c r="F73" i="24"/>
  <c r="E135" i="24"/>
  <c r="F197" i="24"/>
  <c r="A211" i="24"/>
  <c r="E290" i="24"/>
  <c r="A273" i="24"/>
  <c r="D321" i="24"/>
  <c r="A41" i="1"/>
  <c r="D44" i="1"/>
  <c r="F11" i="28"/>
  <c r="E41" i="13"/>
  <c r="F73" i="32"/>
  <c r="A97" i="5"/>
  <c r="A123" i="32"/>
  <c r="A92" i="32"/>
  <c r="A340" i="24"/>
  <c r="A30" i="32"/>
  <c r="A309" i="24"/>
  <c r="A247" i="24"/>
  <c r="A185" i="24"/>
  <c r="A61" i="24"/>
  <c r="A49" i="13"/>
  <c r="A19" i="13"/>
  <c r="A55" i="1"/>
  <c r="A79" i="13"/>
  <c r="A87" i="1"/>
  <c r="A27" i="5"/>
  <c r="A76" i="5"/>
  <c r="A68" i="32"/>
  <c r="A66" i="13"/>
  <c r="A55" i="5"/>
  <c r="A71" i="30"/>
  <c r="A5" i="10"/>
  <c r="A27" i="30"/>
  <c r="A27" i="28"/>
  <c r="A32" i="5"/>
  <c r="A81" i="5"/>
  <c r="A89" i="32"/>
  <c r="A337" i="24"/>
  <c r="A27" i="32"/>
  <c r="E291" i="24"/>
  <c r="C229" i="24"/>
  <c r="D136" i="24"/>
  <c r="A87" i="13"/>
  <c r="A57" i="13"/>
  <c r="A30" i="29"/>
  <c r="A30" i="30"/>
  <c r="A151" i="24"/>
  <c r="D167" i="24"/>
  <c r="D198" i="24"/>
  <c r="D229" i="24"/>
  <c r="A306" i="24"/>
  <c r="A63" i="28"/>
  <c r="A92" i="30"/>
  <c r="A84" i="32"/>
  <c r="A84" i="24"/>
  <c r="F1" i="28"/>
  <c r="F1" i="24"/>
  <c r="F1" i="1"/>
  <c r="G1" i="2"/>
  <c r="A60" i="30"/>
  <c r="A182" i="24"/>
  <c r="C167" i="24"/>
  <c r="C198" i="24"/>
  <c r="A63" i="30"/>
  <c r="A30" i="1"/>
  <c r="A58" i="24"/>
  <c r="A27" i="24"/>
  <c r="E167" i="24"/>
  <c r="E198" i="24"/>
  <c r="A216" i="24"/>
  <c r="E229" i="24"/>
  <c r="A275" i="24"/>
  <c r="A95" i="1"/>
  <c r="A55" i="30"/>
  <c r="A87" i="30"/>
  <c r="A99" i="5"/>
  <c r="A79" i="5"/>
  <c r="A14" i="32"/>
  <c r="A107" i="32"/>
  <c r="C291" i="24"/>
  <c r="A63" i="1"/>
  <c r="A30" i="28"/>
  <c r="A101" i="32"/>
  <c r="A8" i="28"/>
  <c r="A8" i="30"/>
  <c r="A73" i="1"/>
  <c r="A27" i="1"/>
  <c r="C260" i="24"/>
  <c r="D291" i="24"/>
  <c r="A27" i="29"/>
  <c r="A46" i="13"/>
  <c r="A19" i="29"/>
  <c r="A19" i="28"/>
  <c r="A76" i="13"/>
  <c r="A20" i="30"/>
  <c r="A20" i="29"/>
  <c r="A20" i="28"/>
  <c r="A34" i="30"/>
  <c r="A84" i="13" l="1"/>
  <c r="A54" i="13"/>
  <c r="A91" i="13"/>
  <c r="E90" i="13"/>
  <c r="D91" i="13"/>
  <c r="D92" i="13" s="1"/>
  <c r="D90" i="13"/>
  <c r="C32" i="24"/>
  <c r="C33" i="24" s="1"/>
  <c r="E32" i="24"/>
  <c r="E33" i="24" s="1"/>
  <c r="A261" i="24"/>
  <c r="A13" i="29"/>
  <c r="A292" i="24"/>
  <c r="A78" i="1"/>
  <c r="A106" i="24"/>
  <c r="A44" i="32"/>
  <c r="A13" i="10"/>
  <c r="A13" i="30"/>
  <c r="A46" i="28"/>
  <c r="A13" i="28"/>
  <c r="A44" i="24"/>
  <c r="A137" i="24"/>
  <c r="A73" i="13"/>
  <c r="A13" i="13"/>
  <c r="A323" i="24"/>
  <c r="A13" i="5"/>
  <c r="A46" i="30"/>
  <c r="A13" i="24"/>
  <c r="A13" i="32"/>
  <c r="A168" i="24"/>
  <c r="A43" i="13"/>
  <c r="A46" i="1"/>
  <c r="A75" i="32"/>
  <c r="A230" i="24"/>
  <c r="A75" i="24"/>
  <c r="A62" i="5"/>
  <c r="A199" i="24"/>
  <c r="A13" i="1"/>
  <c r="A78" i="30"/>
  <c r="A79" i="28"/>
  <c r="A106" i="32"/>
  <c r="A199" i="10"/>
  <c r="A75" i="10"/>
  <c r="A44" i="10"/>
  <c r="A111" i="5"/>
  <c r="A137" i="10"/>
  <c r="A168" i="10"/>
  <c r="A106" i="10"/>
  <c r="A31" i="13"/>
  <c r="B286" i="24"/>
  <c r="C166" i="10"/>
  <c r="C197" i="10"/>
  <c r="A182" i="10"/>
  <c r="A213" i="10"/>
  <c r="A179" i="10"/>
  <c r="A210" i="10"/>
  <c r="A164" i="10"/>
  <c r="A195" i="10"/>
  <c r="C164" i="10"/>
  <c r="C195" i="10"/>
  <c r="A165" i="10"/>
  <c r="A196" i="10"/>
  <c r="C102" i="10"/>
  <c r="C133" i="10"/>
  <c r="A103" i="10"/>
  <c r="A134" i="10"/>
  <c r="C104" i="10"/>
  <c r="C135" i="10"/>
  <c r="A102" i="10"/>
  <c r="A133" i="10"/>
  <c r="A120" i="10"/>
  <c r="A151" i="10"/>
  <c r="A117" i="10"/>
  <c r="A148" i="10"/>
  <c r="C42" i="10"/>
  <c r="C73" i="10"/>
  <c r="A58" i="10"/>
  <c r="A89" i="10"/>
  <c r="A55" i="10"/>
  <c r="A86" i="10"/>
  <c r="A41" i="10"/>
  <c r="A72" i="10"/>
  <c r="A40" i="10"/>
  <c r="A71" i="10"/>
  <c r="C40" i="10"/>
  <c r="C71" i="10"/>
  <c r="C109" i="5"/>
  <c r="A137" i="5"/>
  <c r="A132" i="5"/>
  <c r="A107" i="5"/>
  <c r="C107" i="5"/>
  <c r="A108" i="5"/>
  <c r="E31" i="13"/>
  <c r="E32" i="13" s="1"/>
  <c r="E30" i="13"/>
  <c r="A63" i="5"/>
  <c r="A112" i="5"/>
  <c r="A79" i="30"/>
  <c r="A14" i="5"/>
  <c r="A14" i="30"/>
  <c r="A47" i="30"/>
  <c r="A47" i="28"/>
  <c r="A80" i="28"/>
  <c r="B69" i="32"/>
  <c r="A54" i="5"/>
  <c r="A88" i="5"/>
  <c r="A95" i="28"/>
  <c r="A83" i="5"/>
  <c r="A92" i="28"/>
  <c r="A9" i="1"/>
  <c r="A75" i="28"/>
  <c r="A17" i="29"/>
  <c r="A83" i="28"/>
  <c r="A38" i="28"/>
  <c r="C9" i="1"/>
  <c r="C75" i="28"/>
  <c r="A48" i="30"/>
  <c r="A81" i="28"/>
  <c r="A70" i="13"/>
  <c r="A76" i="28"/>
  <c r="C44" i="28"/>
  <c r="C77" i="28"/>
  <c r="A4" i="29"/>
  <c r="A4" i="24"/>
  <c r="A4" i="1"/>
  <c r="A4" i="28"/>
  <c r="A4" i="30"/>
  <c r="A4" i="32"/>
  <c r="A74" i="2"/>
  <c r="A77" i="2"/>
  <c r="A4" i="13"/>
  <c r="A9" i="10"/>
  <c r="A139" i="2"/>
  <c r="A74" i="30"/>
  <c r="A74" i="1"/>
  <c r="A288" i="24"/>
  <c r="A107" i="2"/>
  <c r="A226" i="24"/>
  <c r="A90" i="2"/>
  <c r="A40" i="24"/>
  <c r="A69" i="13"/>
  <c r="A257" i="24"/>
  <c r="A164" i="24"/>
  <c r="A42" i="30"/>
  <c r="A102" i="32"/>
  <c r="A9" i="32"/>
  <c r="A9" i="13"/>
  <c r="A71" i="32"/>
  <c r="A40" i="32"/>
  <c r="A39" i="13"/>
  <c r="A98" i="2"/>
  <c r="A133" i="24"/>
  <c r="D32" i="10"/>
  <c r="D33" i="10" s="1"/>
  <c r="D31" i="10"/>
  <c r="C9" i="30"/>
  <c r="A103" i="32"/>
  <c r="A10" i="1"/>
  <c r="C288" i="24"/>
  <c r="C71" i="32"/>
  <c r="C102" i="24"/>
  <c r="A258" i="24"/>
  <c r="C226" i="24"/>
  <c r="C40" i="32"/>
  <c r="C257" i="24"/>
  <c r="C58" i="5"/>
  <c r="B69" i="24"/>
  <c r="A75" i="30"/>
  <c r="C164" i="24"/>
  <c r="A17" i="28"/>
  <c r="B100" i="24"/>
  <c r="C42" i="30"/>
  <c r="C9" i="32"/>
  <c r="C195" i="24"/>
  <c r="C9" i="13"/>
  <c r="B7" i="24"/>
  <c r="B131" i="24"/>
  <c r="B255" i="24"/>
  <c r="A10" i="5"/>
  <c r="A227" i="24"/>
  <c r="A55" i="24"/>
  <c r="A59" i="5"/>
  <c r="A72" i="32"/>
  <c r="A241" i="24"/>
  <c r="C42" i="28"/>
  <c r="A83" i="13"/>
  <c r="B193" i="24"/>
  <c r="B317" i="24"/>
  <c r="B162" i="24"/>
  <c r="A58" i="5"/>
  <c r="A9" i="5"/>
  <c r="A195" i="24"/>
  <c r="A71" i="24"/>
  <c r="C9" i="5"/>
  <c r="A75" i="1"/>
  <c r="A146" i="2"/>
  <c r="A9" i="28"/>
  <c r="A72" i="24"/>
  <c r="A42" i="28"/>
  <c r="C69" i="13"/>
  <c r="C39" i="13"/>
  <c r="A134" i="24"/>
  <c r="C9" i="28"/>
  <c r="A42" i="1"/>
  <c r="A9" i="30"/>
  <c r="A10" i="29"/>
  <c r="A9" i="29"/>
  <c r="A115" i="2"/>
  <c r="A83" i="2"/>
  <c r="A10" i="32"/>
  <c r="A10" i="10"/>
  <c r="A9" i="24"/>
  <c r="A102" i="24"/>
  <c r="B38" i="24"/>
  <c r="B224" i="24"/>
  <c r="A196" i="24"/>
  <c r="A40" i="13"/>
  <c r="A26" i="28"/>
  <c r="C40" i="24"/>
  <c r="C9" i="10"/>
  <c r="C102" i="32"/>
  <c r="A10" i="30"/>
  <c r="C9" i="24"/>
  <c r="A165" i="24"/>
  <c r="A43" i="1"/>
  <c r="A41" i="32"/>
  <c r="C74" i="1"/>
  <c r="A43" i="2"/>
  <c r="C319" i="24"/>
  <c r="C74" i="30"/>
  <c r="A22" i="2"/>
  <c r="A43" i="30"/>
  <c r="A10" i="24"/>
  <c r="A103" i="24"/>
  <c r="C42" i="1"/>
  <c r="C9" i="29"/>
  <c r="A43" i="28"/>
  <c r="A41" i="24"/>
  <c r="A10" i="28"/>
  <c r="C133" i="24"/>
  <c r="C71" i="24"/>
  <c r="A320" i="24"/>
  <c r="A10" i="13"/>
  <c r="A289" i="24"/>
  <c r="A50" i="2"/>
  <c r="A50" i="28"/>
  <c r="A179" i="24"/>
  <c r="A23" i="13"/>
  <c r="A29" i="2"/>
  <c r="A24" i="24"/>
  <c r="A36" i="2"/>
  <c r="A94" i="30"/>
  <c r="A15" i="28"/>
  <c r="A86" i="13"/>
  <c r="B100" i="32"/>
  <c r="B38" i="32"/>
  <c r="A30" i="2"/>
  <c r="A26" i="13"/>
  <c r="A29" i="1"/>
  <c r="A62" i="28"/>
  <c r="A67" i="2"/>
  <c r="A272" i="24"/>
  <c r="A80" i="30"/>
  <c r="A56" i="13"/>
  <c r="A29" i="29"/>
  <c r="B7" i="32"/>
  <c r="A44" i="2"/>
  <c r="A29" i="30"/>
  <c r="A24" i="32"/>
  <c r="A26" i="1"/>
  <c r="A26" i="29"/>
  <c r="A29" i="28"/>
  <c r="A27" i="10"/>
  <c r="A62" i="30"/>
  <c r="A39" i="5"/>
  <c r="A59" i="1"/>
  <c r="A23" i="2"/>
  <c r="A94" i="1"/>
  <c r="A5" i="30"/>
  <c r="A117" i="32"/>
  <c r="A334" i="24"/>
  <c r="A86" i="24"/>
  <c r="A37" i="2"/>
  <c r="A62" i="1"/>
  <c r="A34" i="5"/>
  <c r="A26" i="30"/>
  <c r="A91" i="30"/>
  <c r="A59" i="28"/>
  <c r="A86" i="32"/>
  <c r="A303" i="24"/>
  <c r="C44" i="1"/>
  <c r="C104" i="32"/>
  <c r="C259" i="24"/>
  <c r="C197" i="24"/>
  <c r="B39" i="1"/>
  <c r="C76" i="1"/>
  <c r="C290" i="24"/>
  <c r="C42" i="32"/>
  <c r="A17" i="30"/>
  <c r="A55" i="32"/>
  <c r="A59" i="30"/>
  <c r="A24" i="10"/>
  <c r="C73" i="24"/>
  <c r="A148" i="24"/>
  <c r="C11" i="1"/>
  <c r="A210" i="24"/>
  <c r="A53" i="13"/>
  <c r="A91" i="1"/>
  <c r="A117" i="24"/>
  <c r="C11" i="5"/>
  <c r="A45" i="13"/>
  <c r="A125" i="24"/>
  <c r="C41" i="13"/>
  <c r="C11" i="29"/>
  <c r="C71" i="13"/>
  <c r="A15" i="30"/>
  <c r="A280" i="24"/>
  <c r="A249" i="24"/>
  <c r="A319" i="24"/>
  <c r="A342" i="24"/>
  <c r="C11" i="32"/>
  <c r="A125" i="32"/>
  <c r="C11" i="13"/>
  <c r="C11" i="28"/>
  <c r="A32" i="32"/>
  <c r="B6" i="1"/>
  <c r="C73" i="32"/>
  <c r="A156" i="24"/>
  <c r="A94" i="32"/>
  <c r="C44" i="30"/>
  <c r="C135" i="24"/>
  <c r="C11" i="10"/>
  <c r="A15" i="13"/>
  <c r="A48" i="28"/>
  <c r="C76" i="30"/>
  <c r="A32" i="24"/>
  <c r="C11" i="30"/>
  <c r="C321" i="24"/>
  <c r="C42" i="24"/>
  <c r="A15" i="29"/>
  <c r="A15" i="1"/>
  <c r="C166" i="24"/>
  <c r="C104" i="24"/>
  <c r="A48" i="1"/>
  <c r="A218" i="24"/>
  <c r="C60" i="5"/>
  <c r="A63" i="24"/>
  <c r="A187" i="24"/>
  <c r="A94" i="24"/>
  <c r="C11" i="24"/>
  <c r="A80" i="1"/>
  <c r="C228" i="24"/>
  <c r="A311" i="2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Sonia Arias</author>
  </authors>
  <commentList>
    <comment ref="D39" authorId="0" shapeId="0" xr:uid="{00000000-0006-0000-0C00-000001000000}">
      <text>
        <r>
          <rPr>
            <b/>
            <sz val="9"/>
            <color indexed="81"/>
            <rFont val="Tahoma"/>
            <family val="2"/>
          </rPr>
          <t>Sonia Arias:</t>
        </r>
        <r>
          <rPr>
            <sz val="9"/>
            <color indexed="81"/>
            <rFont val="Tahoma"/>
            <family val="2"/>
          </rPr>
          <t xml:space="preserve">
C1, C2 and C changes using plural for consistency with cell D26</t>
        </r>
      </text>
    </comment>
  </commentList>
</comments>
</file>

<file path=xl/sharedStrings.xml><?xml version="1.0" encoding="utf-8"?>
<sst xmlns="http://schemas.openxmlformats.org/spreadsheetml/2006/main" count="3844" uniqueCount="1807">
  <si>
    <t>Programmatic Gap Tables</t>
  </si>
  <si>
    <t>Please select your geography…</t>
  </si>
  <si>
    <t>Please select…</t>
  </si>
  <si>
    <r>
      <rPr>
        <b/>
        <u/>
        <sz val="11"/>
        <rFont val="Arial"/>
        <family val="2"/>
      </rPr>
      <t>English</t>
    </r>
    <r>
      <rPr>
        <b/>
        <sz val="11"/>
        <rFont val="Arial"/>
        <family val="2"/>
      </rPr>
      <t xml:space="preserve">: </t>
    </r>
    <r>
      <rPr>
        <sz val="11"/>
        <rFont val="Arial"/>
        <family val="2"/>
      </rPr>
      <t>Choose the language in the Instructions tab (líne B6)</t>
    </r>
  </si>
  <si>
    <r>
      <rPr>
        <b/>
        <u/>
        <sz val="11"/>
        <rFont val="Arial"/>
        <family val="2"/>
      </rPr>
      <t>Français</t>
    </r>
    <r>
      <rPr>
        <b/>
        <sz val="11"/>
        <rFont val="Arial"/>
        <family val="2"/>
      </rPr>
      <t xml:space="preserve">: </t>
    </r>
    <r>
      <rPr>
        <sz val="11"/>
        <rFont val="Arial"/>
        <family val="2"/>
      </rPr>
      <t>Veuillez choisir la langue sur l'onglet Instructions (rangée B6)</t>
    </r>
  </si>
  <si>
    <r>
      <rPr>
        <b/>
        <u/>
        <sz val="11"/>
        <rFont val="Arial"/>
        <family val="2"/>
      </rPr>
      <t>Español:</t>
    </r>
    <r>
      <rPr>
        <b/>
        <sz val="11"/>
        <rFont val="Arial"/>
        <family val="2"/>
      </rPr>
      <t xml:space="preserve"> </t>
    </r>
    <r>
      <rPr>
        <sz val="11"/>
        <rFont val="Arial"/>
        <family val="2"/>
      </rPr>
      <t>Seleccione el idioma en la hoja Instructions (fila B6)</t>
    </r>
  </si>
  <si>
    <t>Language</t>
  </si>
  <si>
    <t>English</t>
  </si>
  <si>
    <t>#</t>
  </si>
  <si>
    <t>%</t>
  </si>
  <si>
    <t>Any additional comments:</t>
  </si>
  <si>
    <t>Instructions</t>
  </si>
  <si>
    <t>Label</t>
  </si>
  <si>
    <t>French</t>
  </si>
  <si>
    <t>Spanish</t>
  </si>
  <si>
    <t>TB/HIV</t>
  </si>
  <si>
    <t xml:space="preserve">TB/VIH </t>
  </si>
  <si>
    <t xml:space="preserve">Instructions - HIV Priority Modules </t>
  </si>
  <si>
    <t xml:space="preserve">Instructions – Modules prioritaires pour le VIH </t>
  </si>
  <si>
    <t>Instrucciones - Módulos prioritarios para el VIH/sida</t>
  </si>
  <si>
    <t xml:space="preserve">"HIV-Treatment" Tab </t>
  </si>
  <si>
    <t>Onglet « HIV-Treatment »</t>
  </si>
  <si>
    <t>Pestaña "HIV-Treatment"</t>
  </si>
  <si>
    <t xml:space="preserve">Treatment, care and support </t>
  </si>
  <si>
    <t xml:space="preserve">Traitement, prise en charge et soutien </t>
  </si>
  <si>
    <t xml:space="preserve">Tratamiento, atención y apoyo </t>
  </si>
  <si>
    <t>For ART, it is encouraged to complete separate tables for adults and for children, however the option to complete in aggregate is also provided.</t>
  </si>
  <si>
    <t>Pour le TARV, il est conseillé de remplir des tableaux distincts pour les adultes et pour les enfants. Toutefois, l’option en un tableau consolidé est aussi fournie.</t>
  </si>
  <si>
    <t>En el caso del tratamiento antirretroviral, se recomienda rellenar tablas separadas para adultos y para niños, aunque la opción para completarlas de forma agregada también se encuentra disponible.</t>
  </si>
  <si>
    <t>Estimated population in need/at risk:
This refers to all adults and/or children living with HIV.</t>
  </si>
  <si>
    <t>Población estimada con necesidades o en riesgo:
Se refiere a todos los adultos y/o niños que viven con el VIH.</t>
  </si>
  <si>
    <t>Country need to meet global target already covered: 
1) Country need already covered is broken down into need planned to be covered by domestic resources (line C1), and external resources (line C2). 
2) National private sector investments are to be included under domestic sources. 
3) In cases where part of the need during the year is covered by a current Global Fund grant (that ends prior to the start of the new implementation period), it can be included in the external resources category. 
4) Once C1 and C2 are filled in, the total of country need already covered is automatically calculated in line C3. Note that line C3 is locked and cannot be overridden. Therefore, please use line C1 to provide a total if the domestic and external breakdown of resources is not available. 
5) If this is the case, specify in the comments box that line C1 refers to the total of both domestic and external resources.</t>
  </si>
  <si>
    <t>Necesidad del país para alcanzar la meta global ya cubierta:
1) La necesidad del país ya cubierta se desglosa en la necesidad que se prevé cubrir con recursos nacionales (línea C1) y con recursos externos (línea C2). 
2) Las inversiones nacionales del sector privado deben incluirse en las fuentes nacionales. 
3) En los casos en los que parte de la necesidad durante el año se cubra mediante una subvención actual del Fondo Mundial (que finalice antes del inicio del nuevo período de ejecución), se podrá incluir en la categoría de recursos externos. 
4) Una vez que se hayan rellenado las líneas C1 y C2, el total de la necesidad del país ya cubierta se mostrará automáticamente en la línea C3. Tenga en cuenta que el contenido de la línea C3 está bloqueado y no se puede modificar. Por lo tanto, utilice la línea C1 para proporcionar un total si el desglose de recursos nacionales y externos no se encuentra disponible. 
5) Si este es el caso, especifique en la caja de comentarios que la línea C1 se refiere al total de los recursos nacionales y externos.</t>
  </si>
  <si>
    <t>Programmatic gap:
The programmatic gap is calculated based on B1 Global targets as per the Global AIDS Strategy 2021-2026.</t>
  </si>
  <si>
    <t>Brechas programáticas:
La brecha programática se calcula en base a los metas globales B1 según la Estrategia mundial contra el sida 2021-2026.</t>
  </si>
  <si>
    <t>Elimination of vertical transmission of HIV, syphilis and hepatitis B - "HIV-EMTCT" tab</t>
  </si>
  <si>
    <t>Élimination de la transmission verticale du VIH, de la syphilis et de l'hépatite B – Onglet « HIV-EMTCT »</t>
  </si>
  <si>
    <t>Eliminación de la transmisión maternoinfantil del VIH, la sífilis y la hepatitis B - Ficha "HIV-EMTCT"</t>
  </si>
  <si>
    <t>Estimated population in need/at risk:
It refers to the estimated number of HIV-positive pregnant women.</t>
  </si>
  <si>
    <t xml:space="preserve">Población estimada con necesidades o en riesgo:
Se refiere al número estimado de mujeres embarazadas que viven con el VIH. </t>
  </si>
  <si>
    <t>Priority Module</t>
  </si>
  <si>
    <r>
      <rPr>
        <sz val="11"/>
        <rFont val="Calibri"/>
        <family val="2"/>
      </rPr>
      <t>Module prioritaire</t>
    </r>
  </si>
  <si>
    <t>Módulo prioritario</t>
  </si>
  <si>
    <t>Country target:
Refers to NSP or any other latest agreed country target.
1) "#" refers to the number of HIV-positive pregnant women who are expected to receive antiretroviral drugs to reduce the risk of mother-to-child transmission during pregnancy and delivery.
2) "%" refers to the percentage of HIV-positive pregnant women who receive antiretrovirals to reduce the risk of mother-to-child transmission among the total estimated HIV-positive pregnant women.</t>
  </si>
  <si>
    <t>Meta del país:
Se refiere al Plan Estratégico Nacional (PEN) o a cualquier otra meta de país acordada recientemente.
1) "#" se refiere al número de mujeres embarazadas que viven con el VIH que se espera que reciban medicamentos antirretrovirales para reducir el riesgo de transmisión maternoinfantil durante el embarazo y el parto.
2) "%" se refiere al porcentaje de mujeres embarazadas que viven con el VIHque reciben antirretrovirales para reducir el riesgo de transmisión maternoinfantil entre el total de mujeres embarazadas que viven con el VIH estimadas.</t>
  </si>
  <si>
    <t>Selected coverage indicator</t>
  </si>
  <si>
    <r>
      <rPr>
        <sz val="11"/>
        <rFont val="Calibri"/>
        <family val="2"/>
      </rPr>
      <t>Indicateur de couverture sélectionné</t>
    </r>
  </si>
  <si>
    <t>Indicador de cobertura seleccionado</t>
  </si>
  <si>
    <t>Target Population</t>
  </si>
  <si>
    <r>
      <rPr>
        <sz val="11"/>
        <rFont val="Calibri"/>
        <family val="2"/>
      </rPr>
      <t>Population cible</t>
    </r>
  </si>
  <si>
    <t>Población objetivo</t>
  </si>
  <si>
    <t>Brechas programáticas:
La brecha programática se calcula en base a las metas globales según la Estrategia mundial contra el sida 2021-2026 (línea B1).</t>
  </si>
  <si>
    <t>Current national coverage</t>
  </si>
  <si>
    <r>
      <rPr>
        <sz val="11"/>
        <rFont val="Calibri"/>
        <family val="2"/>
      </rPr>
      <t>Couverture nationale actuelle</t>
    </r>
  </si>
  <si>
    <t xml:space="preserve">Cobertura nacional actual </t>
  </si>
  <si>
    <t>Insert latest results</t>
  </si>
  <si>
    <r>
      <rPr>
        <sz val="11"/>
        <rFont val="Calibri"/>
        <family val="2"/>
      </rPr>
      <t>Indiquez les résultats les plus récents</t>
    </r>
  </si>
  <si>
    <t>Inserte los últimos resultados</t>
  </si>
  <si>
    <t>Differentiated HIV Testing Services - "HIV-Testing" tab</t>
  </si>
  <si>
    <t xml:space="preserve">Services de dépistage différenciés du VIH – Onglet « HIV-Testing » </t>
  </si>
  <si>
    <t>Servicios diferenciados de pruebas del VIH - Pestaña "HIV-Testing"</t>
  </si>
  <si>
    <t>Year</t>
  </si>
  <si>
    <r>
      <rPr>
        <sz val="11"/>
        <rFont val="Calibri"/>
        <family val="2"/>
      </rPr>
      <t>Année</t>
    </r>
  </si>
  <si>
    <t>Año</t>
  </si>
  <si>
    <t>Data source</t>
  </si>
  <si>
    <r>
      <rPr>
        <sz val="11"/>
        <rFont val="Calibri"/>
        <family val="2"/>
      </rPr>
      <t>Source des données</t>
    </r>
  </si>
  <si>
    <t>Fuente de datos</t>
  </si>
  <si>
    <t>Comments</t>
  </si>
  <si>
    <r>
      <rPr>
        <sz val="11"/>
        <rFont val="Calibri"/>
        <family val="2"/>
      </rPr>
      <t>Observations</t>
    </r>
  </si>
  <si>
    <t>Comentarios</t>
  </si>
  <si>
    <t>Country target:
Refers to NSP or any other latest agreed country target.
1) "#" refers to the number of people in the specified key population expected to be tested for HIV in the specified year.
2) "%" refers to the percentage of people to be tested for HIV among the estimated number of people in the specified key population in the specified year.</t>
  </si>
  <si>
    <t>Meta del país:
Se refiere al Plan Estratégico Nacional o a cualquier otra meta de país acordada recientemente.
1) "#" se refiere al número de personas de la población clave especificada que deberían someterse a una prueba del VIH en el año especificado.
2) "%" se refiere al porcentaje de personas que deberían someterse a una prueba del VIH entre el número estimado de personas de la población clave especificada en el año especificado.</t>
  </si>
  <si>
    <t>Year 1</t>
  </si>
  <si>
    <r>
      <rPr>
        <sz val="11"/>
        <rFont val="Calibri"/>
        <family val="2"/>
      </rPr>
      <t>Année 1</t>
    </r>
  </si>
  <si>
    <t>Año 1</t>
  </si>
  <si>
    <t>Year 2</t>
  </si>
  <si>
    <r>
      <rPr>
        <sz val="11"/>
        <rFont val="Calibri"/>
        <family val="2"/>
      </rPr>
      <t>Année 2</t>
    </r>
  </si>
  <si>
    <t>Año 2</t>
  </si>
  <si>
    <t>Year 3</t>
  </si>
  <si>
    <r>
      <rPr>
        <sz val="11"/>
        <rFont val="Calibri"/>
        <family val="2"/>
      </rPr>
      <t>Année 3</t>
    </r>
  </si>
  <si>
    <t>Año 3</t>
  </si>
  <si>
    <t>HIV Prevention programs gap table - "HIV-Prevention" tab</t>
  </si>
  <si>
    <t xml:space="preserve">Programmes de prévention du VIH – Onglet « HIV-Prevention »  </t>
  </si>
  <si>
    <t>Tabla de brechas de los programas de prevención del VIH - Pestaña "HIV-Prevention"</t>
  </si>
  <si>
    <t>Year 4</t>
  </si>
  <si>
    <t>Année 4</t>
  </si>
  <si>
    <t>Año 4</t>
  </si>
  <si>
    <t>Insert year</t>
  </si>
  <si>
    <r>
      <rPr>
        <sz val="11"/>
        <rFont val="Calibri"/>
        <family val="2"/>
      </rPr>
      <t>Indiquez l'année</t>
    </r>
  </si>
  <si>
    <t>Inserte el año</t>
  </si>
  <si>
    <t>Comments / Assumptions</t>
  </si>
  <si>
    <r>
      <rPr>
        <sz val="11"/>
        <rFont val="Calibri"/>
        <family val="2"/>
      </rPr>
      <t>Observations/Hypothèses</t>
    </r>
  </si>
  <si>
    <t>Comentarios /supuestos</t>
  </si>
  <si>
    <t>Estimated population in need/at risk:
Refers to estimated number of people in the specified key or vulnerable population in need of prevention.</t>
  </si>
  <si>
    <t>Población estimada con necesidades o en riesgo:
Se refiere al número estimado de personas de la población clave o vulnerable especificada que necesitan prevención.</t>
  </si>
  <si>
    <t>Current estimated country need</t>
  </si>
  <si>
    <r>
      <rPr>
        <sz val="11"/>
        <rFont val="Calibri"/>
        <family val="2"/>
      </rPr>
      <t>Estimation des besoins actuels du pays</t>
    </r>
  </si>
  <si>
    <t>Necesidades estimadas actuales del país</t>
  </si>
  <si>
    <t xml:space="preserve">Global target: 
Refers to the global targets as per the Global AIDS Strategy 2021-2026 (https://www.unaids.org/en/resources/documents/2021/2021-2026-global-AIDS-strategy) and hence set at 95% of the PSE. </t>
  </si>
  <si>
    <t>Meta global: 
Se refiere a las metas globales según la Estrategia mundial contra el sida (https://www.unaids.org/es/resources/documents/2021/2021-2026-global-AIDS-strategy) y, por tanto, se fija en el 95% de las estimaciones de tamaño de las poblaciones.</t>
  </si>
  <si>
    <r>
      <rPr>
        <sz val="11"/>
        <rFont val="Arial"/>
        <family val="2"/>
      </rPr>
      <t>A. Total estimated key and vulnerable populations in need</t>
    </r>
    <r>
      <rPr>
        <sz val="11"/>
        <color rgb="FFFF0000"/>
        <rFont val="Arial"/>
        <family val="2"/>
      </rPr>
      <t xml:space="preserve"> (HIV prevention)</t>
    </r>
  </si>
  <si>
    <t>A. Nombre total estimé de populations clés et vulnérables dans le besoin (Prévention du VIH)</t>
  </si>
  <si>
    <t>A. Total estimado de las poblaciones claves y vulnerables en necesidad (Prevención del VIH)</t>
  </si>
  <si>
    <t>Country target:
Refers to NSP or any other latest agreed country target.</t>
  </si>
  <si>
    <t>Meta del país:
Se refiere al PEN o a cualquier otra meta de país acordada recientemente.</t>
  </si>
  <si>
    <t>B2. Country targets 
(from National Strategic Plan)</t>
  </si>
  <si>
    <t>B2. Cibles du pays
(à partir du plan stratégique national)</t>
  </si>
  <si>
    <t>B2. Metas del país (según el Plan Estratégico Nacional)</t>
  </si>
  <si>
    <t>Programmatic gap:
The programmatic gap is calculated based on the Global targets as per the Global AIDS Strategy 2021-2026 (line B1).</t>
  </si>
  <si>
    <t>Country need to meet global targets already covered</t>
  </si>
  <si>
    <t>Besoins du pays pour atteindre les objectifs globaux qui sont déjà couverts </t>
  </si>
  <si>
    <t>Necesidades del país para cumplir metas globales ya cubiertas</t>
  </si>
  <si>
    <t>C1. Global target planned to be covered by domestic resources</t>
  </si>
  <si>
    <t>C1. Cibles globales devant être couverts par des ressources nationales</t>
  </si>
  <si>
    <t>C1. Metas globales que se van a cubrir con recursos nacionales</t>
  </si>
  <si>
    <t>Pre-exposure prophylaxis (PrEP) gap table - "HIV-PrEP" tab</t>
  </si>
  <si>
    <t xml:space="preserve">Tableau des lacunes de la prophylaxie pré-exposition (PrEP) - Onglet  «HIV-PrEP »  </t>
  </si>
  <si>
    <t>Tabla de brechas relativas a la profilaxis previa a la exposición (PrEP) - Pestaña "HIV-PrEP"</t>
  </si>
  <si>
    <t>C2. Global target planned to be covered by external resources</t>
  </si>
  <si>
    <t>C2. Cibles globales devant être couverts par des ressources extérieures</t>
  </si>
  <si>
    <t xml:space="preserve">C2. Metas globales que se van a cubrir con recursos externos </t>
  </si>
  <si>
    <t>C3. Total global target already covered</t>
  </si>
  <si>
    <t>C3. Cibles globales déjà couvertes</t>
  </si>
  <si>
    <t>C3. Metas globales ya cubiertas</t>
  </si>
  <si>
    <t>Programmatic gap</t>
  </si>
  <si>
    <r>
      <rPr>
        <sz val="11"/>
        <rFont val="Calibri"/>
        <family val="2"/>
      </rPr>
      <t>Déficit programmatique</t>
    </r>
  </si>
  <si>
    <t>Brecha programática</t>
  </si>
  <si>
    <t xml:space="preserve">Estimated population in need/at risk:
This refers to the estimated number at risk who should receive PrEP. This should be calculated using the UNAIDS PrEP target setting tools: https://jointsiwg.unaids.org/publications/. There is a different tool available for each key or vulnerable population, as well as instruction guides. Please attach the completed tools as an annex to the concept note submission. </t>
  </si>
  <si>
    <t xml:space="preserve">Población estimada con necesidades o en riesgo:
Se refiere al número estimado de personas en riesgo que deberían recibir la PrEP. Debe calcularse utilizando las herramientas de ONUSIDA para la fijación de metas en materia de PrEP: https://jointsiwg.unaids.org/publications/ .   Existe una herramienta diferente para cada población clave o vulnerable, así como instrucciones. Cuando envíe la nota conceptual, adjunte las herramientas completadas en forma de anexo. </t>
  </si>
  <si>
    <t>D. Expected annual gap in meeting the need: B1 - C3</t>
  </si>
  <si>
    <t>D. Déficit annuel attendu par rapport aux besoins : B1 - C3</t>
  </si>
  <si>
    <t>D. Déficit anual previsto para cubrir la necesidad: 
B1 - C3</t>
  </si>
  <si>
    <t>Country need to meet global targets covered with the allocation amount</t>
  </si>
  <si>
    <r>
      <rPr>
        <sz val="11"/>
        <rFont val="Calibri"/>
        <family val="2"/>
      </rPr>
      <t>Besoins du pays couverts par la somme allouée</t>
    </r>
  </si>
  <si>
    <t xml:space="preserve">Necesidades del país cubiertas por el monto asignado </t>
  </si>
  <si>
    <t>Programmatic gap:
The programmatic gap is calculated based on the estimated number at risk who should receive PrEP based on the UNAIDS PrEP target setting tools (line A).</t>
  </si>
  <si>
    <t>Brechas programáticas:
La brecha programática se calcula en base al número estimado de personas en riesgo que deberían recibir la PrEP según las herramientas de ONUSIDA para la fijación de metas en materia de PrEP (línea A).</t>
  </si>
  <si>
    <t>E. Targets to be financed by allocation amount</t>
  </si>
  <si>
    <r>
      <rPr>
        <sz val="11"/>
        <rFont val="Calibri"/>
        <family val="2"/>
      </rPr>
      <t>E. Cibles devant être financées par la somme allouée</t>
    </r>
  </si>
  <si>
    <t xml:space="preserve">E. Metas que se van a financiar con el monto asignado </t>
  </si>
  <si>
    <t>F. Coverage from allocation amount and other resources: E + C3</t>
  </si>
  <si>
    <t xml:space="preserve">F. Cobertura total realizada con el monto asignado y otros recursos: E + C3 </t>
  </si>
  <si>
    <t>Condom gap table - "HIV-Condoms" tab</t>
  </si>
  <si>
    <t xml:space="preserve">Tableau des lacunes en préservatifs - Onglet  « HIV-Condoms »  </t>
  </si>
  <si>
    <t>Tabla de brechas relativas a los preservativos - Pestaña "HIV-Condoms"</t>
  </si>
  <si>
    <t xml:space="preserve">G. Remaining gap: B1 - F </t>
  </si>
  <si>
    <t xml:space="preserve">G. Déficit restant : B1 - F </t>
  </si>
  <si>
    <t xml:space="preserve">G. Déficit restante: B1 - F </t>
  </si>
  <si>
    <t>A. Estimated number at risk who should receive PrEP</t>
  </si>
  <si>
    <t xml:space="preserve">A. Nombre total de personnes à risque qui devraient recevoir la PrEP </t>
  </si>
  <si>
    <t>A. Número total de personas en riesgo que debería recibir  la PrEP</t>
  </si>
  <si>
    <t>F. PrEP from allocation amount and other resources: E + C3</t>
  </si>
  <si>
    <t>F. PrEP ofrecida a partir del monto asignado y otros recursos (E + C3)</t>
  </si>
  <si>
    <t>Estimated population in need/at risk (A):
Please use the UNAIDS condom needs estimation and resource requirements tool (C-NET) to retrieve the population in need - https://hivpreventioncoalition.unaids.org/resource/condom-needs-and-resource-requirement-estimation-tool/</t>
  </si>
  <si>
    <t>Estimación de la población necesitada o en riesgo (A):
Utilice la herramienta de ONUSIDA para la estimación de necesidades y recursos en materia de preservativos (C-NET) para obtener datos sobre la población en situación de necesidad - https://hivpreventioncoalition.unaids.org/resource/condom-needs-and-resource-requirement-estimation-tool/</t>
  </si>
  <si>
    <t>Total number of condoms needed (A1 - A3): 
This refers to the estimated number of condoms needed (male and female) to meet global coverage targets. Use the total condoms required for the relevant key or vulnerable population (A) and insert the total number of male condoms into A1. The number of female condoms will automatically calculate into A2. 
Please attach the completed tool as an annex to the concept note submission.</t>
  </si>
  <si>
    <t>Número total de preservativos necesarios (A1 - A3): 
Se refiere al número estimado de preservativos necesarios (masculinos y femeninos) para alcanzar las metas de cobertura global. Utilice el número total de preservativos necesarios para la población clave o vulnerable correspondiente (A) e introduzca el número total de preservativos masculinos en A1. El número de preservativos femeninos se mostrará automáticamente en A2. 
Cuando envíe la nota conceptual, adjunte la herramienta cumplimentada en forma de anexo.</t>
  </si>
  <si>
    <t>Male Circumcision</t>
  </si>
  <si>
    <r>
      <rPr>
        <sz val="11"/>
        <rFont val="Calibri"/>
        <family val="2"/>
      </rPr>
      <t>Circoncision masculine</t>
    </r>
  </si>
  <si>
    <t>Circuncisión Masculina</t>
  </si>
  <si>
    <t xml:space="preserve">Country target:
Refers to NSP or any other latest agreed country target. </t>
  </si>
  <si>
    <t xml:space="preserve">Meta del país:
Se refiere al PEN o a cualquier otra meta de país acordada recientemente. </t>
  </si>
  <si>
    <t>Prevention - voluntary male medical circumcision</t>
  </si>
  <si>
    <t>Prévention - Circoncision médicale masculine volontaire</t>
  </si>
  <si>
    <r>
      <rPr>
        <sz val="11"/>
        <color rgb="FFFF0000"/>
        <rFont val="Arial"/>
        <family val="2"/>
      </rPr>
      <t>Prevención</t>
    </r>
    <r>
      <rPr>
        <sz val="11"/>
        <rFont val="Arial"/>
        <family val="2"/>
      </rPr>
      <t xml:space="preserve">- circuncisión </t>
    </r>
    <r>
      <rPr>
        <sz val="11"/>
        <color rgb="FFFF0000"/>
        <rFont val="Arial"/>
        <family val="2"/>
      </rPr>
      <t>médica</t>
    </r>
    <r>
      <rPr>
        <sz val="11"/>
        <rFont val="Arial"/>
        <family val="2"/>
      </rPr>
      <t xml:space="preserve"> masculina </t>
    </r>
    <r>
      <rPr>
        <sz val="11"/>
        <color rgb="FFFF0000"/>
        <rFont val="Arial"/>
        <family val="2"/>
      </rPr>
      <t>voluntaria</t>
    </r>
  </si>
  <si>
    <t xml:space="preserve">Country target already covered: 
1) Country target already covered is broken down first by funding resource type, followed by type of condom.
2) Resource type: Country target already covered is broken down into the target planned to be covered by domestic resources (line C1), and external resources (C2). 
3) National private sector investments are to be included under domestic sources. Please specify under 'Comments/Assumptions' wherever private sector resources are available as well as specify the external sources. 
4) In cases where part of the target during the year is covered by a current Global Fund grant (that ends prior to the start of the new implementation period), it can be included in the external resources category. The total of these two is automatically generated in line C3. 
5) Condom type: Country target already covered is broken down by male condoms (C4), and female condoms (C5). The total of these two is automatically generated in line C6. Please note that the result in C3 and C6 should be the same.
6) If information for lines C1 and C2 are not available, fill only lines C4 and C5. </t>
  </si>
  <si>
    <t xml:space="preserve">Meta del país ya cubierta: 
1) Las necesidades  del país ya cubiertas se desglosan en primer lugar según el tipo de recurso de financiamiento y, a continuación, según el tipo de preservativo.
2) Tipo de recurso: las necesidades del país ya cubiertas se desglosan en necesidades  que se prevé cubrir con recursos nacionales (línea C1), y con recursos externos (C2). 
3) Las inversiones nacionales del sector privado deben incluirse en las fuentes nacionales. Especifique en "Comentarios o supuestos" dónde están disponibles los recursos del sector privado, así como las fuentes externas. 
4) En los casos en los que parte de las necesidades durante el año se cubran mediante una subvención actual del Fondo Mundial (que finalice antes del inicio del nuevo período de ejecución), se podrá incluir en la categoría de recursos externos. El total de estas dos líneas se muestra automáticamente en la línea C3. 
5) Tipo de preservativo: las necesidades del país ya cubiertas se desglosan en preservativos masculinos (C4) y preservativos femeninos (C5). El total de estas dos líneas se muestra automáticamente en la línea C6. Tenga en cuenta que los totales de las filas C3 y C6 deben coincidir.
6) Si no dispone de la información necesaria para las líneas C1 y C2, cumplimente únicamente las líneas C4 y C5. </t>
  </si>
  <si>
    <t xml:space="preserve">Number of medical male circumcisions performed </t>
  </si>
  <si>
    <r>
      <rPr>
        <sz val="11"/>
        <rFont val="Calibri"/>
        <family val="2"/>
      </rPr>
      <t xml:space="preserve">Nombre de circoncisions médicales pratiquées </t>
    </r>
  </si>
  <si>
    <t xml:space="preserve">Número de circuncisiones médicas masculinas practicadas </t>
  </si>
  <si>
    <t>Programmatic Gap:
The programmatic gap is calculated based on estimated need as per the C-NET tool (line A1 for male condoms, line A2 for female condoms).</t>
  </si>
  <si>
    <t>Brechas programáticas:
La brecha programática se calcula en base a la necesidad estimada según la herramienta C-NET (línea A1 para preservativos masculinos, línea A2 para preservativos femeninos).</t>
  </si>
  <si>
    <t>Country target already covered</t>
  </si>
  <si>
    <r>
      <rPr>
        <sz val="11"/>
        <rFont val="Calibri"/>
        <family val="2"/>
      </rPr>
      <t>Cible nationale déjà couverte</t>
    </r>
  </si>
  <si>
    <t>Meta de país ya cubierta</t>
  </si>
  <si>
    <t>C1. Country need planned to be covered by domestic resources</t>
  </si>
  <si>
    <t>C1. Besoins du pays devant être couverts par des ressources nationales</t>
  </si>
  <si>
    <t xml:space="preserve">C1. Necesidades del país que se van a cubrir con recursos nacionales </t>
  </si>
  <si>
    <t>"TB-HIV" tab</t>
  </si>
  <si>
    <t xml:space="preserve">Onglet   «TB-HIV »  </t>
  </si>
  <si>
    <t>Pestaña "TB-HIV"</t>
  </si>
  <si>
    <t>C2. Country need planned to be covered by external resources</t>
  </si>
  <si>
    <t>C2. Besoins du pays devant être couverts par des ressources extérieures</t>
  </si>
  <si>
    <t xml:space="preserve">C2. Necesidades del país que se van a cubrir con recursos externos </t>
  </si>
  <si>
    <t>TB/HIV - TB screening, testing and diagnosis among HIV patients</t>
  </si>
  <si>
    <t>C3. Total country need already covered</t>
  </si>
  <si>
    <t>C3. Total des besoins du pays déjà couverts</t>
  </si>
  <si>
    <t>C3. Necesidades totales del país ya cubiertas</t>
  </si>
  <si>
    <t>Coverage indicator: 
Percentage of people living with HIV newly initiated on ART who were screened for TB.</t>
  </si>
  <si>
    <r>
      <t xml:space="preserve">D. Expected annual gap in meeting the country </t>
    </r>
    <r>
      <rPr>
        <sz val="11"/>
        <color rgb="FFFF0000"/>
        <rFont val="Arial"/>
        <family val="2"/>
      </rPr>
      <t>target</t>
    </r>
    <r>
      <rPr>
        <sz val="11"/>
        <color theme="1"/>
        <rFont val="Arial"/>
        <family val="2"/>
      </rPr>
      <t>: A - C3</t>
    </r>
  </si>
  <si>
    <r>
      <rPr>
        <sz val="11"/>
        <rFont val="Calibri"/>
        <family val="2"/>
      </rPr>
      <t xml:space="preserve">D. Déficit annuel attendu par rapport à la </t>
    </r>
    <r>
      <rPr>
        <sz val="11"/>
        <rFont val="Arial"/>
        <family val="2"/>
      </rPr>
      <t>cible</t>
    </r>
    <r>
      <rPr>
        <sz val="11"/>
        <rFont val="Calibri"/>
        <family val="2"/>
      </rPr>
      <t xml:space="preserve"> nationale : A - C3</t>
    </r>
  </si>
  <si>
    <t>D. Déficit anual previsto para alcanzar la meta del país: A - C3</t>
  </si>
  <si>
    <t>Estimated population in need/at risk: 
Refers to all people living with HIV newly initiated on ART.</t>
  </si>
  <si>
    <t>Población estimada con necesidades o en riesgo: 
Se refiere a todas las personas que viven con el VIH que recién iniciaron el tratamiento antirretroviral.</t>
  </si>
  <si>
    <t>Country target covered with the allocation amount</t>
  </si>
  <si>
    <r>
      <rPr>
        <sz val="11"/>
        <rFont val="Calibri"/>
        <family val="2"/>
      </rPr>
      <t>Cible nationale déjà couverte par la somme allouée</t>
    </r>
  </si>
  <si>
    <t xml:space="preserve">Meta de país financiada con el monto asignado </t>
  </si>
  <si>
    <t>Country target:
Refers to NSP or any other latest agreed country target.
1) “#” refers to the number of people living with HIV newly initiated on ART who were screened for TB.
2) “%” refers to the percentage of people living with HIV newly initiated on ART who had TB status assessed and recorded among all people living with HIV newly initiated on ART.</t>
  </si>
  <si>
    <t>Meta del país:
Se refiere al PEN o a cualquier otra meta de país acordada recientemente.
1) "#" se refiere al número de personas que viven con el VIH que recién iniciaron el tratamiento antirretroviral y que se sometieron a pruebas de tuberculosis.
2) "%" se refiere al porcentaje de personas que viven con el VIH que recién iniciaron el tratamiento antirretroviral cuyo estado respecto a la tuberculosis se ha analizado y registrado entre todas las personas que viven con el VIHque recién iniciaron el tratamiento antirretroviral.</t>
  </si>
  <si>
    <t xml:space="preserve">G. Remaining gap: A - F </t>
  </si>
  <si>
    <t xml:space="preserve">G. Déficit restant : A - F </t>
  </si>
  <si>
    <t>G. Déficit restante: A - F</t>
  </si>
  <si>
    <t>Country need already covered: 
1) Country need already covered is broken down into need planned to be covered by domestic resources (line C1), and external resources (line C2). 
2) National private sector investments are to be included under domestic sources. 
3) In cases where part of the need during the year is covered by a current Global Fund grant (that ends prior to the start of the new implementation period), it can be included in the external resources category. 
4)  Once C1 and C2 are filled in, the total of country need already covered is automatically calculated in line C3. Note that line C3 is locked and cannot be overridden. Therefore, please use line C1 to provide a total if the domestic and external breakdown of resources is not available. 
5) If this is the case, specify in the comments box that line C1 refers to the total of both domestic and external resources.</t>
  </si>
  <si>
    <t>Necesidad del país ya cubierta: 
1) La necesidad del país ya cubierta se desglosa en la necesidad que se prevé cubrir con recursos nacionales (línea C1) y con recursos externos (línea C2). 
2) Las inversiones nacionales del sector privado deben incluirse en las fuentes nacionales. 
3) En los casos en los que parte de la necesidad durante el año se cubra mediante una subvención actual del Fondo Mundial (que finalice antes del inicio del nuevo período de ejecución), se podrá incluir en la categoría de recursos externos. 
4) Una vez que se hayan rellenado las líneas C1 y C2, el total de la necesidad del país ya cubierta se mostrará automáticamente en la línea C3. Tenga en cuenta que el contenido de la línea C3 está bloqueado y no se puede modificar. Por lo tanto, utilice la línea C1 para proporcionar un total si el desglose de recursos nacionales y externos no se encuentra disponible. 
5) Si este es el caso, especifique en el recuadro de comentarios que la línea C1 se refiere al total de los recursos nacionales y externos.</t>
  </si>
  <si>
    <t>All "%" targets from rows C3 to G are based on numerical target in row B.</t>
  </si>
  <si>
    <t>Toutes les cibles en % des rangées C à G sont basées sur les valeurs numériques de la rangée B.</t>
  </si>
  <si>
    <t>Todos los "%" de las metas de las filas C a G están basados en la meta numérica de la fila B</t>
  </si>
  <si>
    <t>Programmatic gap: 
The programmatic gap is calculated based on total need (row A).</t>
  </si>
  <si>
    <t>Brechas programáticas: 
La brecha programática se calcula en base a la necesidad total (fila A).</t>
  </si>
  <si>
    <t>Comments/Assumptions:
1) Specify the target geographic area.
2) Specify who are the other sources of funding.</t>
  </si>
  <si>
    <t>Comentarios o supuestos:
1) Especifique el área geográfica.
2) Especifique cuáles son las otras fuentes de financiamiento.</t>
  </si>
  <si>
    <t>Prevention - key populations-PrEP</t>
  </si>
  <si>
    <t>Prévention - populations clés - PrEP</t>
  </si>
  <si>
    <t>Prevención- poblaciones clave - PrEP</t>
  </si>
  <si>
    <t>TB/HIV - TB patients with known HIV status</t>
  </si>
  <si>
    <t>TB/VIH - Pacientes con tuberculosis con estado serológico respecto al VIH conocido</t>
  </si>
  <si>
    <t>Percentage of eligible key populations who initiated oral antiretroviral PrEP in the last 12 months</t>
  </si>
  <si>
    <t xml:space="preserve">Pourcentage de populations clés éligibles qui ont initié une PrEP antiretrovirale orale au cours des 12 derniers mois </t>
  </si>
  <si>
    <r>
      <t xml:space="preserve">Porcentaje de la población clave </t>
    </r>
    <r>
      <rPr>
        <sz val="11"/>
        <color rgb="FFFF0000"/>
        <rFont val="Arial"/>
        <family val="2"/>
      </rPr>
      <t>elegible</t>
    </r>
    <r>
      <rPr>
        <sz val="11"/>
        <rFont val="Arial"/>
        <family val="2"/>
      </rPr>
      <t xml:space="preserve"> que </t>
    </r>
    <r>
      <rPr>
        <sz val="11"/>
        <color rgb="FFFF0000"/>
        <rFont val="Arial"/>
        <family val="2"/>
      </rPr>
      <t>inició</t>
    </r>
    <r>
      <rPr>
        <sz val="11"/>
        <rFont val="Arial"/>
        <family val="2"/>
      </rPr>
      <t xml:space="preserve"> PrEP</t>
    </r>
    <r>
      <rPr>
        <sz val="11"/>
        <color rgb="FFFF0000"/>
        <rFont val="Arial"/>
        <family val="2"/>
      </rPr>
      <t xml:space="preserve"> durante los últimos 12 meses.</t>
    </r>
  </si>
  <si>
    <t xml:space="preserve">Coverage indicator: 
Percentage of registered new and relapse TB patients with documented HIV status. </t>
  </si>
  <si>
    <t xml:space="preserve">Indicador de cobertura: 
Porcentaje de casos nuevos y recaídas de tuberculosis registrados cuyo estado serológico respecto al VIH ha sido documentado. </t>
  </si>
  <si>
    <t>PrEP Programmatic Gap Table 1</t>
  </si>
  <si>
    <t>Estimated population in need/at risk: 
Refers to the total number of new and relapse TB patients registered.</t>
  </si>
  <si>
    <t>Población estimada con necesidades o en riesgo: 
Se refiere al número total de casos nuevos y recaídas de tuberculosis registrados.</t>
  </si>
  <si>
    <t>Country target:
Refers to NSP or any other latest agreed country target.
1) "#" refers to the number of registered new and relapses TB patients with documented HIV status.
2) "%" refers to the percentage of registered new and relapses TB patients with documented HIV status among the total number of registered new and relapse TB patients.</t>
  </si>
  <si>
    <t>Meta del país:
Se refiere al N o a cualquier otra meta de país acordada recientemente.
1) "#" se refiere al número de casos nuevos y recaídas de tuberculosis registrados cuyo estado serológico respecto al VIH ha sido documentado.
2) "%" se refiere al porcentaje de casos nuevos y recaídas de tuberculosis registrados cuyo estado serológico respecto al VIH ha sido documentado entre el número total de casos nuevos y recaídas de tuberculosis registrados.</t>
  </si>
  <si>
    <t xml:space="preserve">Tabla de brecha programática para el VIH/SIDA - Preservativos </t>
  </si>
  <si>
    <r>
      <t>Prevention</t>
    </r>
    <r>
      <rPr>
        <sz val="11"/>
        <color rgb="FFFF0000"/>
        <rFont val="Arial"/>
        <family val="2"/>
      </rPr>
      <t xml:space="preserve"> - National condom programming and stewardship</t>
    </r>
  </si>
  <si>
    <t>Prévention -  Programmation et gestion du préservatif au niveau national</t>
  </si>
  <si>
    <t xml:space="preserve">Prevención - Planificación y gestión nacional de preservativos </t>
  </si>
  <si>
    <t>Commentaires/Hypothèses:
1) Indiquez la région cible en cas de couverture infranationale.
2) Précisez quelles sont les autres sources de financement.</t>
  </si>
  <si>
    <t>Number of condoms distributed by the program (male and female)</t>
  </si>
  <si>
    <t>Nombre de préservatifs distribués par le programme (masculins et féminins)</t>
  </si>
  <si>
    <r>
      <t xml:space="preserve">Número de preservativos distribuidos </t>
    </r>
    <r>
      <rPr>
        <sz val="11"/>
        <color rgb="FFFF0000"/>
        <rFont val="Arial"/>
        <family val="2"/>
      </rPr>
      <t>por el programa</t>
    </r>
    <r>
      <rPr>
        <sz val="11"/>
        <rFont val="Arial"/>
        <family val="2"/>
      </rPr>
      <t xml:space="preserve"> (masculinos y femeninos)</t>
    </r>
  </si>
  <si>
    <t xml:space="preserve">TB/HIV - TB/HIV Treatment and care </t>
  </si>
  <si>
    <r>
      <rPr>
        <sz val="11"/>
        <color rgb="FFFF0000"/>
        <rFont val="Arial"/>
        <family val="2"/>
      </rPr>
      <t>all priority</t>
    </r>
    <r>
      <rPr>
        <sz val="11"/>
        <rFont val="Arial"/>
        <family val="2"/>
      </rPr>
      <t xml:space="preserve"> populations</t>
    </r>
  </si>
  <si>
    <t>Toutes les populations prioritaires</t>
  </si>
  <si>
    <t>todas las poblaciones prioritarias</t>
  </si>
  <si>
    <t>Coverage indicator: 
Proportion of HIV-positive TB patients (new and relapse) on ART during TB treatment.</t>
  </si>
  <si>
    <t>A1. Total male condoms needed</t>
  </si>
  <si>
    <t>A1. Nombre total de préservatifs masculins nécessaires</t>
  </si>
  <si>
    <t>A1. Número total de preservativos masculinos necesarios</t>
  </si>
  <si>
    <t>Estimated population in need/at risk: 
Refers to the total number of expected HIV positive new and relapse TB patients registered in the period.</t>
  </si>
  <si>
    <t>Población estimada con necesidades o en riesgo: 
Se refiere al número total previsto de casos nuevos y recaídas de tuberculosis en pacientes que viven con el VIH registrados en el período.</t>
  </si>
  <si>
    <t>A2. Total female condoms needed</t>
  </si>
  <si>
    <t>A2. Nombre total de préservatifs féminins nécessaires</t>
  </si>
  <si>
    <t>A2. Número total de preservativos femeninos necesarios</t>
  </si>
  <si>
    <t>Country target:
Refers to NSP or any other latest agreed country target.
1) “#” refers to the number of HIV positive TB patients (new and relapse) who receive ART.
2) “%” refers to the percentage of HIV positive new and relapse TB patients who receive ART among the total of HIV positive new and relapse TB patients registered.</t>
  </si>
  <si>
    <t>Meta del país:
Se refiere al PEN o a cualquier otra meta de país acordada recientemente.
1) "#" se refiere al número de casos de tuberculosis (nuevos y recaídas) en pacientes que viven con el VIH que reciben tratamiento antirretroviral.
2) "%" se refiere al porcentaje de casos nuevos y recaídas de tuberculosis en pacientes que viven con el VIH que reciben tratamiento antirretroviral entre el total de casos nuevos y recaídas de tuberculosis en pacientes  que viven con el VIH registrados.</t>
  </si>
  <si>
    <t>B1. Country targets- male condoms
(from National Strategic Plan)</t>
  </si>
  <si>
    <r>
      <rPr>
        <sz val="11"/>
        <rFont val="Calibri"/>
        <family val="2"/>
      </rPr>
      <t>B1. Cibles du pays- préservatifs masculins
(à partir du plan stratégique national)</t>
    </r>
  </si>
  <si>
    <t>B1. Metas del país - preservativos masculinos (según el Plan Estratégico Nacional)</t>
  </si>
  <si>
    <t>B2. Country targets- female condoms
(from National Strategic Plan)</t>
  </si>
  <si>
    <r>
      <rPr>
        <sz val="11"/>
        <rFont val="Calibri"/>
        <family val="2"/>
      </rPr>
      <t>B2. Cibles du pays- préservatifs féminins
(à partir du plan stratégique national)</t>
    </r>
  </si>
  <si>
    <t>B2. Metas del país - preservativos femeninos (según el Plan Estratégico Nacional)</t>
  </si>
  <si>
    <t>Country need to meet global target already covered by funding resource</t>
  </si>
  <si>
    <t>Besoins nationaux pour atteindre la cible globale déjà couverts par des sources de financement</t>
  </si>
  <si>
    <t>Necesidades del país para atingir la meta global ya cubiertas con recursos de financiamiento</t>
  </si>
  <si>
    <t>TB/HIV - TB/HIV prevention (only for PLHIVs)</t>
  </si>
  <si>
    <r>
      <t>C1. Global target planned to be covered by domestic resources</t>
    </r>
    <r>
      <rPr>
        <sz val="11"/>
        <color rgb="FFFF0000"/>
        <rFont val="Arial"/>
        <family val="2"/>
      </rPr>
      <t>, including private sector where available</t>
    </r>
  </si>
  <si>
    <t>C1. Cible globale devant être couverte par des ressources nationales, y compris le secteur privé, le cas échéant</t>
  </si>
  <si>
    <t>C1. Meta global que se espera cubrir con recursos domésticos, incluyendo el sector privado cuando esté disponible</t>
  </si>
  <si>
    <t>Coverage indicator: 
Percentage of PLHIV currently enrolled on ART who started TB preventive therapy during the reporting period.</t>
  </si>
  <si>
    <t>C2. Cible globale devant être couverte par des ressources extérieures</t>
  </si>
  <si>
    <t xml:space="preserve">C2. Meta global que se va a financiar con recursos externos </t>
  </si>
  <si>
    <t>Estimated population in need/at risk:
Refers to the estimated number of people living with HIV (PLHIV) enrolled on ART during the period. 
This excludes PLHIV on TB treatment or being evaluated for active TB. Where possible, it should also exclude PLHIV who previously completed TPT within the timeframe recommended by national policy, as well as those PLHIV estimated to be clinically non-eligible due to co-morbidities and contraindications, including active hepatitis, chronic alcoholism, use of other medications that are potentially hepatotoxic such as nevirapine, and/or neuropathy.</t>
  </si>
  <si>
    <t>Población estimada con necesidades o en riesgo:
Se refiere al número estimado de personas que viven con el VIH inscritas en el tratamiento antirretroviral durante el período de reporte.
Esto excluye a las personas que viven con el VIH que reciben tratamiento contra la tuberculosis o que están siendo evaluadas para determinar si padecen de tuberculosis activa. Cuando sea posible, también debe excluir a las personas que viven con el VIH que completaron anteriormente el tratamiento preventivo de la tuberculosis dentro del plazo recomendado por la política nacional, así como a aquellas personas que viven con el VIH que se estima que no son elegibles clínicamente debido a comorbilidades y contraindicaciones, entre otras, la hepatitis activa, el alcoholismo crónico, el uso de otros medicamentos que son potencialmente hepatotóxicos como la nevirapina, y/o la neuropatía.</t>
  </si>
  <si>
    <t>C3. Total global target planned to be covered: C1+C2</t>
  </si>
  <si>
    <t>C3. Total de la meta global que se planifica cubrir: C1+C2</t>
  </si>
  <si>
    <t>Country target:
Refers to NSP or any other latest agreed country target.
1) “#” refers to the number of PLHIV currently enrolled on ART who started TB preventive treatment (TPT during the reporting period
2) “%” refers to the percentage of PLHIV currently enrolled on ART who started TB preventive treatment among the total number of PLHIV currently enrolled on ART.</t>
  </si>
  <si>
    <t>Meta del país:
Se refiere al PEN o a cualquier otra meta de país acordada recientemente.
1) "#" se refiere al número de personas que viven con el VIH actualmente inscritas en el tratamiento antirretroviral que iniciaron el tratamiento preventivo de la tuberculosis durante el periodo de reporte.
2) El "%" se refiere al porcentaje de personas que viven con el VIH actualmente inscritas en el tratamiento antirretroviral que iniciaron el tratamiento preventivo de la tuberculosis  entre el número total de personas que viven con el VIH actualmente inscritas en el tratamiento antirretroviral.</t>
  </si>
  <si>
    <t>Global target already covered by type of condom</t>
  </si>
  <si>
    <t>Cible globale déjà couverte par type de préservatif</t>
  </si>
  <si>
    <t>Meta global ya cubierta por tipo de preservativo</t>
  </si>
  <si>
    <t>Programmatic gap: 
The programmatic gap is calculated based on total need (line A).</t>
  </si>
  <si>
    <t>Brechas programáticas: 
La brecha programática se calcula en base a la necesidad total (línea A).</t>
  </si>
  <si>
    <t>C4. Global target planned to be covered (domestic+external resources)- male condoms</t>
  </si>
  <si>
    <t>C4. Cible globale qui devrait être couverte (ressources nationales et extérieures) - préservatifs masculins</t>
  </si>
  <si>
    <t xml:space="preserve">C4. Meta del país que se planifica cubrir (recursos nacionales+externos) - preservativos masculinos </t>
  </si>
  <si>
    <t>C5. Global target planned to be covered (domestic+external resources)- female condoms</t>
  </si>
  <si>
    <t>C5. Cible globale qui devrait être couverte (ressources nationales et extérieures) - préservatifs féminins</t>
  </si>
  <si>
    <t>C5. Meta del país que se planifica cubrir (recursos nacionales+externos) - preservativos femeninos</t>
  </si>
  <si>
    <t>C6. Total global target planned to be covered (male+female): C4+C5</t>
  </si>
  <si>
    <t>C6. Total de la meta global que se planifica cubrir (masculinos+femeninos): C4+C5</t>
  </si>
  <si>
    <t>D1. Expected annual gap in meeting the need- male condoms: A1 - C4</t>
  </si>
  <si>
    <t xml:space="preserve">D1. Déficit anual previsto para cubrir la necesidad - preservativos masculinos: A1 - C4 </t>
  </si>
  <si>
    <t>D2. Expected annual gap in meeting the need- female condoms: A2 - C5</t>
  </si>
  <si>
    <t xml:space="preserve">D2. Déficit anual previsto para cubrir la necesidad - preservativos femeninos: A2 - C5 </t>
  </si>
  <si>
    <t>Besoins nationaux par rapport la cible globale déjà couverts par la somme allouée</t>
  </si>
  <si>
    <t xml:space="preserve">Necesidades del país para atingir la meta global financiados con el monto asignado </t>
  </si>
  <si>
    <t>E1. Targets to be financed by allocation amount- male condoms</t>
  </si>
  <si>
    <r>
      <rPr>
        <sz val="11"/>
        <rFont val="Calibri"/>
        <family val="2"/>
      </rPr>
      <t>E1. Cibles devant être financées par la somme allouée - préservatifs masculins</t>
    </r>
  </si>
  <si>
    <t>E1. Metas que se van a financiar con el monto asignado - preservativos masculinos</t>
  </si>
  <si>
    <t>E2. Targets to be financed by allocation amount - female condoms</t>
  </si>
  <si>
    <r>
      <rPr>
        <sz val="11"/>
        <rFont val="Calibri"/>
        <family val="2"/>
      </rPr>
      <t>E2. Cibles devant être financées par la somme allouée - préservatifs féminins</t>
    </r>
  </si>
  <si>
    <t>E2. Metas que se van a financiar con el monto asignado - preservativos femeninos</t>
  </si>
  <si>
    <t>F1. Coverage from allocation amount and other resources - male condoms: E1 + C4</t>
  </si>
  <si>
    <r>
      <rPr>
        <sz val="11"/>
        <rFont val="Calibri"/>
        <family val="2"/>
      </rPr>
      <t>F1. Couverture par la somme allouée et d'autres ressources - préservatifs masculins :
 E1 + C4</t>
    </r>
  </si>
  <si>
    <t>F1. Cobertura realizada con el monto asignado y otros recursos - preservativos masculinos:
 E1 + C4</t>
  </si>
  <si>
    <t>F2. Coverage from allocation amount and other resources - female condoms: E2 + C5</t>
  </si>
  <si>
    <r>
      <rPr>
        <sz val="11"/>
        <rFont val="Calibri"/>
        <family val="2"/>
      </rPr>
      <t>F2. Couverture par la somme allouée et d'autres ressources - préservatifs féminins :
 E2 + C5</t>
    </r>
  </si>
  <si>
    <t>F2. Cobertura realizada con el monto asignado y otros recursos - preservativos femeninos:
 E2 + C5</t>
  </si>
  <si>
    <t>G1. Remaining gap- male condoms: A1 - F1</t>
  </si>
  <si>
    <t>G1. Déficit restant - préservatifs masculins : B1 - F1</t>
  </si>
  <si>
    <t>G1. Déficit restante - preservativos masculinos: B1 - F1</t>
  </si>
  <si>
    <t>G2. Remaining gap- female condoms: A2 - F2</t>
  </si>
  <si>
    <t>G2. Déficit restant - préservatifs féminins : B2 - F2</t>
  </si>
  <si>
    <t>G2. Déficit restante - preservativos femeninos: B2 - F2</t>
  </si>
  <si>
    <t>Prevention- key populations</t>
  </si>
  <si>
    <t xml:space="preserve">Prévention - populations clés </t>
  </si>
  <si>
    <t>Prevención- poblaciones clave</t>
  </si>
  <si>
    <t>Number of condoms and lubricants distributed (male and female)</t>
  </si>
  <si>
    <r>
      <rPr>
        <sz val="11"/>
        <rFont val="Calibri"/>
        <family val="2"/>
      </rPr>
      <t>Nombre de préservatifs et de lubrifiants distribués (masculins et féminins)</t>
    </r>
  </si>
  <si>
    <t>Número de preservativos y lubricantes distribuidos (masculinos y femeninos)</t>
  </si>
  <si>
    <t>Prevention - People who inject drugs and their partners</t>
  </si>
  <si>
    <t>Prévention - personnes qui s'injectent des drogues et leurs partenaires</t>
  </si>
  <si>
    <r>
      <rPr>
        <sz val="11"/>
        <color rgb="FFFF0000"/>
        <rFont val="Arial"/>
        <family val="2"/>
      </rPr>
      <t xml:space="preserve">Prevención- </t>
    </r>
    <r>
      <rPr>
        <sz val="11"/>
        <rFont val="Arial"/>
        <family val="2"/>
      </rPr>
      <t>personas que se inyectan drogas y sus parejas</t>
    </r>
  </si>
  <si>
    <t xml:space="preserve">Number of needles and syringes distributed </t>
  </si>
  <si>
    <r>
      <rPr>
        <sz val="11"/>
        <color theme="1"/>
        <rFont val="Calibri"/>
        <family val="2"/>
      </rPr>
      <t xml:space="preserve">Nombre d'aiguilles et de seringues distribuées </t>
    </r>
  </si>
  <si>
    <t>Número de agujas y jeringuillas distribuidas</t>
  </si>
  <si>
    <t>people who inject drugs and their partners</t>
  </si>
  <si>
    <t>personnes qui s'injectent des drogues et leurs partenaires </t>
  </si>
  <si>
    <t>personas que se inyectan drogas y sus parejas</t>
  </si>
  <si>
    <t>HIV/AIDS Programmatic Gap Table - Needle and syringe programs</t>
  </si>
  <si>
    <r>
      <rPr>
        <sz val="11"/>
        <color theme="1"/>
        <rFont val="Calibri"/>
        <family val="2"/>
      </rPr>
      <t>Tableau des déficits programmatiques pour le VIH/sida - Programmes de distribution d'aiguilles et de seringues</t>
    </r>
  </si>
  <si>
    <t xml:space="preserve">Tabla de brecha programática para el VIH/SIDA - Programas de agujas y jeringuillas </t>
  </si>
  <si>
    <t>Needles and syringes to be distributed per person per year</t>
  </si>
  <si>
    <r>
      <rPr>
        <sz val="11"/>
        <color theme="1"/>
        <rFont val="Calibri"/>
        <family val="2"/>
      </rPr>
      <t>Nombre d'aiguilles et de seringues à distribuer par personne et par an</t>
    </r>
  </si>
  <si>
    <t>Número de agujas y jeringuillas que se distribuirán por persona al año</t>
  </si>
  <si>
    <t>A. Total needles and syringes needed</t>
  </si>
  <si>
    <r>
      <rPr>
        <sz val="11"/>
        <color theme="1"/>
        <rFont val="Calibri"/>
        <family val="2"/>
      </rPr>
      <t>A. Nombre total d'aiguilles et de seringues nécessaire</t>
    </r>
  </si>
  <si>
    <t>A. Número total de agujas y jeringuillas necesarias</t>
  </si>
  <si>
    <t>B. Country target- Needles and syringes to be distributed (from National Strategic Plan)</t>
  </si>
  <si>
    <r>
      <rPr>
        <sz val="11"/>
        <color theme="1"/>
        <rFont val="Calibri"/>
        <family val="2"/>
      </rPr>
      <t>B. Cible du pays - Nombre d'aiguilles et de seringues à distribuer (à partir du plan stratégique national)</t>
    </r>
  </si>
  <si>
    <t>B. Meta del país - Número de agujas y jeringuillas que se van a distribuir (según el Plan Estratégico Nacional)</t>
  </si>
  <si>
    <t>D. Déficit anual previsto para satisfacer las necesidad - agujas y jeringuillas: B - C3</t>
  </si>
  <si>
    <t>E. Targets to be financed by allocation amount- needles and syringes</t>
  </si>
  <si>
    <r>
      <rPr>
        <sz val="11"/>
        <color theme="1"/>
        <rFont val="Calibri"/>
        <family val="2"/>
      </rPr>
      <t>E. Cibles devant être financées par la somme allouée - aiguilles et seringues</t>
    </r>
  </si>
  <si>
    <t xml:space="preserve">E. Metas que se van a financiar con el monto asignado - agujas y jeringuillas </t>
  </si>
  <si>
    <t>F. Coverage from allocation amount and other resources- needles and syringes:  E + C3</t>
  </si>
  <si>
    <t>F. Couverture par la somme allouée et d'autres ressources - aiguilles et seringues :  E + C3</t>
  </si>
  <si>
    <t>F. Cobertura realizada con el monto asignado y otros recursos - agujas y jeringuillas:  E + C3</t>
  </si>
  <si>
    <t>G. Remaining gap-needles and syringes: B - F</t>
  </si>
  <si>
    <r>
      <rPr>
        <sz val="11"/>
        <color theme="1"/>
        <rFont val="Calibri"/>
        <family val="2"/>
      </rPr>
      <t>G. Déficit restant - aiguilles et seringues : B - F</t>
    </r>
  </si>
  <si>
    <t>G. Déficit restante - agujas y jeringuillas: B - F</t>
  </si>
  <si>
    <t>Please read the Instructions sheet carefully before completing the programmatic gap tables.</t>
  </si>
  <si>
    <r>
      <rPr>
        <sz val="11"/>
        <color theme="1"/>
        <rFont val="Calibri"/>
        <family val="2"/>
      </rPr>
      <t>Veuillez lire attentivement la feuille Instructions avant de compléter le tableau d'analyse des déficits programmatiques.</t>
    </r>
  </si>
  <si>
    <t>Lea detenidamente la hoja de instrucciones antes de completar la tabla de brecha programática.</t>
  </si>
  <si>
    <t>B1. Global targets as per the Global AIDS Strategy</t>
  </si>
  <si>
    <t>B1. Cibles globales selon la stratégie mondiale de lutte contre le sida</t>
  </si>
  <si>
    <t>B1. Las metas globales según la Estrategia mundial contra el sida   </t>
  </si>
  <si>
    <t>To complete this cover sheet, select from the drop-down lists the Geography and Applicant Type.</t>
  </si>
  <si>
    <r>
      <rPr>
        <sz val="11"/>
        <color theme="1"/>
        <rFont val="Calibri"/>
        <family val="2"/>
      </rPr>
      <t>Pour remplir cette feuille de présentation, sélectionnez un lieu géographique et un type de candidat dans les listes déroulantes.</t>
    </r>
  </si>
  <si>
    <t xml:space="preserve">Para completar la portada, seleccione el tipo de zona geográfica y el tipo de solicitante de las listas desplegables. </t>
  </si>
  <si>
    <t>B. Country targets 
(from National Strategic Plan)</t>
  </si>
  <si>
    <t>B. Cibles du pays
(à partir du plan stratégique national)</t>
  </si>
  <si>
    <t>B. Metas del país (según el Plan Estratégico Nacional)</t>
  </si>
  <si>
    <t>Applicant</t>
  </si>
  <si>
    <r>
      <rPr>
        <sz val="11"/>
        <color theme="1"/>
        <rFont val="Calibri"/>
        <family val="2"/>
      </rPr>
      <t>Candidat</t>
    </r>
  </si>
  <si>
    <t>Solicitante</t>
  </si>
  <si>
    <t>Component</t>
  </si>
  <si>
    <r>
      <rPr>
        <sz val="11"/>
        <color theme="1"/>
        <rFont val="Calibri"/>
        <family val="2"/>
      </rPr>
      <t>Composante</t>
    </r>
  </si>
  <si>
    <t>Componente</t>
  </si>
  <si>
    <t>Applicant Type</t>
  </si>
  <si>
    <r>
      <rPr>
        <sz val="11"/>
        <color theme="1"/>
        <rFont val="Calibri"/>
        <family val="2"/>
      </rPr>
      <t>Type de candidat</t>
    </r>
  </si>
  <si>
    <t>Tipo de solicitante</t>
  </si>
  <si>
    <t>A3. Total condoms needed</t>
  </si>
  <si>
    <t xml:space="preserve">A3. Nombre total de préservatifs nécessaires </t>
  </si>
  <si>
    <t>A3. Número total de preservativos necesarios</t>
  </si>
  <si>
    <t>"TB/HIV gap tables" tab</t>
  </si>
  <si>
    <t xml:space="preserve">Onglet « TB/VIH » </t>
  </si>
  <si>
    <t>Pestaña "TB/VIH"</t>
  </si>
  <si>
    <t>TB/HIV Programmatic Gap Table 1</t>
  </si>
  <si>
    <t xml:space="preserve">Carefully read the instructions in the "Instructions" tab before completing the programmatic gap analysis table. 
The instructions have been tailored to each specific module/intervention. </t>
  </si>
  <si>
    <r>
      <t xml:space="preserve">Lea detenidamente las instrucciones en la pestaña "Instrucciones" antes de completar la tabla de análisis de </t>
    </r>
    <r>
      <rPr>
        <sz val="11"/>
        <color rgb="FFFF0000"/>
        <rFont val="Arial"/>
        <family val="2"/>
      </rPr>
      <t>brecha programática</t>
    </r>
    <r>
      <rPr>
        <sz val="11"/>
        <rFont val="Arial"/>
        <family val="2"/>
      </rPr>
      <t xml:space="preserve">. Las instrucciones se han adaptado a cada módulo o intervención específicos. </t>
    </r>
  </si>
  <si>
    <t>TB/HIV Programmatic Gap Table 2</t>
  </si>
  <si>
    <t>TB/HIV Programmatic Gap Table 3</t>
  </si>
  <si>
    <t>TB/HIV Programmatic Gap Table 4</t>
  </si>
  <si>
    <t>TB/VIH</t>
  </si>
  <si>
    <t>"HIV Testing" tab</t>
  </si>
  <si>
    <t xml:space="preserve">Onglet « Test VIH » </t>
  </si>
  <si>
    <t>Pestaña "Pruebas del VIH"</t>
  </si>
  <si>
    <t>B2. Country targets</t>
  </si>
  <si>
    <t>B. Cibles du pays</t>
  </si>
  <si>
    <t>D. Expected annual gap in meeting the need: B - C3</t>
  </si>
  <si>
    <t>D. Déficit anual previsto para alcanzar la meta del país: B - C3</t>
  </si>
  <si>
    <t xml:space="preserve">G. Remaining gap: B - F </t>
  </si>
  <si>
    <t xml:space="preserve">G. Déficit restant : B - F </t>
  </si>
  <si>
    <t>Инструкции</t>
  </si>
  <si>
    <t>Russian</t>
  </si>
  <si>
    <t>Tuberculosis</t>
  </si>
  <si>
    <r>
      <rPr>
        <sz val="11"/>
        <rFont val="Calibri"/>
        <family val="2"/>
      </rPr>
      <t>Tuberculose</t>
    </r>
  </si>
  <si>
    <t>Instructions - TB Priority Modules</t>
  </si>
  <si>
    <t>Instructions – Modules prioritaires pour la tuberculose</t>
  </si>
  <si>
    <t>Instrucciones - Módulos prioritarios para la tuberculosis</t>
  </si>
  <si>
    <t xml:space="preserve">Instructions for filling TB programmatic gap table: </t>
  </si>
  <si>
    <t xml:space="preserve">Instructions illustrant comment compléter le tableau des lacunes programmatiques concernant la tuberculose: </t>
  </si>
  <si>
    <t xml:space="preserve">Instrucciones para completar la tabla de brechas programáticas para la tuberculosis: </t>
  </si>
  <si>
    <t>To begin completing each table, specify the desired priority module/intervention by selecting from the drop-down list provided next to the "Priority Module" line. The corresponding coverage indicator will appear automatically once a module/intervention has been selected.  Blank cells highlighted in white require input. Cells highlighted in purple and gray will then be filled automatically.
If submitting separate TB and HIV funding requests, gap analysis tables for TB/HIV interventions should be included in both the TB and HIV requests. In the case of a joint TB/HIV request, please complete the tables in the joint TB/HIV programmatic gap Excel file.
The following instructions provide detailed information on how to complete the gap table for each module/intervention. Note that separate tables are to be completed for each TB/HIV collaborative intervention. Remember, among the 6 priority modules listed above, complete tables for only the interventions/indicators that are relevant to the funding request.</t>
  </si>
  <si>
    <t>Pour commencer à remplir chaque tableau, précisez le module/intervention prioritaire souhaité en le sélectionnant dans la liste déroulante qui se trouve à côté de la cellule « Module prioritaire ». Lorsqu'un module/intervention est sélectionné, l’indicateur de couverture correspondant s’affiche automatiquement.  Des informations doivent être saisies dans les cellules vides avec fond blanc. Les cellules avec fond violet et gris se rempliront alors automatiquement.
Si vous présentez des demandes de financement séparées pour la TB et pour le VIH, vous devrez inclure des tableaux d’analyse des lacunes programmatiques pour TB-VIH dans chacune de ces demandes. Dans le cas d’une demande de financement commune TB/VIH, remplissez les tableaux qui sont dans le fichier Excel des lacunes programmatiques TB-VIH communs.
Les instructions suivantes fournissent des informations détaillées sur la façon de remplir le tableau des lacunes programmatiques pour chaque module/intervention. Notez que des tableaux séparés doivent être remplis pour chaque intervention TB/VIH conjointe. Rappelez-vous que pour les six modules prioritaires listés ci-dessus, vous ne devez remplir que les tableaux qui concernent les interventions/indicateurs en rapport avec la demande de financement.</t>
  </si>
  <si>
    <t>Para empezar a completar cada tabla, especifique el módulo prioritario o la intervención pertinente seleccionándolos de la lista desplegable incluida junto a la línea "Módulo prioritario". Al seleccionar un módulo o intervención, el indicador de cobertura correspondiente aparecerá de forma automática. Es obligatorio completar las celdas vacías destacadas en color blanco. Las celdas destacadas en morado y gris se completarán de forma automática.
Si se presentan solicitudes de financiamiento separadas para la tuberculosis y el VIH, se deberán incluir las tablas de análisis de brecha para las intervenciones de TB/VIH en ambas solicitudes. En caso de presentar una solicitud conjunta para TB/VIH, deberá completar las tablas incluidas en el archivo de Excel de brechas programáticas para TB/VIH de manera conjunta.
En las instrucciones siguientes se explica detalladamente cómo completar la tabla de brechas para cada módulo o intervención. Tenga presente que es preciso completar separadamente las tablas para cada intervención conjunta de TB/VIH. Recuerde que, de entre los 6  módulos prioritarios enumerados anteriormente, solo debe completar las tablas correspondientes a las intervenciones o los indicadores incluidos en la solicitud de financiamiento.</t>
  </si>
  <si>
    <t>Reference (for DS and DR-TB testing): Planning and budgeting tool for TB and drug-resistant TB testing -  https://www.who.int/publications/i/item/WHO-UCN-TB-2021.8</t>
  </si>
  <si>
    <t>Référence (pour le dépistage de la tuberculose et de la tuberculose résistante aux antituberculeux) : Outil de planification et de budgétisation pour le dépistage de la tuberculose et de la tuberculose résistante aux médicaments : https://www.who.int/publications/i/item/WHO-UCN-TB-2021.8</t>
  </si>
  <si>
    <t>Referencia (para pruebas para la TB sensible y resistente a medicamentos): Herramienta de planificación y elaboración de presupuestos para pruebas para la TB sensible y resistente a medicamentos: https://www.who.int/publications/i/item/WHO-UCN-TB-2021.8</t>
  </si>
  <si>
    <t>In cases where the indicators used by the country are worded differently than what is included in the programmatic gap tables (but measurement is the same), please include the country definition in the comments box. A blank table can be found on the "Blank table" sheet in the case where the number of tables provided in the workbook is not sufficient, or if the applicant wishes to submit a table for a module/intervention/indicator that is not specified in the instructions below.</t>
  </si>
  <si>
    <t>Dans les cas où les indicateurs utilisés par le pays sont formulés différemment de ce qui est inclus dans les tableaux des lacunes programmatiques (mais la mesure reste la même), veuillez inclure la définition du pays dans la section commentaires.
La feuille « Blank table » contient un tableau vierge qui pourra être utilisé si le nombre de tableaux dans le fichier Excel est insuffisant ou si le candidat souhaite soumettre un tableau pour un module/une intervention/un indicateur qui n'apparaît pas dans les instructions ci-dessous.</t>
  </si>
  <si>
    <t>En casos en que los indicadores utilizados por el país estén redactados de manera diferente a lo que se incluye en las tablas de brechas programáticas (pero los métodos de medición son los mismos), por favor incluya la definición utilizada por el país en la caja de comentarios. Si el número de tablas incluidas en el libro de Excel no es suficiente o si el solicitante quiere presentar una tabla para un módulo/intervención/indicador diferente de los especificados en las instrucciones, podrá utilizar la tabla vacía incluida en la hoja denominada "Tabla en blanco".</t>
  </si>
  <si>
    <t>"TB-Tables" Tab</t>
  </si>
  <si>
    <t>Onglet « TB-Tables »</t>
  </si>
  <si>
    <t>Pestaña "TB-Tables"</t>
  </si>
  <si>
    <t>TB diagnosis, treatment and care – TB screening and diagnosis</t>
  </si>
  <si>
    <t>Estimated population in need/at risk:
Refers to the estimated incidence of all forms of TB cases.</t>
  </si>
  <si>
    <t>Población estimada con necesidades/en riesgo:
Se refiere a la incidencia estimada de todas las formas de casos de tuberculosis.</t>
  </si>
  <si>
    <t>Country target:
Refers to NSP or any other latest agreed country target.
1) "#" refers to all forms of TB cases (new and relapse) to be notified to national health authorities. It includes bacteriologically confirmed plus those that are diagnosed using other tests such as X-rays (including digital X-ray with or without CAD/AI), cytology and clinically diagnosed.
2) "%" refers to the treatment coverage, i.e., the proportion of all forms of TB cases (new and relapse) notified among the number of estimated incident TB cases.</t>
  </si>
  <si>
    <t>Meta del país:
Se refiere al Plan Estratégico Nacional (PEN) o a la última meta del país acordada.
1) "#" se refiere a todas las formas de casos de tuberculosis (casos nuevos y recaídas) que se deben notificar a las autoridades sanitarias nacionales. Incluye casos confirmados bacteriológicamente, además de aquellos que se han diagnosticado utilizando otras pruebas como rayos X (incluida la radiografía digital con o sin CAD/AI), citologías y diagnósticos clínicos.
2) "%" se refiere a la cobertura del tratamiento, es decir, la proporción de todas las formas de casos de TB (nuevos y recaídas) notificados entre el número de casos de TB incidentes estimados.</t>
  </si>
  <si>
    <t>Country need already covered:
1) Country need already covered is broken down into need planned to be covered by domestic resources (line C1), and external resources (line C2). 
2) National private sector investments are to be included under domestic sources. 
3) In cases where part of the need during the year is covered by a current Global Fund grant (that ends prior to the start of the new implementation period), it can be included in the external resources category. 
4) Once C1 and C2 are filled in, the total of country need already covered is automatically calculated in line C3. Note that line C3 is locked and cannot be overridden. Therefore, please use line C1 to provide a total if the domestic and external breakdown of resources is not available. 
5) If this is the case, specify in the comments box that line C1 refers to the total of both domestic and external resources.</t>
  </si>
  <si>
    <t>Necesidades del país ya cubiertas:
Las necesidades del país ya cubiertas se desglosan en aquellas que serán cubiertas por recursos nacionales (línea C1) y externos (línea C2). Las inversiones nacionales del sector privado se incluirán entre las fuentes de financiamiento nacionales. En los casos en que parte de una necesidad durante el año esté cubierta por una subvención en curso del Fondo Mundial (es decir, una subvención que finalice antes de comenzar el nuevo período de ejecución), esta podrá incluirse en la categoría de recursos externos. 
Una vez completadas las líneas C1 y C2, las necesidades totales del país ya cubiertas se calculan de forma automática en la línea C3. Recuerde que la línea C3 está bloqueada y no se puede desbloquear. Por lo tanto, deberá introducir un total en la línea C1 en caso de no disponer de un desglose de los recursos nacionales y externos. Si este es el caso, deberá indicar en la casilla de comentarios que la línea C1 hace referencia al total de recursos nacionales y externos.</t>
  </si>
  <si>
    <t>Programmatic gap:
The programmatic gap is calculated based on total need (line A).</t>
  </si>
  <si>
    <t>Brecha programática:
La brecha programática se calcula según la necesidad total (línea A).</t>
  </si>
  <si>
    <t>Comments/Assumptions:
1) Specify the target geographic area.
2) Specify who are the other sources of funding.
3) Specify the number and proportion of childhood TB cases to be notified among the total notified.
4) Along with the country targets, in the comments column specify the current and targeted treatment success rate for all new TB cases over each of the three years.</t>
  </si>
  <si>
    <t>Comentarios/supuestos:
1) Especifique el área geográfica.
2) Especifique cuáles son las otras fuentes de financiamiento.
3) Especifique el número y proporción de casos de tuberculosis infantil que debe ser notificado entre el número total notificado.
4) Junto con las metas del país, especifique en la columna de comentarios la tasa de éxito del tratamiento para los casos nuevos de TB para cada uno de los tres años.</t>
  </si>
  <si>
    <t>Drug-resistant (DR)-TB diagnosis, treatment and care - DR-TB diagnosis/drug susceptibility testing (DST)</t>
  </si>
  <si>
    <t>Estimated population in need/at risk:
Refers to the number of the estimated DR-TB (RR/MDR-TB) cases among all new and retreatment cases.</t>
  </si>
  <si>
    <t xml:space="preserve">Población estimada con necesidades/en riesgo:
Se refiere al número estimado de casos de TB farmacorresistente   TB-DR (TB-RR/MDR) entre todos los casos nuevos y de retratamiento.  </t>
  </si>
  <si>
    <t>Country target:
Refers to NSP or any other latest agreed country target.
1) "#" refers to the bacteriologically confirmed drug resistant TB (DR-TB) cases (RR/MDR-TB) notified.
2) "%" refers to the percentage of DR-TB (RR/MDR-TB) cases notified as a proportion of the estimated DR-TB (RR/MDR-TB) cases among all new and retreatment cases.</t>
  </si>
  <si>
    <t>Meta del país:
Se refiere al Plan Estratégico Nacional (PEN) o a la última meta del país acordada.
1) "#" se refiere a los casos notificados de tuberculosis farmacorresistente confirmados bacteriológicamente TB-DR (TB-RR/MDR).
2) "%" se refiere al porcentaje de casos notificados de TB-DR (TB-RR/MDR) como proporción de los casos estimados de TB-DR (TB-RR/MDR) entre todos los casos nuevos y de retratamiento.</t>
  </si>
  <si>
    <t>Comentarios/supuestos:
1) Especifique el área geográfica.
2) Especifique cuáles son las otras fuentes de financiamiento.</t>
  </si>
  <si>
    <t>Comentarios/supuestos</t>
  </si>
  <si>
    <t>DR-TB diagnosis, treatment and care – DR-TB treatment, care and support</t>
  </si>
  <si>
    <t>Coverage indicator: 
Number of bacteriologically confirmed RR-TB and/or MDR-TB cases registered and started on a prescribed RR-TB and/or MDR-TB treatment regimen.</t>
  </si>
  <si>
    <t xml:space="preserve">Indicador de cobertura: 
Número de casos confirmados bacteriológicamente de TB-RR y/o TB-MDR registrados y que han comenzado un tratamiento para la TB-RR y/o TB-MDR </t>
  </si>
  <si>
    <t>A. Total estimated population in need/at risk</t>
  </si>
  <si>
    <t>A. Estimation du total de populations dans le besoin/à risque</t>
  </si>
  <si>
    <t>A. Total estimado de población con necesidades/en riesgo</t>
  </si>
  <si>
    <t xml:space="preserve">Estimated population in need/at risk:
It refers to the number of the estimated MDR/RR TB cases among all new and retreatment cases. </t>
  </si>
  <si>
    <t xml:space="preserve">Población estimada con necesidades/en riesgo:
Se refiere al número estimado de casos de TB-RR / TB-MDR entre todos los casos nuevos y de retratamiento.  </t>
  </si>
  <si>
    <r>
      <rPr>
        <sz val="11"/>
        <rFont val="Calibri"/>
        <family val="2"/>
      </rPr>
      <t>B. Cibles du pays
(à partir du plan stratégique national)</t>
    </r>
  </si>
  <si>
    <t>B. Metas del país 
(según el Plan Estratégico Nacional)</t>
  </si>
  <si>
    <t>Country target:
Refers to NSP or any other latest agreed country target.
1) "#" refers to the registered cases with DR-TB (RR/MDR-TB) to be enrolled on second-line treatment.
2) "%" refers to the DR-TB (RR/MDR-TB) cases to be enrolled on second-line treatment among the estimated MDR-TB cases in need of treatment.</t>
  </si>
  <si>
    <t>Meta del país:
Se refiere al Plan Estratégico Nacional (PEN) o a la última meta del país acordada.
1) "#" se refiere a los casos de tuberculosis farmacorresistente (TB-RR / TB-MDR) que se someterán a un tratamiento de segunda línea. 
2) "%" se refiere a los casos de TB-DR (TB-RR/MDR) que se someterán a un tratamiento de segunda línea entre los casos estimados de TB-MDR con necesidad de tratamiento.</t>
  </si>
  <si>
    <t>Country need already covered</t>
  </si>
  <si>
    <r>
      <rPr>
        <sz val="11"/>
        <rFont val="Calibri"/>
        <family val="2"/>
      </rPr>
      <t>Besoins du pays déjà couverts</t>
    </r>
  </si>
  <si>
    <t>Necesidades del país ya cubiertas</t>
  </si>
  <si>
    <t>Comments/Assumptions:
1) Specify the target geographic area.
2) Specify who are the other sources of funding.
3) Along with the country targets, in the comments column specify the current and targeted treatment success rate for all bacteriologically confirmed DR-TB cases (RR/MDR-TB) over each of the three years.</t>
  </si>
  <si>
    <t>Comentarios/supuestos:
1) Especifique el área geográfica.
2) Especifique cuáles son las otras fuentes de financiamiento.
3) Además de las metas del país, especifique en la columna de comentarios el índice de éxito del tratamiento actual y previsto para todos los nuevos casos de tuberculosis farmacorresistente TB-DR confirmados bacteriológicamente (TB-RR/MDR) en cada uno de los tres años.</t>
  </si>
  <si>
    <r>
      <rPr>
        <sz val="11"/>
        <rFont val="Calibri"/>
        <family val="2"/>
      </rPr>
      <t>C1. Besoins du pays devant être couverts par des ressources nationales</t>
    </r>
  </si>
  <si>
    <t>TB/DR-TB prevention – Screening/testing for TB infection</t>
  </si>
  <si>
    <r>
      <rPr>
        <sz val="11"/>
        <rFont val="Calibri"/>
        <family val="2"/>
      </rPr>
      <t>C2. Besoins du pays devant être couverts par des ressources extérieures</t>
    </r>
  </si>
  <si>
    <t>Coverage indicator: 
Contact investigation coverage: Proportion of contacts of people with bacteriologically-confirmed TB evaluated for TB among those eligible.</t>
  </si>
  <si>
    <t>Estimated population in need/at risk:
Refers to the estimated number of eligible contacts of bacteriologically-confirmed people with TB during the period.
Target setting for the number of household contacts per bacteriologically confirmed person with TB should be based the national policy. Population census data to estimate the size of households, Stop TB UNHLM TB Prevention targets by country, modelling exercises based on program data, etc. are available options which the country can utilize during estimation.</t>
  </si>
  <si>
    <t>Population estimée dans le besoin/à risque 
Se rapporte au nombre estimé de contacts éligibles de personnes ayant une tuberculose confirmée bactériologiquement durant la période.
La définition des cibles pour le nombre de contacts avec les ménages par personne ayant une TB confirmée bactériologiquement doit être basée sur la politique nationale. Les données du recensement de la population pour estimer la taille des ménages, les cibles par pays de prévention de la tuberculose de Stop TB UNHLM, les exercices de modélisation basés sur les données du programme, etc. sont des options disponibles que le pays peut utiliser pendant l'estimation.</t>
  </si>
  <si>
    <t>Población estimada en necesidad/en riesgo: 
Se refiere al número estimado de contactos elegibles de personas con TB confirmada bacteriológicamente durante el período. 
El establecimiento de metas para el número de contactos en el hogar por persona con TB confirmada bacteriológicamente debe basarse en la política nacional. Los datos del censo de la población para estimar el tamaño de los hogares, las metas por país de prevención de la TB de la UNHLM, Stop TB, los ejercicios de modelaje basados en los datos del programa, etc. son opciones disponibles que el país puede utilizar durante la estimación.</t>
  </si>
  <si>
    <t>Brecha programático</t>
  </si>
  <si>
    <t>Country target:
Refers to NSP or any other latest agreed country target.
1) "#" refers to the number of contacts of people with bacteriologically confirmed TB who were evaluated for TB.
2) "%" refers to the percentage of contacts of people who were evaluated among the total number of eligible contacts of people with bacteriologically confirmed TB (see above).</t>
  </si>
  <si>
    <t>Meta del país: 
Se refiere al Plan Estratégico Nacional (PEN) o a la última meta del país acordada.
1) "#" se refiere al número de contactos de personas con TB bacteriológicamente confirmada que fueron evaluadas para TB.
2) "%" se refiere al porcentaje de contactos de personas que fueron evaluadas entre el número total de contactos elegibles de personas con TB confirmada bacteriológicamente (ver arriba).</t>
  </si>
  <si>
    <t>D. Expected annual gap in meeting the need: A - C3</t>
  </si>
  <si>
    <t>D. Déficit annuel attendu par rapport aux besoins : A - C3</t>
  </si>
  <si>
    <t>D. Brecha anual previsto para cubrir las necesidades: 
A - C3</t>
  </si>
  <si>
    <t>Comments/Assumptions:
1) Specify the target geographic area.
2) Specify who are the other sources of funding.
3) Specify the number and proportion of contacts evaluated disaggregated by age (&lt;5, 5-14, 15+ years).</t>
  </si>
  <si>
    <t>Comentarios/Supuestos: 
1) Especifique el área geográfica.
2) Especifique cuales son las otras fuentes de financiamiento. 
3) Especifique el número y la proporción de contactos evaluados desagregados por edad (&lt;5, 5-14, 15+ años).</t>
  </si>
  <si>
    <t>Country need covered with the allocation amount</t>
  </si>
  <si>
    <t>TB/DR-TB prevention – Preventive treatment (eligible contacts)</t>
  </si>
  <si>
    <t>Prévention de la TB/TB pharmaco résistante – Traitement préventif (contacts éligibles)</t>
  </si>
  <si>
    <t>E. Targets to be financed by funding request allocation amount</t>
  </si>
  <si>
    <r>
      <rPr>
        <sz val="11"/>
        <rFont val="Calibri"/>
        <family val="2"/>
      </rPr>
      <t>E. Cibles devant être financées par la somme allouée suite à la demande de financement</t>
    </r>
  </si>
  <si>
    <t>E. Metas que se van a financiar con el monto asignado de la solicitud de financiamiento</t>
  </si>
  <si>
    <t>Coverage indicator: 
Number of people in contact with TB patients who began preventive therapy.</t>
  </si>
  <si>
    <t>F. Total coverage from allocation amount and other resources: E + C3</t>
  </si>
  <si>
    <t>F. Total de Couverture à partir de la somme allouée et des autres ressources : E + C3</t>
  </si>
  <si>
    <t xml:space="preserve">F. Cobertura total del monto asignado y otros recursos: E + C3 </t>
  </si>
  <si>
    <t xml:space="preserve">Estimated population in need/at risk:
Refers to the estimated number of eligible contacts of bacteriologically-confirmed people with TB initiated on TB preventive therapy after ruling out TB disease. </t>
  </si>
  <si>
    <t>Población estimada en necesidad/en riesgo: 
Se refiere al número estimado de contactos elegibles de personas con TB confirmada bacteriológicamente que iniciaron un tratamiento preventivo de TB después de descartar la TB activa.</t>
  </si>
  <si>
    <r>
      <rPr>
        <sz val="11"/>
        <rFont val="Calibri"/>
        <family val="2"/>
      </rPr>
      <t xml:space="preserve">G. Déficit restant : A - F </t>
    </r>
  </si>
  <si>
    <t xml:space="preserve">G. Brecha restante: A - F </t>
  </si>
  <si>
    <t>Country target:
Refers to NSP or any other latest agreed country target.
1) '#" refers to the number of eligible contacts of people with bacteriologically confirmed TB commenced on TB preventive therapy.
2) "%" refers to the percentage of eligible contacts of bacteriologically-confirmed people with TB who commenced TPT (see above).</t>
  </si>
  <si>
    <t>Meta del país: 
Se refiere al Plan Estratégico Nacional (PEN) o a la última meta del país acordada.
1) '#" se refiere al número de contactos elegibles de personas con TB confirmada bacteriológicamente que comenzaron el tratamiento preventivo de TB.
2) "%" se refiere al porcentaje de contactos elegibles de personas con TB confirmada bacteriológicamente que comenzaron TPT (ver arriba).</t>
  </si>
  <si>
    <t>Brecha programática: 
La brecha programática se calcula con base en la necesidad total (línea A).</t>
  </si>
  <si>
    <t>Comments/Assumptions:
1) Specify the target geographic area.
2) Specify who are the other sources of funding.
3) Specify the number and proportion of child, adolescent and adult contacts to receive TPT among the total estimated number of contacts (&lt;5, 5-14, 15+ years).</t>
  </si>
  <si>
    <t>Comentarios/supuestos: 
1) Especifique el área geográfica.
2) Especificar cuáles son las otras fuentes de financiamiento. 
3) Especificar el número y la proporción de contactos de niños, adolescentes y adultos que recibirán TPT entre el número total estimado de contactos (&lt;5, 5-14, 15+ años).</t>
  </si>
  <si>
    <t xml:space="preserve">OPTIONAL: Collaboration with other providers and sectors – Private provider engagement in TB/DR-TB care </t>
  </si>
  <si>
    <t>OPCIONAL: Colaboración con otros proveedores y sectores: participación de proveedores privados en la atención de la TB/DR-TB</t>
  </si>
  <si>
    <r>
      <rPr>
        <sz val="11"/>
        <rFont val="Calibri"/>
        <family val="2"/>
      </rPr>
      <t xml:space="preserve">Veuillez lire attentivement les consignes données dans l'onglet « Instructions » avant de compléter le tableau d'analyse des déficits programmatiques. 
Les instructions ont été adaptées à chaque module/intervention. </t>
    </r>
  </si>
  <si>
    <t xml:space="preserve">Lea detenidamente las instrucciones en la pestaña "Instrucciones" antes de completar la tabla de análisis de brecha programático. Las instrucciones se han adaptado a cada módulo o intervención específico. </t>
  </si>
  <si>
    <t>For countries with large proportion of patients seeking care in the private sector.</t>
  </si>
  <si>
    <t>Pour les pays ayant une grande proportion de patients se faisant soigner dans le secteur privé.</t>
  </si>
  <si>
    <t>Para países con una gran proporción de pacientes que buscan atención en el sector privado.</t>
  </si>
  <si>
    <r>
      <t>This sheet contains a blank table in the case where the number of tables provided in the previous sheets is not sufficient, or if the applicant wishes to submit a table for a module/intervention</t>
    </r>
    <r>
      <rPr>
        <sz val="11"/>
        <color rgb="FFFF0000"/>
        <rFont val="Arial"/>
        <family val="2"/>
      </rPr>
      <t>/indicator</t>
    </r>
    <r>
      <rPr>
        <sz val="11"/>
        <color theme="1"/>
        <rFont val="Arial"/>
        <family val="2"/>
      </rPr>
      <t xml:space="preserve"> that is not specified in the instructions.
This table is unprotected, therefore formulas in the cells can be changed if required. The table can also be copied if more than one is needed.</t>
    </r>
  </si>
  <si>
    <t>Cette feuille contient un tableau vierge qui pourra être utilisé si le nombre de tableaux figurant dans les feuilles précédentes est insuffisant ou si le candidat souhaite soumettre un tableau pour un module/une intervention/un indicateur qui n'apparaît pas dans les instructions.
Ce tableau n'est pas protégé. Les formules peuvent donc être modifiées si nécessaire. Le tableau peut également être copié si plusieurs tableaux sont nécessaires.</t>
  </si>
  <si>
    <t>Si el número de tablas incluidas en el cuaderno de Excel no es suficiente o el solicitante quiere presentar una tabla para un módulo o intervención o indicador que no aparece indicado en las instrucciones, podrá utilizar la tabla en blanco incluida en esta hoja de cálculo. Esta tabla no está protegida, por lo que se pueden modificar las fórmulas de las celdas en caso necesario. Además, es posible copiar la tabla si se necesita más de una.</t>
  </si>
  <si>
    <t xml:space="preserve">Estimated population in need/at risk:
Refers to the estimated number of TB cases that seek care in the private sector (private for-profit and not-for-profit). </t>
  </si>
  <si>
    <t>Population estimée dans le besoin /à risque 
Se rapporte au nombre estimé de cas de tuberculose qui se font soigner dans le secteur privé (privé à but lucratif et sans but lucratif).</t>
  </si>
  <si>
    <t>Población estimada en necesidad/en riesgo: 
Se refiere al número estimado de casos de TB que buscan atención en el sector privado (privado con y sin fines de lucro).</t>
  </si>
  <si>
    <t>Country target:
Refers to NSP or any other latest agreed country target.
1) "#" refers to all forms of TB cases (new and relapse) to be notified to national health authorities by the private sector (NGOs and private-for-profit providers). It includes bacteriologically confirmed plus those that are diagnosed using other tests such as X-rays (including digital X-ray, with or without CAD/AI), cytology and clinically diagnosed.
2) "%" refers to the proportion of notified cases from the private sector providers among the total number of TB cases (all forms) notified to the national health authority in the PPM/PPE implementation areas.</t>
  </si>
  <si>
    <t>Meta del país: 
Se refiere al Plan Estratégico Nacional (PEN) o a la última meta del país acordada.
1) "#" se refiere a todas las formas de casos de TB (nuevos y recidivantes) que el sector privado (ONGs y proveedores privados con fines de lucro) debe notificar a las autoridades sanitarias nacionales. Incluye los confirmados bacteriológicamente más los que se diagnostican mediante otras pruebas como rayos X (incluida la radiografía digital, con o sin CAD/AI), citología y diagnóstico clínico.
2) "%" se refiere a la proporción de casos notificados de los proveedores del sector privado entre el número total de casos de TB (todas las formas) notificados a la autoridad sanitaria nacional en las áreas de implementación del PPM/PPE.</t>
  </si>
  <si>
    <t xml:space="preserve">Country need already covered:
1) Country need already covered is broken down into need planned to be covered by domestic resources (line C1), and external resources (line C2). 
2) National private sector investments are to be included under domestic sources. 
3) In cases where part of the need during the year is covered by a current Global Fund grant (that ends prior to the start of the new implementation period), it can be included in the external resources category. </t>
  </si>
  <si>
    <t>Necesidad del país ya cubierta: 
1) La necesidad del país ya cubierta se desglosa en la necesidad que se prevé cubrir con recursos internos (línea C1) y recursos externos (línea C2). 
2) Las inversiones del sector privado nacional se incluirán en las fuentes nacionales. 
3) En los casos en que parte de la necesidad durante el año esté cubierta por una subvención actual del Fondo Mundial (que finaliza antes del inicio del nuevo período de implementación), puede incluirse en la categoría de recursos externos</t>
  </si>
  <si>
    <t>Comments/Assumptions:
1) Specify the target geographic area.
2) Specify who are the other sources of funding.
3) Along with the country targets, in the comments column specify the current and targeted treatment success rate for all new TB cases in the private sector over each of the three years.</t>
  </si>
  <si>
    <t>Comentarios/Supuestos: 
1) Especifique el área geográfica.
2) Especifique cuáles son las otras fuentes de financiamiento. 
3) Junto con las metas del país, en la columna de comentarios, especifique la tasa de éxito del tratamiento actual y objetivo para todos los casos nuevos de TB en el sector privado en cada uno de los tres años.</t>
  </si>
  <si>
    <t>OPTIONAL: Collaboration with other providers and sectors – Community-based TB/DR-TB care</t>
  </si>
  <si>
    <t>OPCIONAL: Colaboración con otros proveedores y sectores – Atención de TB/DR-TB basada en la comunidad</t>
  </si>
  <si>
    <t xml:space="preserve">Estimated population in need/at risk:
Refers to the estimated number of people with confirmed TB who were referred for diagnosis through community referrals. </t>
  </si>
  <si>
    <t>Population estimée dans le besoin /à risque 
Se rapporte au nombre estimé de cas de tuberculose confirmés qui ont été référés par les acteurs communautaires.</t>
  </si>
  <si>
    <t>Población estimada en necesidad/en riesgo: 
Se refiere al número estimado de personas con TB confirmada que fueron remitidas para diagnóstico a través de referencias comunitarias.</t>
  </si>
  <si>
    <t>Country target:
Refers to NSP or any other latest agreed country target.
1) "#" refers to the number of people with TB (all forms) i.e. bacteriologically confirmed plus clinically diagnosed referred by the community to a health facility for diagnosis.
2) "%" refers to the proportion of the total number of notified people with TB (all forms) that were referred by the community in the reporting period.</t>
  </si>
  <si>
    <t>Meta del país: 
Se refiere al Plan Estratégico Nacional (PEN) o a la última meta del país acordada.
1) "#" se refiere a la cantidad de personas con TB (todas las formas), es decir, bacteriológicamente confirmadas más clínicamente diagnosticadas referenciadas por la comunidad a un centro de salud para el diagnóstico. 
2) "%" se refiere a la proporción del número total de personas notificadas con TB (todas las formas) que fueron referenciadas por la comunidad en el período de informe.</t>
  </si>
  <si>
    <t>Programmatic gap: 
The programmatic gap is calculated based on total need (line A)</t>
  </si>
  <si>
    <t>Comentarios/supuestos: 
1) Especifique el área geográfica.
2) Especificar cuáles son las otras fuentes de financiamiento.</t>
  </si>
  <si>
    <t>Lea detenidamente la hoja de instrucciones antes de completar la tabla de análisis de brecha programático.</t>
  </si>
  <si>
    <t xml:space="preserve">Para completar la portada, seleccione la zona geográfica y el tipo de solicitante de las listas desplegables. </t>
  </si>
  <si>
    <t xml:space="preserve">Instructions for filling Tuberculosis and HIV programmatic gap tables. 
Instructions for joint TB/HIV modules are found below, under the HIV Instructions. The TB/HIV modules are found on the "TB-HIV gap tables" tab. </t>
  </si>
  <si>
    <t>Instrucciones ilustrativas para rellenar la tabla de deficiencias programáticas de Tuberculosis y VIH. 
Instrucciones para los módulos conjutos de TB/VIH se encuentran debajo, en las intrucciones para VIH. Similarmente, los módulos TB/VIH son encontrados en la pestaña llamada "HIV Tables".</t>
  </si>
  <si>
    <t>Modules</t>
  </si>
  <si>
    <t>Geography</t>
  </si>
  <si>
    <r>
      <rPr>
        <sz val="11"/>
        <rFont val="Calibri"/>
        <family val="2"/>
      </rPr>
      <t>Sélectionner…</t>
    </r>
  </si>
  <si>
    <t>Seleccione…</t>
  </si>
  <si>
    <t xml:space="preserve"> </t>
  </si>
  <si>
    <r>
      <rPr>
        <sz val="11"/>
        <color theme="1"/>
        <rFont val="Calibri"/>
        <family val="2"/>
      </rPr>
      <t>Sélectionnez votre lieu géographique…</t>
    </r>
  </si>
  <si>
    <t>Seleccione su zona geográfica</t>
  </si>
  <si>
    <r>
      <rPr>
        <sz val="11"/>
        <color theme="1"/>
        <rFont val="Calibri"/>
        <family val="2"/>
      </rPr>
      <t>Sélectionner…</t>
    </r>
  </si>
  <si>
    <t>Afghanistan</t>
  </si>
  <si>
    <t>Afganistán</t>
  </si>
  <si>
    <t>CCM</t>
  </si>
  <si>
    <r>
      <rPr>
        <sz val="11"/>
        <color theme="1"/>
        <rFont val="Calibri"/>
        <family val="2"/>
      </rPr>
      <t>ICN</t>
    </r>
  </si>
  <si>
    <t>MCP</t>
  </si>
  <si>
    <t xml:space="preserve">DR-TB diagnosis, treatment and care – DR-TB diagnosis/DST </t>
  </si>
  <si>
    <t>Diagnóstico, tratamiento y atención a la TB farmacorresistente (TB-DR) - Diagnóstico de la TB-DR / Pruebas de sensibilidad a fármacos (PSF)</t>
  </si>
  <si>
    <t>Albania</t>
  </si>
  <si>
    <t>Albanie</t>
  </si>
  <si>
    <t>non-CCM</t>
  </si>
  <si>
    <r>
      <rPr>
        <sz val="11"/>
        <color theme="1"/>
        <rFont val="Calibri"/>
        <family val="2"/>
      </rPr>
      <t>non ICN</t>
    </r>
  </si>
  <si>
    <t>entidad no vinculada a un MCP</t>
  </si>
  <si>
    <t>DR-TB diagnosis, treatment and care – DR-TB Treatment, care and support</t>
  </si>
  <si>
    <t>Número de casos confirmados bacteriológicamente de TB-RR y/o TB-MDR registrados y que han comenzado un tratamiento para la TB-RR y/o TB-MDR</t>
  </si>
  <si>
    <t>Algeria</t>
  </si>
  <si>
    <t>Algérie</t>
  </si>
  <si>
    <t>Argelia</t>
  </si>
  <si>
    <t>Andorra</t>
  </si>
  <si>
    <t>Andorre</t>
  </si>
  <si>
    <t>TB/VIH - Pacientes de tuberculosis con estado serológico respecto al VIH conocido</t>
  </si>
  <si>
    <t>Angola</t>
  </si>
  <si>
    <t>TB/HIV - TB/HIV Treatment and care</t>
  </si>
  <si>
    <t>Antigua and Barbuda</t>
  </si>
  <si>
    <t>Antigua-et-Barbuda</t>
  </si>
  <si>
    <t>Antigua y Barbuda</t>
  </si>
  <si>
    <t>Argentina</t>
  </si>
  <si>
    <t>Argentine</t>
  </si>
  <si>
    <t>TB/DR-TB prevention - Screening/testing for TB infection</t>
  </si>
  <si>
    <t>Prévention de la TB/TB pharmaco résistante – dépistage/test pour l’infection par TB</t>
  </si>
  <si>
    <t>Armenia</t>
  </si>
  <si>
    <t>Arménie</t>
  </si>
  <si>
    <t>TB/DR-TB prevention - Preventive treatment (eligible contacts)</t>
  </si>
  <si>
    <t>Aruba</t>
  </si>
  <si>
    <t>OPTIONAL: Collaboration with other providers and sectors - Private provider engagement in TB/DR-TB care</t>
  </si>
  <si>
    <t>OPCIONAL: Colaboración con otros proveedores y sectores - Participación de proveedores privados en la atención de TB/ TB-DR</t>
  </si>
  <si>
    <t>Australia</t>
  </si>
  <si>
    <t>Australie</t>
  </si>
  <si>
    <t>OPTIONAL: Collaboration with other providers and sectors - Community-based TB/DR-TB care</t>
  </si>
  <si>
    <t>OPCIONAL: Colaboración con otros proveedores y sectores - Atención comunitaria de la TB/DR-TB</t>
  </si>
  <si>
    <t>Austria</t>
  </si>
  <si>
    <t>Autriche</t>
  </si>
  <si>
    <t>Azerbaijan</t>
  </si>
  <si>
    <t>Azerbaïdjan</t>
  </si>
  <si>
    <t>Azerbaiyán</t>
  </si>
  <si>
    <t>Bahamas</t>
  </si>
  <si>
    <t>Bahamas (las)</t>
  </si>
  <si>
    <t>Bahrain</t>
  </si>
  <si>
    <t>Bahreïn</t>
  </si>
  <si>
    <t>Bahrein</t>
  </si>
  <si>
    <t>Bangladesh</t>
  </si>
  <si>
    <t>Tuberculose et VIH - Dépistage de la tuberculose parmi les patients atteints du VIH</t>
  </si>
  <si>
    <t>TB/VIH - revisión de tuberculosis en pacientes con VIH</t>
  </si>
  <si>
    <t>Barbados</t>
  </si>
  <si>
    <t>Barbade</t>
  </si>
  <si>
    <t>Tuberculose et VIH - Patients atteints de tuberculose et dont le statut sérologique vis-à-vis du VIH est connu</t>
  </si>
  <si>
    <t>Belarus</t>
  </si>
  <si>
    <t>Biélorussie</t>
  </si>
  <si>
    <t>Belarús</t>
  </si>
  <si>
    <t>Tuberculose et VIH - Patients tuberculeux séropositifs au VIH sous traitement antirétroviral</t>
  </si>
  <si>
    <t>Belgium</t>
  </si>
  <si>
    <t>Belgique</t>
  </si>
  <si>
    <t>Bélgica</t>
  </si>
  <si>
    <t xml:space="preserve">Tuberculose et VIH - Initiation du traitement préventif de la tuberculose (TPT) pour les PVVIH </t>
  </si>
  <si>
    <t>TB/VIH - Inicio de terapia preventiva para tuberculosis en personas que viven con el VIH</t>
  </si>
  <si>
    <t>Belize</t>
  </si>
  <si>
    <t>Belice</t>
  </si>
  <si>
    <t>Benin</t>
  </si>
  <si>
    <t>Bénin</t>
  </si>
  <si>
    <t>Bhutan</t>
  </si>
  <si>
    <t>Bhoutan</t>
  </si>
  <si>
    <t>Bhután</t>
  </si>
  <si>
    <t>Bolivia (Plurinational State)</t>
  </si>
  <si>
    <t>Bolivie (Etat Plurinational)</t>
  </si>
  <si>
    <t>Bolivia (Estado Plurinacional)</t>
  </si>
  <si>
    <t>Bosnia and Herzegovina</t>
  </si>
  <si>
    <t>Bosnie-Herzégovine</t>
  </si>
  <si>
    <t>Bosnia y Herzegovina</t>
  </si>
  <si>
    <t>Botswana</t>
  </si>
  <si>
    <t>Brazil</t>
  </si>
  <si>
    <t>Brésil</t>
  </si>
  <si>
    <t>Brasil</t>
  </si>
  <si>
    <t>Brunei Darussalam</t>
  </si>
  <si>
    <t>Brunéi Darussalam</t>
  </si>
  <si>
    <t>Bulgaria</t>
  </si>
  <si>
    <t>Bulgarie</t>
  </si>
  <si>
    <t>Burkina Faso</t>
  </si>
  <si>
    <t>Burundi</t>
  </si>
  <si>
    <t>Cabo Verde</t>
  </si>
  <si>
    <t>Cambodia</t>
  </si>
  <si>
    <t>Cambodge</t>
  </si>
  <si>
    <t>Camboya</t>
  </si>
  <si>
    <t>Cameroon</t>
  </si>
  <si>
    <t>Cameroun</t>
  </si>
  <si>
    <t>Camerún</t>
  </si>
  <si>
    <t>Canada</t>
  </si>
  <si>
    <t>Canadá</t>
  </si>
  <si>
    <t>Central African Republic</t>
  </si>
  <si>
    <t>République centrafricaine</t>
  </si>
  <si>
    <t>República Centroafricana</t>
  </si>
  <si>
    <t>Chad</t>
  </si>
  <si>
    <t>Tchad</t>
  </si>
  <si>
    <t>Chile</t>
  </si>
  <si>
    <t>Chili</t>
  </si>
  <si>
    <t>China</t>
  </si>
  <si>
    <t>Chine</t>
  </si>
  <si>
    <t>Colombia</t>
  </si>
  <si>
    <t>Colombie</t>
  </si>
  <si>
    <t>Comoros</t>
  </si>
  <si>
    <t>Comores</t>
  </si>
  <si>
    <t>Comoras</t>
  </si>
  <si>
    <t>Congo</t>
  </si>
  <si>
    <t>Congo (Democratic Republic)</t>
  </si>
  <si>
    <t>Congo (République démocratique)</t>
  </si>
  <si>
    <t>Congo (República Democrática)</t>
  </si>
  <si>
    <t>Cook Islands</t>
  </si>
  <si>
    <t>Îles Cook</t>
  </si>
  <si>
    <t>Islas Cook</t>
  </si>
  <si>
    <t>Costa Rica</t>
  </si>
  <si>
    <t>Côte d'Ivoire</t>
  </si>
  <si>
    <t>Croatia</t>
  </si>
  <si>
    <t>Croatie</t>
  </si>
  <si>
    <t>Croacia</t>
  </si>
  <si>
    <t>Cuba</t>
  </si>
  <si>
    <t>Curacao</t>
  </si>
  <si>
    <t>Curaçao</t>
  </si>
  <si>
    <t>Cyprus</t>
  </si>
  <si>
    <t>Chypre</t>
  </si>
  <si>
    <t>Chipre</t>
  </si>
  <si>
    <t>Czechia</t>
  </si>
  <si>
    <t>République tchèque</t>
  </si>
  <si>
    <t>República Checa</t>
  </si>
  <si>
    <t>Denmark</t>
  </si>
  <si>
    <t>Danemark</t>
  </si>
  <si>
    <t>Dinamarca</t>
  </si>
  <si>
    <t>Djibouti</t>
  </si>
  <si>
    <t>Dominica</t>
  </si>
  <si>
    <t>Dominique</t>
  </si>
  <si>
    <t>Dominican Republic</t>
  </si>
  <si>
    <t>République dominicaine</t>
  </si>
  <si>
    <t>República Dominicana</t>
  </si>
  <si>
    <t>Ecuador</t>
  </si>
  <si>
    <t>Équateur</t>
  </si>
  <si>
    <t>Egypt</t>
  </si>
  <si>
    <t>Égypte</t>
  </si>
  <si>
    <t>Egipto</t>
  </si>
  <si>
    <t>El Salvador</t>
  </si>
  <si>
    <t>Salvador</t>
  </si>
  <si>
    <t>Equatorial Guinea</t>
  </si>
  <si>
    <t>Guinée équatoriale</t>
  </si>
  <si>
    <t>Guinea Ecuatorial</t>
  </si>
  <si>
    <t>Eritrea</t>
  </si>
  <si>
    <t>Érythrée</t>
  </si>
  <si>
    <t>Estonia</t>
  </si>
  <si>
    <t>Estonie</t>
  </si>
  <si>
    <t>Eswatini</t>
  </si>
  <si>
    <t>Ethiopia</t>
  </si>
  <si>
    <t>Éthiopie</t>
  </si>
  <si>
    <t>Etiopía</t>
  </si>
  <si>
    <t>Faeroe Islands</t>
  </si>
  <si>
    <t>Îles Féroé</t>
  </si>
  <si>
    <t>Islas Feroe</t>
  </si>
  <si>
    <t>Fiji</t>
  </si>
  <si>
    <t>Fidji</t>
  </si>
  <si>
    <t>Finland</t>
  </si>
  <si>
    <t>Finlande</t>
  </si>
  <si>
    <t>Finlandia</t>
  </si>
  <si>
    <t>France</t>
  </si>
  <si>
    <t>Francia</t>
  </si>
  <si>
    <t>Gabon</t>
  </si>
  <si>
    <t>Gabón</t>
  </si>
  <si>
    <t>Gambia</t>
  </si>
  <si>
    <t>Gambie</t>
  </si>
  <si>
    <t>Georgia</t>
  </si>
  <si>
    <t>Géorgie</t>
  </si>
  <si>
    <t>Germany</t>
  </si>
  <si>
    <t>Allemagne</t>
  </si>
  <si>
    <t>Alemania</t>
  </si>
  <si>
    <t>Ghana</t>
  </si>
  <si>
    <t>Greece</t>
  </si>
  <si>
    <t>Grèce</t>
  </si>
  <si>
    <t>Grecia</t>
  </si>
  <si>
    <t>Greenland</t>
  </si>
  <si>
    <t>Groenland</t>
  </si>
  <si>
    <t>Groenlandia</t>
  </si>
  <si>
    <t>Grenada</t>
  </si>
  <si>
    <t>Grenade</t>
  </si>
  <si>
    <t>Granada</t>
  </si>
  <si>
    <t>Guatemala</t>
  </si>
  <si>
    <t>Guinea</t>
  </si>
  <si>
    <t>Guinée</t>
  </si>
  <si>
    <t>Guinea-Bissau</t>
  </si>
  <si>
    <t>Guinée-Bissau</t>
  </si>
  <si>
    <t>Guinea Bissau</t>
  </si>
  <si>
    <t>Guyana</t>
  </si>
  <si>
    <t>Haiti</t>
  </si>
  <si>
    <t>Haïti</t>
  </si>
  <si>
    <t>Haití</t>
  </si>
  <si>
    <t>Holy See</t>
  </si>
  <si>
    <t>Saint-Siège (Vatican)</t>
  </si>
  <si>
    <t>Santa Sede</t>
  </si>
  <si>
    <t>Honduras</t>
  </si>
  <si>
    <t>Hungary</t>
  </si>
  <si>
    <t>Hongrie</t>
  </si>
  <si>
    <t>Hungría</t>
  </si>
  <si>
    <t>Iceland</t>
  </si>
  <si>
    <t>Islande</t>
  </si>
  <si>
    <t>Islandia</t>
  </si>
  <si>
    <t>India</t>
  </si>
  <si>
    <t>Inde</t>
  </si>
  <si>
    <t>Indonesia</t>
  </si>
  <si>
    <t>Indonésie</t>
  </si>
  <si>
    <t>Iran (Islamic Republic)</t>
  </si>
  <si>
    <t>Iran</t>
  </si>
  <si>
    <t>Irán (República Islámica)</t>
  </si>
  <si>
    <t>Iraq</t>
  </si>
  <si>
    <t>Irak</t>
  </si>
  <si>
    <t>Ireland</t>
  </si>
  <si>
    <t>Irlande</t>
  </si>
  <si>
    <t>Irlanda</t>
  </si>
  <si>
    <t>Israel</t>
  </si>
  <si>
    <t>Israël</t>
  </si>
  <si>
    <t>Italy</t>
  </si>
  <si>
    <t>Italie</t>
  </si>
  <si>
    <t>Italia</t>
  </si>
  <si>
    <t>Jamaica</t>
  </si>
  <si>
    <t>Jamaïque</t>
  </si>
  <si>
    <t>Japan</t>
  </si>
  <si>
    <t>Japon</t>
  </si>
  <si>
    <t>Japón</t>
  </si>
  <si>
    <t>Jordan</t>
  </si>
  <si>
    <t>Jordanie</t>
  </si>
  <si>
    <t>Jordania</t>
  </si>
  <si>
    <t>Kazakhstan</t>
  </si>
  <si>
    <t>Kazajstán</t>
  </si>
  <si>
    <t>Kenya</t>
  </si>
  <si>
    <t>Kiribati</t>
  </si>
  <si>
    <t>Korea (Democratic Peoples Republic)</t>
  </si>
  <si>
    <t>Corée du Nord</t>
  </si>
  <si>
    <t>Corea (República Popular Democrática)</t>
  </si>
  <si>
    <t>Korea (Republic)</t>
  </si>
  <si>
    <t>Corée du Sud</t>
  </si>
  <si>
    <t>Corea (lRepública)</t>
  </si>
  <si>
    <t>Kosovo</t>
  </si>
  <si>
    <t>Kuwait</t>
  </si>
  <si>
    <t>Koweït</t>
  </si>
  <si>
    <t>Kyrgyzstan</t>
  </si>
  <si>
    <t>Kirghizistan</t>
  </si>
  <si>
    <t>Kirguistán</t>
  </si>
  <si>
    <t>Lao (Peoples Democratic Republic)</t>
  </si>
  <si>
    <t>Laos</t>
  </si>
  <si>
    <t>Lao, (República Democrática Popular)</t>
  </si>
  <si>
    <t>Latvia</t>
  </si>
  <si>
    <t>Lettonie</t>
  </si>
  <si>
    <t>Letonia</t>
  </si>
  <si>
    <t>Lebanon</t>
  </si>
  <si>
    <t>Liban</t>
  </si>
  <si>
    <t>Líbano</t>
  </si>
  <si>
    <t>Lesotho</t>
  </si>
  <si>
    <t>Liberia</t>
  </si>
  <si>
    <t>Libya</t>
  </si>
  <si>
    <t>Libye</t>
  </si>
  <si>
    <t>Libia</t>
  </si>
  <si>
    <t>Liechtenstein</t>
  </si>
  <si>
    <t>Lithuania</t>
  </si>
  <si>
    <t>Lituanie</t>
  </si>
  <si>
    <t>Lituania</t>
  </si>
  <si>
    <t>Luxembourg</t>
  </si>
  <si>
    <t>Luxemburgo</t>
  </si>
  <si>
    <t>Madagascar</t>
  </si>
  <si>
    <t>Malawi</t>
  </si>
  <si>
    <t>Malaysia</t>
  </si>
  <si>
    <t>Malaisie</t>
  </si>
  <si>
    <t>Malasia</t>
  </si>
  <si>
    <t>Maldives</t>
  </si>
  <si>
    <t>Maldivas</t>
  </si>
  <si>
    <t>Mali</t>
  </si>
  <si>
    <t>Malí</t>
  </si>
  <si>
    <t>Malta</t>
  </si>
  <si>
    <t>Malte</t>
  </si>
  <si>
    <t>Marshall Islands</t>
  </si>
  <si>
    <t>Îles Marshall</t>
  </si>
  <si>
    <t>Islas Marshall</t>
  </si>
  <si>
    <t>Mauritania</t>
  </si>
  <si>
    <t>Mauritanie</t>
  </si>
  <si>
    <t>Mauritius</t>
  </si>
  <si>
    <t>Maurice</t>
  </si>
  <si>
    <t>Mauricio</t>
  </si>
  <si>
    <t>Mexico</t>
  </si>
  <si>
    <t>Mexique</t>
  </si>
  <si>
    <t>México</t>
  </si>
  <si>
    <t>Micronesia (Federated States)</t>
  </si>
  <si>
    <t>Micronésie</t>
  </si>
  <si>
    <t>Micronesia (Estados Federados)</t>
  </si>
  <si>
    <t>Moldova</t>
  </si>
  <si>
    <t>Moldavie</t>
  </si>
  <si>
    <t>Moldova (lRepública)</t>
  </si>
  <si>
    <t>Monaco</t>
  </si>
  <si>
    <t>Mónaco</t>
  </si>
  <si>
    <t>Mongolia</t>
  </si>
  <si>
    <t>Mongolie</t>
  </si>
  <si>
    <t>Montenegro</t>
  </si>
  <si>
    <t>Monténégro</t>
  </si>
  <si>
    <t>Morocco</t>
  </si>
  <si>
    <t>Maroc</t>
  </si>
  <si>
    <t>Marruecos</t>
  </si>
  <si>
    <t>Mozambique</t>
  </si>
  <si>
    <t>Myanmar</t>
  </si>
  <si>
    <t>Birmanie</t>
  </si>
  <si>
    <t>Namibia</t>
  </si>
  <si>
    <t>Namibie</t>
  </si>
  <si>
    <t>Nauru</t>
  </si>
  <si>
    <t>Nepal</t>
  </si>
  <si>
    <t>Népal</t>
  </si>
  <si>
    <t>Netherlands</t>
  </si>
  <si>
    <t>Pays-Bas</t>
  </si>
  <si>
    <t>Países Bajos</t>
  </si>
  <si>
    <t>New Zealand</t>
  </si>
  <si>
    <t>Nouvelle-Zélande</t>
  </si>
  <si>
    <t>Nueva Zelandia</t>
  </si>
  <si>
    <t>Nicaragua</t>
  </si>
  <si>
    <t>Niger</t>
  </si>
  <si>
    <t>Níger</t>
  </si>
  <si>
    <t>Nigeria</t>
  </si>
  <si>
    <t>Niue</t>
  </si>
  <si>
    <t>North Macedonia</t>
  </si>
  <si>
    <t>Macédoine du Nord</t>
  </si>
  <si>
    <t>Macedonia del Norte</t>
  </si>
  <si>
    <t>Norway</t>
  </si>
  <si>
    <t>Norvège</t>
  </si>
  <si>
    <t>Noruega</t>
  </si>
  <si>
    <t>Oman</t>
  </si>
  <si>
    <t>Omán</t>
  </si>
  <si>
    <t>Pakistan</t>
  </si>
  <si>
    <t>Pakistán</t>
  </si>
  <si>
    <t>Palau</t>
  </si>
  <si>
    <t>Palaos</t>
  </si>
  <si>
    <t>Palestine</t>
  </si>
  <si>
    <t>Palestina (Estado)</t>
  </si>
  <si>
    <t>Panama</t>
  </si>
  <si>
    <t>Panamá</t>
  </si>
  <si>
    <t>Papua New Guinea</t>
  </si>
  <si>
    <t>Papouasie-Nouvelle-Guinée</t>
  </si>
  <si>
    <t>Papua Nueva Guinea</t>
  </si>
  <si>
    <t>Paraguay</t>
  </si>
  <si>
    <t>Peru</t>
  </si>
  <si>
    <t>Pérou</t>
  </si>
  <si>
    <t>Perú</t>
  </si>
  <si>
    <t>Philippines</t>
  </si>
  <si>
    <t>Filipinas</t>
  </si>
  <si>
    <t>Poland</t>
  </si>
  <si>
    <t>Pologne</t>
  </si>
  <si>
    <t>Polonia</t>
  </si>
  <si>
    <t>Portugal</t>
  </si>
  <si>
    <t>Qatar</t>
  </si>
  <si>
    <t>Romania</t>
  </si>
  <si>
    <t>Roumanie</t>
  </si>
  <si>
    <t>Rumania</t>
  </si>
  <si>
    <t>Russian Federation</t>
  </si>
  <si>
    <t>Russie</t>
  </si>
  <si>
    <t>Rusia (Federación)</t>
  </si>
  <si>
    <t>Rwanda</t>
  </si>
  <si>
    <t>Saint Kitts and Nevis</t>
  </si>
  <si>
    <t>Saint-Christophe-et-Niévès</t>
  </si>
  <si>
    <t>Saint Kitts y Nevis</t>
  </si>
  <si>
    <t>Saint Lucia</t>
  </si>
  <si>
    <t>Sainte-Lucie</t>
  </si>
  <si>
    <t>Santa Lucía</t>
  </si>
  <si>
    <t>Saint Vincent and Grenadines</t>
  </si>
  <si>
    <t>Saint-Vincent-et-les Grenadines</t>
  </si>
  <si>
    <t>San Vicente y las Granadinas</t>
  </si>
  <si>
    <t>Samoa</t>
  </si>
  <si>
    <t>San Marino</t>
  </si>
  <si>
    <t>Saint-Marin</t>
  </si>
  <si>
    <t>Sao Tome and Principe</t>
  </si>
  <si>
    <t>Sao Tomé-et-Principe</t>
  </si>
  <si>
    <t>Santo Tomé y Príncipe</t>
  </si>
  <si>
    <t>Saudi Arabia</t>
  </si>
  <si>
    <t>Arabie saoudite</t>
  </si>
  <si>
    <t>Arabia Saudita</t>
  </si>
  <si>
    <t>Senegal</t>
  </si>
  <si>
    <t>Sénégal</t>
  </si>
  <si>
    <t>Serbia</t>
  </si>
  <si>
    <t>Serbie</t>
  </si>
  <si>
    <t>Seychelles</t>
  </si>
  <si>
    <t>Sierra Leone</t>
  </si>
  <si>
    <t>Sierra leona</t>
  </si>
  <si>
    <t>Singapore</t>
  </si>
  <si>
    <t>Singapour</t>
  </si>
  <si>
    <t>Singapur</t>
  </si>
  <si>
    <t>Sint Maarten (Dutch part)</t>
  </si>
  <si>
    <t>Sint Maarten</t>
  </si>
  <si>
    <t>Sint Maarten (parte neerlandesa)</t>
  </si>
  <si>
    <t>Slovakia</t>
  </si>
  <si>
    <t>Slovaquie</t>
  </si>
  <si>
    <t>Eslovaquia</t>
  </si>
  <si>
    <t>Slovenia</t>
  </si>
  <si>
    <t>Slovénie</t>
  </si>
  <si>
    <t>Eslovenia</t>
  </si>
  <si>
    <t>Solomon Islands</t>
  </si>
  <si>
    <t>Salomon</t>
  </si>
  <si>
    <t>Islas Salomón</t>
  </si>
  <si>
    <t>Somalia</t>
  </si>
  <si>
    <t>Somalie</t>
  </si>
  <si>
    <t>South Africa</t>
  </si>
  <si>
    <t>Afrique du Sud</t>
  </si>
  <si>
    <t>Sudáfrica</t>
  </si>
  <si>
    <t>South Sudan</t>
  </si>
  <si>
    <t>Soudan du Sud</t>
  </si>
  <si>
    <t>Sudán del Sur</t>
  </si>
  <si>
    <t>Spain</t>
  </si>
  <si>
    <t>Espagne</t>
  </si>
  <si>
    <t>España</t>
  </si>
  <si>
    <t>Sri Lanka</t>
  </si>
  <si>
    <t>Sudan</t>
  </si>
  <si>
    <t>Soudan</t>
  </si>
  <si>
    <t>Sudán</t>
  </si>
  <si>
    <t>Suriname</t>
  </si>
  <si>
    <t>Sweden</t>
  </si>
  <si>
    <t>Suède</t>
  </si>
  <si>
    <t>Suecia</t>
  </si>
  <si>
    <t>Switzerland</t>
  </si>
  <si>
    <t>Suisse</t>
  </si>
  <si>
    <t>Suiza</t>
  </si>
  <si>
    <t>Syrian Arab Republic</t>
  </si>
  <si>
    <t>Syrie</t>
  </si>
  <si>
    <t>Siria (República Árabe)</t>
  </si>
  <si>
    <t>Taiwan</t>
  </si>
  <si>
    <t>Taïwan</t>
  </si>
  <si>
    <t>Taiwán</t>
  </si>
  <si>
    <t>Tajikistan</t>
  </si>
  <si>
    <t>Tadjikistan</t>
  </si>
  <si>
    <t>Tayikistán</t>
  </si>
  <si>
    <t>Tanzania (United Republic)</t>
  </si>
  <si>
    <t>Tanzanie (République Unie)</t>
  </si>
  <si>
    <t>Tanzania (República Unida)</t>
  </si>
  <si>
    <t>Thailand</t>
  </si>
  <si>
    <t>Thaïlande</t>
  </si>
  <si>
    <t>Tailandia</t>
  </si>
  <si>
    <t>Timor-Leste</t>
  </si>
  <si>
    <t>Timor oriental</t>
  </si>
  <si>
    <t>Togo</t>
  </si>
  <si>
    <t>Tokelau</t>
  </si>
  <si>
    <t>Tonga</t>
  </si>
  <si>
    <t>Trinidad and Tobago</t>
  </si>
  <si>
    <t>Trinité-et-Tobago</t>
  </si>
  <si>
    <t>Trinidad y Tabago</t>
  </si>
  <si>
    <t>Tunisia</t>
  </si>
  <si>
    <t>Tunisie</t>
  </si>
  <si>
    <t>Túnez</t>
  </si>
  <si>
    <t>Turkey</t>
  </si>
  <si>
    <t>Turquie</t>
  </si>
  <si>
    <t>Turquía</t>
  </si>
  <si>
    <t>Turkmenistan</t>
  </si>
  <si>
    <t>Turkménistan</t>
  </si>
  <si>
    <t>Turkmenistán</t>
  </si>
  <si>
    <t>Tuvalu</t>
  </si>
  <si>
    <t>Uganda</t>
  </si>
  <si>
    <t>Ouganda</t>
  </si>
  <si>
    <t>Ukraine</t>
  </si>
  <si>
    <t>Ucrania</t>
  </si>
  <si>
    <t>United Arab Emirates</t>
  </si>
  <si>
    <t>Émirats arabes unis</t>
  </si>
  <si>
    <t>Emiratos Árabes Unidos</t>
  </si>
  <si>
    <t>United Kingdom</t>
  </si>
  <si>
    <t>Royaume-Uni</t>
  </si>
  <si>
    <t>Reino Unido de Gran Bretaña e Irlanda del Norte</t>
  </si>
  <si>
    <t>United States</t>
  </si>
  <si>
    <t>États-Unis</t>
  </si>
  <si>
    <t>Estados Unidos de América</t>
  </si>
  <si>
    <t>Uruguay</t>
  </si>
  <si>
    <t>Uzbekistan</t>
  </si>
  <si>
    <t>Ouzbékistan</t>
  </si>
  <si>
    <t>Uzbekistán</t>
  </si>
  <si>
    <t>Vanuatu</t>
  </si>
  <si>
    <t>Venezuela</t>
  </si>
  <si>
    <t>Viet Nam</t>
  </si>
  <si>
    <t>Viêt Nam</t>
  </si>
  <si>
    <t>Western Sahara</t>
  </si>
  <si>
    <t>Sahara occidental</t>
  </si>
  <si>
    <t>Sahara Occidental</t>
  </si>
  <si>
    <t>Yemen</t>
  </si>
  <si>
    <t>Yémen</t>
  </si>
  <si>
    <t>Zambia</t>
  </si>
  <si>
    <t>Zambie</t>
  </si>
  <si>
    <t>Zimbabwe</t>
  </si>
  <si>
    <t>Zanzibar</t>
  </si>
  <si>
    <t>Wallis and Futuna Islands</t>
  </si>
  <si>
    <t>Seleccione su zona geográfica…</t>
  </si>
  <si>
    <t>Entidad no vinculada a un MCP</t>
  </si>
  <si>
    <r>
      <t xml:space="preserve">Treatment Care and Support_Differentiated ART Service Delivery </t>
    </r>
    <r>
      <rPr>
        <sz val="11"/>
        <color rgb="FFFF0000"/>
        <rFont val="Calibri"/>
        <family val="2"/>
        <scheme val="minor"/>
      </rPr>
      <t>and care</t>
    </r>
  </si>
  <si>
    <t>Traitement prise en charge et soutien_Prestation de services et prise en charge différenciées pour les traitements antirétroviraux</t>
  </si>
  <si>
    <r>
      <t xml:space="preserve">Tratamiento atención y apoyo_Prestación de servicios diferenciados </t>
    </r>
    <r>
      <rPr>
        <sz val="11"/>
        <color rgb="FFFF0000"/>
        <rFont val="Calibri"/>
        <family val="2"/>
        <scheme val="minor"/>
      </rPr>
      <t>atención y</t>
    </r>
    <r>
      <rPr>
        <sz val="11"/>
        <rFont val="Calibri"/>
        <family val="2"/>
        <scheme val="minor"/>
      </rPr>
      <t xml:space="preserve"> tratamiento antirretroviral</t>
    </r>
  </si>
  <si>
    <t>Percentage of people living with HIV currently receiving antiretroviral therapy</t>
  </si>
  <si>
    <t>Pourcentage de personnes vivant avec le VIH bénéficiant actuellement d'un traitement antirétroviral</t>
  </si>
  <si>
    <t>Porcentaje de personas que viven con el VIH que actualmente reciben tratamiento antirretroviral</t>
  </si>
  <si>
    <t>PMTCT</t>
  </si>
  <si>
    <t>PTMI</t>
  </si>
  <si>
    <t>TB/HIV - TB screening among HIV patients</t>
  </si>
  <si>
    <t xml:space="preserve">Percentage of people living with HIV newly initiated on ART who were screened for TB </t>
  </si>
  <si>
    <t>TB/HIV- TB patients with known HIV status</t>
  </si>
  <si>
    <t>pacientes de tuberculosis con estado serológico respecto al VIH conocido</t>
  </si>
  <si>
    <t>TB/HIV- HIV positive TB patients on ART</t>
  </si>
  <si>
    <t>pacientes seropositivos con tuberculosis que reciben tratamiento antiretroviral</t>
  </si>
  <si>
    <t xml:space="preserve">TB/HIV- TPT initiation among PLHIV </t>
  </si>
  <si>
    <t>Percentage of people living with HIV currently enrolled on antiretroviral therapy who started TB preventive treatment (TPT) during the reporting period</t>
  </si>
  <si>
    <t>Prevention programs for key populations_defined package of services</t>
  </si>
  <si>
    <t>Programmes de prévention pour les populations clés_Paquet de services définis</t>
  </si>
  <si>
    <t>Programas de prevención destinados a las poblaciones clave. Paquete definido de servicios</t>
  </si>
  <si>
    <t>Pourcentage de personnes appartenant aux populations clés atteintes par des programmes de prévention - paquet de services définis</t>
  </si>
  <si>
    <t>Differentiated HIV Testing Services</t>
  </si>
  <si>
    <t xml:space="preserve">Services de dépistage différenciés du VIH </t>
  </si>
  <si>
    <t xml:space="preserve">Servicios diferenciados de pruebas del VIH </t>
  </si>
  <si>
    <t xml:space="preserve">Percentage of the key population that have received an HIV test during the reporting period and who know their results </t>
  </si>
  <si>
    <t xml:space="preserve">Pourcentage de personnes appartenant aux populations clés, qui ont effectué un test VIH durant la période de rapportage et qui connaissent leur résultat </t>
  </si>
  <si>
    <t xml:space="preserve">Porcentaje de poblaciones clave que se han sometido a una prueba del VIH durante el período de reporte y que conocen sus resultados </t>
  </si>
  <si>
    <t>Prevention programs for PWID and their partners_Needle and syringe distribution</t>
  </si>
  <si>
    <t>Programmes de prévention destinés aux usagers de drogues injectables et à leurs partenaires_Programmes liés aux aiguilles et de seringues</t>
  </si>
  <si>
    <t>Programas de prevención integral para personas que se inyectan drogas y sus parejas_Programas de agujas y jeringuillas</t>
  </si>
  <si>
    <t xml:space="preserve">Percentage of PWID reached with needle and syringe programs </t>
  </si>
  <si>
    <t xml:space="preserve">Pourcentage de personnes qui s'injectent des drogues atteintes par des programmes de distribution d'aiguilles et de seringues </t>
  </si>
  <si>
    <t xml:space="preserve">Porcentaje de usuarios de drogas inyectables cubiertos por programas de intercambio de agujas y jeringas </t>
  </si>
  <si>
    <t>Prevention programs for PWID and their partners_OST and other drug dependence treatment for PWIDs</t>
  </si>
  <si>
    <t>Programmes de prévention destinés aux usagers de drogues injectables et à leurs partenaires_Traitements de substitution aux opiacés et autres traitements de la dépendance pour les usagers de drogues injectables</t>
  </si>
  <si>
    <t>Programas de prevención integral para personas que se inyectan drogas y sus parejas_Terapia de sustitución de opiáceos y otros tratamientos para la drogodependencia de personas que se inyectan drogas</t>
  </si>
  <si>
    <t>Elimination of vertical transmission of HIV, syphilis and hepatitis B</t>
  </si>
  <si>
    <t>Élimination de la transmission verticale du VIH, de la syphilis et de l'hépatite B</t>
  </si>
  <si>
    <t>Eliminación de la transmisión maternoinfantil del VIH, la sífilis y la hepatitis B</t>
  </si>
  <si>
    <t>Adult living with HIV (15 and above)</t>
  </si>
  <si>
    <t>Adultes vivants avec le VIH (15 ans et plus)</t>
  </si>
  <si>
    <t>Adultos viviendo con VIH (15 años o más)</t>
  </si>
  <si>
    <t>Children living with HIV (under 15)</t>
  </si>
  <si>
    <t>Enfants vivants avec le VIH (moins de 15)</t>
  </si>
  <si>
    <t>Niños viviendo con VIH (menores de 15 años)</t>
  </si>
  <si>
    <t>All people living with HIV</t>
  </si>
  <si>
    <t>Toutes les personnes vivants avec le VIH</t>
  </si>
  <si>
    <t>Todas las personas viviendo con VIH</t>
  </si>
  <si>
    <r>
      <rPr>
        <b/>
        <sz val="11"/>
        <color theme="1"/>
        <rFont val="Calibri"/>
        <family val="2"/>
      </rPr>
      <t>PTME</t>
    </r>
  </si>
  <si>
    <t>pregnant women</t>
  </si>
  <si>
    <t>femmes enceintes</t>
  </si>
  <si>
    <t>mujeres embarazadas</t>
  </si>
  <si>
    <r>
      <rPr>
        <b/>
        <sz val="11"/>
        <color theme="1"/>
        <rFont val="Calibri"/>
        <family val="2"/>
      </rPr>
      <t>Interventions conjointes TB.VIH_Dépistage de la tuberculose chez les patients séropositifs au VIH</t>
    </r>
  </si>
  <si>
    <t>Intervenciones conjuntas de tuberculosis y VIH. Revisión de tuberculosis en pacientes con VIH</t>
  </si>
  <si>
    <t>non-specified population</t>
  </si>
  <si>
    <t>population non spécifiée</t>
  </si>
  <si>
    <t>población no específica</t>
  </si>
  <si>
    <t>TB.HIV collaborative interventions_TB patients with known HIV status</t>
  </si>
  <si>
    <r>
      <rPr>
        <b/>
        <sz val="11"/>
        <color theme="1"/>
        <rFont val="Calibri"/>
        <family val="2"/>
      </rPr>
      <t>Interventions conjointes TB.VIH_Patients tuberculeux dont le statut sérologique vis-à-vis du VIH est connu</t>
    </r>
  </si>
  <si>
    <t>Intervenciones conjuntas de tuberculosis y VIH. Pacientes de tuberculosis con estado serológico respecto al VIH conocido</t>
  </si>
  <si>
    <t>TB.HIV collaborative interventions_HIV positive TB patients on ART</t>
  </si>
  <si>
    <r>
      <rPr>
        <b/>
        <sz val="11"/>
        <color theme="1"/>
        <rFont val="Calibri"/>
        <family val="2"/>
      </rPr>
      <t>Interventions conjointes TB.VIH_Patients tuberculeux séropositifs au VIH sous TAR</t>
    </r>
  </si>
  <si>
    <t>Intervenciones conjuntas de tuberculosis y VIH. Pacientes seropositivos con tuberculosis que reciben tratamiento antirretroviral</t>
  </si>
  <si>
    <t>IntervencionescolaborativasdetuberculosisyVIH_Pacientesseropositivoscontuberculoisquerecibentratamientoantirretroviral</t>
  </si>
  <si>
    <t>Intervenciones colaborativas de tuberculosis y VIH_Pacientes seropositivos con tuberculosis que reciben tratamiento antirretroviral</t>
  </si>
  <si>
    <t>TB.HIV collaborative interventions_TPT inititation among PLHIV</t>
  </si>
  <si>
    <t xml:space="preserve">Interventions conjointes TB.VIH_Initiation du traitement préventif de la tuberculose (TPT) pour les PVVIH </t>
  </si>
  <si>
    <t>Intervenciones conjuntas de tuberculosis y VIH. Inicio de terapia preventiva para tuberculosis en personas que viven con el VIH</t>
  </si>
  <si>
    <r>
      <rPr>
        <b/>
        <sz val="11"/>
        <color theme="1"/>
        <rFont val="Calibri"/>
        <family val="2"/>
      </rPr>
      <t>Programmes de prévention pour les populations clés_Ensemble défini de services</t>
    </r>
  </si>
  <si>
    <t>men who have sex with men</t>
  </si>
  <si>
    <r>
      <rPr>
        <sz val="11"/>
        <color theme="1"/>
        <rFont val="Calibri"/>
        <family val="2"/>
      </rPr>
      <t>hommes ayant des rapports sexuels avec des hommes (HSH)</t>
    </r>
  </si>
  <si>
    <t>hombres que tienen relaciones sexuales con hombres</t>
  </si>
  <si>
    <t>sex workers and their clients</t>
  </si>
  <si>
    <r>
      <rPr>
        <sz val="11"/>
        <color theme="1"/>
        <rFont val="Calibri"/>
        <family val="2"/>
      </rPr>
      <t>professionnel(le)s du sexe et leurs clients</t>
    </r>
  </si>
  <si>
    <t>trabajadores del sexo y sus clientes</t>
  </si>
  <si>
    <t>transgender people</t>
  </si>
  <si>
    <r>
      <rPr>
        <sz val="11"/>
        <color theme="1"/>
        <rFont val="Calibri"/>
        <family val="2"/>
      </rPr>
      <t>personnes transgenres (TG)</t>
    </r>
  </si>
  <si>
    <t>personas transgénero</t>
  </si>
  <si>
    <t>people in prisons and other closed settings</t>
  </si>
  <si>
    <t>personnes incarcérées ou se trouvant dans d'autres lieux fermés</t>
  </si>
  <si>
    <t>personas en las prisiones y en otros entornos de reclusión</t>
  </si>
  <si>
    <t>adolescent girls and young women in high prevalence settings</t>
  </si>
  <si>
    <t>adolescentes et jeunes femmes dans des contextes à forte prévalence</t>
  </si>
  <si>
    <r>
      <rPr>
        <sz val="11"/>
        <color rgb="FFFF0000"/>
        <rFont val="Calibri"/>
        <family val="2"/>
        <scheme val="minor"/>
      </rPr>
      <t>las</t>
    </r>
    <r>
      <rPr>
        <sz val="11"/>
        <color theme="1"/>
        <rFont val="Calibri"/>
        <family val="2"/>
        <scheme val="minor"/>
      </rPr>
      <t xml:space="preserve"> adolescentes y </t>
    </r>
    <r>
      <rPr>
        <sz val="11"/>
        <color rgb="FFFF0000"/>
        <rFont val="Calibri"/>
        <family val="2"/>
        <scheme val="minor"/>
      </rPr>
      <t>mujeres</t>
    </r>
    <r>
      <rPr>
        <sz val="11"/>
        <color theme="1"/>
        <rFont val="Calibri"/>
        <family val="2"/>
        <scheme val="minor"/>
      </rPr>
      <t xml:space="preserve"> jóvenes </t>
    </r>
    <r>
      <rPr>
        <sz val="11"/>
        <color rgb="FFFF0000"/>
        <rFont val="Calibri"/>
        <family val="2"/>
        <scheme val="minor"/>
      </rPr>
      <t>en entornos de alta prevalencia</t>
    </r>
  </si>
  <si>
    <t>men in high prevalence settings</t>
  </si>
  <si>
    <t>hommes dans des contextes à forte prévalence</t>
  </si>
  <si>
    <t>hombres en entornos de alta prevalencia</t>
  </si>
  <si>
    <t>non-specified population groups</t>
  </si>
  <si>
    <t>groupes de population non spécifiés</t>
  </si>
  <si>
    <t>grupos de población no específicos</t>
  </si>
  <si>
    <t>other vulnerable populations - please specify in the comments</t>
  </si>
  <si>
    <r>
      <rPr>
        <sz val="11"/>
        <color theme="1"/>
        <rFont val="Calibri"/>
        <family val="2"/>
      </rPr>
      <t>autres populations vulnérables - à préciser dans les observations</t>
    </r>
  </si>
  <si>
    <r>
      <t xml:space="preserve">otras poblaciones vulnerables </t>
    </r>
    <r>
      <rPr>
        <sz val="11"/>
        <color theme="1"/>
        <rFont val="Calibri"/>
        <family val="2"/>
        <scheme val="minor"/>
      </rPr>
      <t xml:space="preserve"> - especifique cuáles en los comentarios</t>
    </r>
  </si>
  <si>
    <t>Services de dépistage différenciés du VIH</t>
  </si>
  <si>
    <t>Servicios diferenciados de pruebas de VIH</t>
  </si>
  <si>
    <t>partners of people living with HIV</t>
  </si>
  <si>
    <t>partenaires de personnes vivants avec le VIH</t>
  </si>
  <si>
    <t>parejas de personas viviendo con el VIH</t>
  </si>
  <si>
    <t>otras poblaciones vulnerables  - especifique cuáles en los comentarios</t>
  </si>
  <si>
    <t>Programmes de prévention pour les personnes qui s'injectent des drogues et leurs partenaires_Distribution d'aiguilles et de seringues</t>
  </si>
  <si>
    <t>Programas de prevención para usuarios de drogas inyectables y sus parejas. Distribución de agujas y jeringuillas</t>
  </si>
  <si>
    <t>Prevention programs for PWID and their partners_ OST and other drug dependence treatment for PWIDs</t>
  </si>
  <si>
    <r>
      <rPr>
        <b/>
        <sz val="11"/>
        <color theme="1"/>
        <rFont val="Calibri"/>
        <family val="2"/>
      </rPr>
      <t>Programmes de prévention pour les CDI et leurs partenaires_TSO et autres traitements contre la dépendance aux drogues pour les CDI</t>
    </r>
  </si>
  <si>
    <t>Programas de prevención para usuarios de drogas inyectables y sus parejas. Terapia de sustitución con opiáceos y otros tratamientos de la drogodependencia para usuarios de drogas inyectables</t>
  </si>
  <si>
    <t>customized</t>
  </si>
  <si>
    <r>
      <rPr>
        <i/>
        <sz val="11"/>
        <color theme="1"/>
        <rFont val="Calibri"/>
        <family val="2"/>
      </rPr>
      <t>personnalisé</t>
    </r>
  </si>
  <si>
    <t>adaptado</t>
  </si>
  <si>
    <r>
      <t xml:space="preserve">Priority modules for HIV: Prevention programs for </t>
    </r>
    <r>
      <rPr>
        <sz val="11"/>
        <color rgb="FFFF0000"/>
        <rFont val="Calibri"/>
        <family val="2"/>
        <scheme val="minor"/>
      </rPr>
      <t xml:space="preserve">non-specified </t>
    </r>
    <r>
      <rPr>
        <sz val="11"/>
        <color theme="1"/>
        <rFont val="Calibri"/>
        <family val="2"/>
        <scheme val="minor"/>
      </rPr>
      <t>population</t>
    </r>
  </si>
  <si>
    <t>Number of condoms distributed by the program (male and female) - all priority populations</t>
  </si>
  <si>
    <t>Modules prioritaires pour le VIH : Programmes de prévention pour une population non spécifiée</t>
  </si>
  <si>
    <t>Nombre de préservatifs distribués (masculins et féminins) - toutes les populations prioritaires</t>
  </si>
  <si>
    <r>
      <t xml:space="preserve">Módulos prioritarios para VIH: Programas de prevención </t>
    </r>
    <r>
      <rPr>
        <sz val="11"/>
        <color rgb="FFFF0000"/>
        <rFont val="Calibri"/>
        <family val="2"/>
        <scheme val="minor"/>
      </rPr>
      <t>para población no específica</t>
    </r>
  </si>
  <si>
    <t>Número de preservativos distribuidos por el programa (masculinos y femeninos) - todas las poblaciones prioritarias</t>
  </si>
  <si>
    <t>Prevention - key populations</t>
  </si>
  <si>
    <r>
      <t xml:space="preserve">Number of condoms </t>
    </r>
    <r>
      <rPr>
        <sz val="11"/>
        <color theme="9" tint="-0.249977111117893"/>
        <rFont val="Calibri"/>
        <family val="2"/>
        <scheme val="minor"/>
      </rPr>
      <t xml:space="preserve">and lubricants </t>
    </r>
    <r>
      <rPr>
        <sz val="11"/>
        <color theme="1"/>
        <rFont val="Calibri"/>
        <family val="2"/>
        <scheme val="minor"/>
      </rPr>
      <t>distributed (male and female)</t>
    </r>
  </si>
  <si>
    <r>
      <rPr>
        <sz val="11"/>
        <color theme="1"/>
        <rFont val="Calibri"/>
        <family val="2"/>
      </rPr>
      <t xml:space="preserve">Nombre de préservatifs </t>
    </r>
    <r>
      <rPr>
        <sz val="11"/>
        <color rgb="FFF79646" tint="-0.249977111117893"/>
        <rFont val="Calibri"/>
        <family val="2"/>
      </rPr>
      <t xml:space="preserve">et de lubrifiants </t>
    </r>
    <r>
      <rPr>
        <sz val="11"/>
        <color theme="1"/>
        <rFont val="Calibri"/>
        <family val="2"/>
      </rPr>
      <t>distribués (masculins et féminins)</t>
    </r>
  </si>
  <si>
    <t>Prevención - poblaciones clave</t>
  </si>
  <si>
    <t>Número de preservativos y lubricantes distribuidos por el programa (masculinos y femeninos)</t>
  </si>
  <si>
    <t>Key Pop</t>
  </si>
  <si>
    <r>
      <rPr>
        <b/>
        <sz val="11"/>
        <color theme="1"/>
        <rFont val="Calibri"/>
        <family val="2"/>
      </rPr>
      <t>Pop. clés</t>
    </r>
  </si>
  <si>
    <t>autres populations vulnérables - à préciser dans les observations</t>
  </si>
  <si>
    <t>PrEP pop. clés</t>
  </si>
  <si>
    <t xml:space="preserve">Number of PWID who received any PrEP product at least once during the reporting period. </t>
  </si>
  <si>
    <t xml:space="preserve">Number of men who have sex with men (MSM) who received any PrEP product at least once during the reporting period. </t>
  </si>
  <si>
    <t xml:space="preserve">Number of transgender people (TG) who received any PrEP product at least once during the reporting period. </t>
  </si>
  <si>
    <t xml:space="preserve">Number of sex workers (SW) who received any PrEP product at least once during the reporting period. </t>
  </si>
  <si>
    <t xml:space="preserve">Number of high risk AGYW who received any PrEP product at least once during the reporting period. </t>
  </si>
  <si>
    <t>Percentage of high risk AGYW that have received an HIV test during the reporting period  in AGYW programs</t>
  </si>
  <si>
    <t>Percentage of men who have sex with men (MSM) that have received an HIV test during the reporting period in KP-specific programs and know their results</t>
  </si>
  <si>
    <t>Percentage of transgender people (TG) that have received an HIV test during the reporting period in KP-specific programs and know their results</t>
  </si>
  <si>
    <t>Percentage of sex workers that have received an HIV test during the reporting period in KP-specific programs and know their results</t>
  </si>
  <si>
    <t>Percentage of people who inject drugs that have received an HIV test during the reporting period in KP-specific programs and know their results</t>
  </si>
  <si>
    <t>Percentage of people in prisons and other closed settings that have received an HIV test during the reporting period and know their results</t>
  </si>
  <si>
    <t>Percentage of other vulnerable populations that have received an HIV test during the reporting period and know their results</t>
  </si>
  <si>
    <t>Prevention - KP Modules</t>
  </si>
  <si>
    <t>Prevention - KP Indicators</t>
  </si>
  <si>
    <t>Paquet de prévention pour les adolescentes et jeunes femmes et leurs partenaires sexuels masculins dans les contextes à incidence élevée du VIH</t>
  </si>
  <si>
    <t>Paquete de prevención para niñas adolescentes y mujeres jóvenes y sus parejas sexuales masculinas en entornos con una incidencia elevada del VIH</t>
  </si>
  <si>
    <t>Percentage of high risk adolescent girls and young women reached with HIV prevention programs- defined package of services</t>
  </si>
  <si>
    <t xml:space="preserve">Pourcentage d’adolescentes et jeunes femmes à haut risque atteintes par un programme de prévention du VIH – paquet défini de services </t>
  </si>
  <si>
    <t>Porcentaje de niñas adolescentes y mujeres jóvenes de alto riesgo cubiertas por programas de prevención del VIH: paquete definido de servicios</t>
  </si>
  <si>
    <t>Prevention package for men who have sex with men (MSM) and their sexual partners</t>
  </si>
  <si>
    <t>Paquet de prévention pour les hommes ayant des rapports sexuels avec des hommes (HSH) et leurs partenaires sexuels</t>
  </si>
  <si>
    <t>Paquete de prevención para hombres que tienen relaciones sexuales con hombres y sus parejas sexuales</t>
  </si>
  <si>
    <t>Percentage of men who have sex with men reached with HIV prevention programs - defined package of services</t>
  </si>
  <si>
    <t xml:space="preserve">Pourcentage d’hommes ayant des rapports sexuels avec des hommes atteints par un programme de prévention du VIH – paquet défini de services </t>
  </si>
  <si>
    <t>Porcentaje de hombres que tienen relaciones sexuales con hombres cubiertos por programas de prevención del VIH: paquete definido de servicios</t>
  </si>
  <si>
    <t>Prevention package for transgender people and their sexual partners</t>
  </si>
  <si>
    <t>Paquet de prévention pour les personnes transgenres et leurs partenaires sexuels</t>
  </si>
  <si>
    <t>Paquete de prevención para personas transgénero y sus parejas sexuales</t>
  </si>
  <si>
    <t>Percentage of transgender people reached with HIV prevention programs - defined package of services</t>
  </si>
  <si>
    <t>Pourcentage de personnes transgenres atteintes par un programme de prévention du VIH – paquet défini de services</t>
  </si>
  <si>
    <t>Porcentaje de personas transgénero cubiertas por programas de prevención del VIH: paquete definido de servicios</t>
  </si>
  <si>
    <t>Percentage of sex workers reached with HIV prevention programs - defined package of services</t>
  </si>
  <si>
    <t>Pourcentage de professionnel(le)s du sexe atteint(e)s par un programme de prévention du VIH – paquet défini de services</t>
  </si>
  <si>
    <t>Porcentaje de trabajadores del sexo cubiertos por programas de prevención del VIH: paquete definido de servicios</t>
  </si>
  <si>
    <t xml:space="preserve">Prevention package for people who use drugs (PUD) (injecting and non-injecting) and their sexual partners </t>
  </si>
  <si>
    <t>Paquet de prévention pour les personnes qui utilisent des drogues (PUD) (injectables et non-injectables) et leurs partenaires sexuels</t>
  </si>
  <si>
    <t xml:space="preserve">Paquete de prevención para usuarios de drogas (inyectables y no inyectables) y sus parejas sexuales </t>
  </si>
  <si>
    <t>Percentage of people who inject drugs reached with HIV prevention programs - defined package of services</t>
  </si>
  <si>
    <t>Pourcentage de personnes qui s'injectent des drogues atteintes par un programme de prévention du VIH – paquet défini de services</t>
  </si>
  <si>
    <t>Porcentaje de usuarios de drogas inyectables cubiertos por programas de prevención del VIH: paquete definido de servicios</t>
  </si>
  <si>
    <t>Prevention package for other vulnerable populations</t>
  </si>
  <si>
    <t xml:space="preserve">Paquet de prévention pour les autres populations vulnérables </t>
  </si>
  <si>
    <t>Paquete de prevención para otras poblaciones vulnerables</t>
  </si>
  <si>
    <t>Percentage of other vulnerable populations reached with HIV prevention programs - defined package of services</t>
  </si>
  <si>
    <t>Pourcentage d’autres populations vulnérables atteintes par un programme de prévention du VIH – paquet défini de services</t>
  </si>
  <si>
    <t>Porcentaje de otras poblaciones vulnerables cubiertas por programas de prevención del VIH: paquete definido de servicios</t>
  </si>
  <si>
    <t>Prevention package for people in prisons and other closed settings</t>
  </si>
  <si>
    <t>Paquet de prévention pour les personnes incarcérées ou se trouvant dans d'autres lieux fermés</t>
  </si>
  <si>
    <t>Paquete de prevención para personas en centros penitenciarios y otros lugares de reclusión</t>
  </si>
  <si>
    <t>Number of people in prisons and other closed settings reached with HIV prevention programs - defined package of services</t>
  </si>
  <si>
    <t>Nombre de personnes incarcérées ou se trouvant dans d'autres lieux fermés atteintes par un programme de prévention du VIH – paquet défini de services</t>
  </si>
  <si>
    <t>Número de personas en centros penitenciarios y otros lugares de reclusión cubiertas por programas de prevención del VIH: paquete definido de servicios</t>
  </si>
  <si>
    <t>Condom - KP Indicators</t>
  </si>
  <si>
    <t>Number of condoms (male and female) distributed by the program for men who have sex with men</t>
  </si>
  <si>
    <t>Nombre de préservatifs (masculins et féminins) distribués par le programme pour les hommes ayant des rapports sexuels avec des hommes</t>
  </si>
  <si>
    <t>Número de preservativos (masculinos y femeninos) distribuidos por el programa para hombres que tienen relaciones sexuales con hombres</t>
  </si>
  <si>
    <t>Number of condoms (male and female) distributed by the program for transgender people</t>
  </si>
  <si>
    <t xml:space="preserve">Nombre de préservatifs (masculins et féminins) distribués par le programme pour les personnes transgenres </t>
  </si>
  <si>
    <t>Número de preservativos (masculinos y femeninos) distribuidos por el programa para las personas transgénero</t>
  </si>
  <si>
    <t>Treatment care support Module</t>
  </si>
  <si>
    <t>Treatment care and support indicators</t>
  </si>
  <si>
    <t>Treatment, care and support</t>
  </si>
  <si>
    <t>Traitement, prise en charge et soutien</t>
  </si>
  <si>
    <t>Tratamiento, atención y apoyo</t>
  </si>
  <si>
    <t>Percentage of people on ART among all people living with HIV at the end of the reporting period</t>
  </si>
  <si>
    <t xml:space="preserve">Pourcentage de personnes sous TARV parmi toutes les personnes vivant avec le VIH à la fin de la période de rapportage </t>
  </si>
  <si>
    <t>Porcentaje de personas en tratamiento antirretroviral entre todas las personas que viven con el VIH al final del período de reporte</t>
  </si>
  <si>
    <t>Percentage of adults (15 and above) on ART among all adults living with HIV at the end of the reporting period</t>
  </si>
  <si>
    <t>Pourcentage d’adultes (15 ans et plus) sous TARV parmi tous les adultes vivant avec le VIH à la fin de la période de rapportage</t>
  </si>
  <si>
    <t>Porcentaje de adultos (mayores de 15 años) en tratamiento antirretroviral entre todos los adultos que viven con el VIH al final del período de reporte</t>
  </si>
  <si>
    <t>Percentage of children (under 15) on ART among all children living with HIV at the end of the reporting period</t>
  </si>
  <si>
    <t>Pourcentage d’enfants (moins de 15 ans) sous TARV parmi tous les enfants vivant avec le VIH à la fin de la période de rapportage</t>
  </si>
  <si>
    <t>Porcentaje de niños (menores de 15 años) en tratamiento antirretroviral entre todos los niños que viven con el VIH al final del período de reporte</t>
  </si>
  <si>
    <t>Percentage of pregnant women living with HIV who received antiretroviral medicine to reduce the risk of vertical transmission of HIV</t>
  </si>
  <si>
    <t>Pourcentage de femmes enceintes vivant avec le VIH qui ont reçu des médicaments antirétroviraux pour réduire le risque de transmission verticale du VIH</t>
  </si>
  <si>
    <t>Porcentaje de mujeres embarazadas que viven con el VIH que recibieron medicamentos antirretrovirales para reducir el riesgo de transmisión maternoinfantil del VIH</t>
  </si>
  <si>
    <t>Use the UNAIDS PrEP target setting tools to complete this section  https://jointsiwg.unaids.org/publications/</t>
  </si>
  <si>
    <t>Use the UNAIDS C-NET tool to complete this section https://hivpreventioncoalition.unaids.org/resource/condom-needs-and-resource-requirement-estimation-tool/</t>
  </si>
  <si>
    <t>This sheet contains a blank table in the case where the number of tables provided in the previous sheets is not sufficient, or if the applicant wishes to submit a table for a module/intervention/indicator that is not specified in the instructions.
This table is unprotected, therefore formulas in the cells can be changed if required. The table can also be copied if more than one is needed.</t>
  </si>
  <si>
    <r>
      <rPr>
        <b/>
        <u/>
        <sz val="11"/>
        <rFont val="Arial"/>
        <family val="2"/>
      </rPr>
      <t>Français</t>
    </r>
    <r>
      <rPr>
        <b/>
        <sz val="11"/>
        <rFont val="Arial"/>
        <family val="2"/>
      </rPr>
      <t xml:space="preserve">: </t>
    </r>
    <r>
      <rPr>
        <sz val="11"/>
        <rFont val="Arial"/>
        <family val="2"/>
      </rPr>
      <t>Veuillez choisir la langue sur l'onglet Instructions (ligne B6)</t>
    </r>
  </si>
  <si>
    <t>The Modular Framework -  https://www.theglobalfund.org/media/4309/fundingmodel_modularframework_handbook_en.pdf</t>
  </si>
  <si>
    <t>Référence : le Manuel du cadre modulaire - https://www.theglobalfund.org/media/4309/fundingmodel_modularframework_handbook_en.pdf</t>
  </si>
  <si>
    <t xml:space="preserve">Referencia: el Manual del Marco Modular - https://www.theglobalfund.org/media/4309/fundingmodel_modularframework_handbook_en.pdf
</t>
  </si>
  <si>
    <t>Global Fund TB Information Note - https://www.theglobalfund.org/media/4759/core_resilientsustainablesystemsforhealth_infonote_en.pdf</t>
  </si>
  <si>
    <t>La note d'information du Fonds mondial sur le TB - https://www.theglobalfund.org/media/4759/core_resilientsustainablesystemsforhealth_infonote_en.pdf</t>
  </si>
  <si>
    <t>La Nota informativa sobre el TB del Fondo Mundial,- https://www.theglobalfund.org/media/4759/core_resilientsustainablesystemsforhealth_infonote_en.pdf</t>
  </si>
  <si>
    <t>Global Fund HIV Information Note - https://www.theglobalfund.org/media/4759/core_resilientsustainablesystemsforhealth_infonote_en.pdf</t>
  </si>
  <si>
    <t>La note d'information du Fonds mondial sur le VIH- https://www.theglobalfund.org/media/4759/core_resilientsustainablesystemsforhealth_infonote_en.pdf</t>
  </si>
  <si>
    <t>La Nota informativa sobre el VIH del Fondo Mundial,- https://www.theglobalfund.org/media/4759/core_resilientsustainablesystemsforhealth_infonote_en.pdf</t>
  </si>
  <si>
    <t>Please complete separate programmatic gap tables, found on the "Tables" worksheet, for priority modules that are relevant to the TB funding request. The following list specifies possible modules and relevant interventions that can be selected. Complete tables only for the interventions that are supported and for which funding is being requested. Refer to the Modular Framework Handbook for a list of all modules, interventions with accompanying descriptions and indicators. 
For guidance when completing these programmatic gap tables, please refer to the Modular Framework handbook and the Global Fund TB Information Note, which includes reference to relevant technical guidance documents.
Priority Modules/Interventions:
- TB diagnosis, treatment and care
          -&gt; TB screening and diagnosis
- DR-TB diagnosis, treatment and care
          -&gt; DR-TB diagnosis/DST
          -&gt; DR-TB Treatment, care and support
- TB/HIV
          -&gt; TB/HIV Screening, testing and diagnosis
          -&gt; TB/HIV Treatment and care
          -&gt; TB/HIV Prevention  
- TB/DR-TB Prevention
          -&gt; Screening/testing for TB infection
          -&gt; Preventive treatment
Optional modules and interventions for the programmatic gap table which could be included depending on country contexts and level of investment:
- Collaboration with other providers and sectors
          -&gt; Private provider engagement in TB/DR-TB care
- Collaboration with other providers and sectors
          -&gt; Community-based TB/DR-TB care</t>
  </si>
  <si>
    <t>Tuberculosis - Tabla de brecha programático vacía (en caso necesario,  )</t>
  </si>
  <si>
    <t>Tableau vierge des déficits programmatiques TB (si nécessaire,  )</t>
  </si>
  <si>
    <t>TB Programmatic Gap Blank Table (if needed,  )</t>
  </si>
  <si>
    <t xml:space="preserve">TB Programmatic Gap Table 1 </t>
  </si>
  <si>
    <t xml:space="preserve">Tableau des déficits programmatiques TB 1 </t>
  </si>
  <si>
    <t xml:space="preserve">Tuberculosis - Tabla de brecha programático 1 </t>
  </si>
  <si>
    <t xml:space="preserve">TB Programmatic Gap Table 2 </t>
  </si>
  <si>
    <t xml:space="preserve">Tableau des déficits programmatiques TB 2 </t>
  </si>
  <si>
    <t xml:space="preserve">Tuberculosis - Tabla de brecha programático 2 </t>
  </si>
  <si>
    <t xml:space="preserve">TB Programmatic Gap Table 3 </t>
  </si>
  <si>
    <t xml:space="preserve">Tableau des déficits programmatiques TB 3 </t>
  </si>
  <si>
    <t xml:space="preserve">Tuberculosis - Tabla de brecha programático 3 </t>
  </si>
  <si>
    <t xml:space="preserve">TB Programmatic Gap Table 4 </t>
  </si>
  <si>
    <t xml:space="preserve">Tableau des déficits programmatiques TB 4 </t>
  </si>
  <si>
    <t xml:space="preserve">Tuberculosis - Tabla de brecha programático 4 </t>
  </si>
  <si>
    <t xml:space="preserve">TB Programmatic Gap Table 5 </t>
  </si>
  <si>
    <t xml:space="preserve">Tableau des déficits programmatiques TB 5 </t>
  </si>
  <si>
    <t xml:space="preserve">Tuberculosis - Tabla de brecha programático 5 </t>
  </si>
  <si>
    <t xml:space="preserve">TB Programmatic Gap Table 6 </t>
  </si>
  <si>
    <t xml:space="preserve">Tableau des déficits programmatiques TB 6 </t>
  </si>
  <si>
    <t xml:space="preserve">Tuberculosis - Tabla de brecha programático 6 </t>
  </si>
  <si>
    <t xml:space="preserve">TB Programmatic Gap Table 7 </t>
  </si>
  <si>
    <t xml:space="preserve">Tableau des déficits programmatiques TB 7 </t>
  </si>
  <si>
    <t xml:space="preserve">Tuberculosis - Tabla de brecha programático 7 </t>
  </si>
  <si>
    <t xml:space="preserve">TB Programmatic Gap Table 8 </t>
  </si>
  <si>
    <t xml:space="preserve">Tableau des déficits programmatiques TB 8 </t>
  </si>
  <si>
    <t xml:space="preserve">Tuberculosis - Tabla de brecha programático 8 </t>
  </si>
  <si>
    <t xml:space="preserve">TB Programmatic Gap Table 9 </t>
  </si>
  <si>
    <t xml:space="preserve">Tableau des déficits programmatiques TB 9 </t>
  </si>
  <si>
    <t xml:space="preserve">Tuberculosis - Tabla de brecha programático 9 </t>
  </si>
  <si>
    <t xml:space="preserve">TB Programmatic Gap Table 10 </t>
  </si>
  <si>
    <t xml:space="preserve">Tableau des déficits programmatiques TB 10 </t>
  </si>
  <si>
    <t xml:space="preserve">Tuberculosis - Tabla de brecha programático 10 </t>
  </si>
  <si>
    <t xml:space="preserve">TB Programmatic Gap Table 11 </t>
  </si>
  <si>
    <t xml:space="preserve">Tableau des déficits programmatiques TB 11 </t>
  </si>
  <si>
    <t xml:space="preserve">Tuberculosis - Tabla de brecha programático 11 </t>
  </si>
  <si>
    <t xml:space="preserve">HIV/AIDS Programmatic Gap Table 1 </t>
  </si>
  <si>
    <t xml:space="preserve">Tableau 1 des déficits programmatiques pour le VIH/sida </t>
  </si>
  <si>
    <t xml:space="preserve">VIH/SIDA - Tabla de brecha programática 1 </t>
  </si>
  <si>
    <t xml:space="preserve">HIV/AIDS Programmatic Gap Table 2 </t>
  </si>
  <si>
    <t xml:space="preserve">Tableau 2 des déficits programmatiques pour le VIH/sida </t>
  </si>
  <si>
    <t xml:space="preserve">VIH/SIDA - Tabla de brecha programática 2 </t>
  </si>
  <si>
    <t xml:space="preserve">HIV/AIDS Programmatic Gap Table 3 </t>
  </si>
  <si>
    <t xml:space="preserve">Tableau 3 des déficits programmatiques pour le VIH/sida </t>
  </si>
  <si>
    <t xml:space="preserve">VIH/SIDA - Tabla de brecha programática 3 </t>
  </si>
  <si>
    <t xml:space="preserve">HIV/AIDS Programmatic Gap Table 4 </t>
  </si>
  <si>
    <t xml:space="preserve">Tableau 4 des déficits programmatiques pour le VIH/sida </t>
  </si>
  <si>
    <t xml:space="preserve">VIH/SIDA - Tabla de brecha programática 4 </t>
  </si>
  <si>
    <t xml:space="preserve">HIV/AIDS Programmatic Gap Table 5 </t>
  </si>
  <si>
    <t xml:space="preserve">Tableau 5 des déficits programmatiques pour le VIH/sida </t>
  </si>
  <si>
    <t xml:space="preserve">VIH/SIDA - Tabla de brecha programática 5 </t>
  </si>
  <si>
    <t xml:space="preserve">HIV/AIDS Programmatic Gap Table 6 </t>
  </si>
  <si>
    <t xml:space="preserve">Tableau 6 des déficits programmatiques pour le VIH/sida </t>
  </si>
  <si>
    <t xml:space="preserve">VIH/SIDA - Tabla de brecha programática 6 </t>
  </si>
  <si>
    <t xml:space="preserve">HIV/AIDS Programmatic Gap Table 7 </t>
  </si>
  <si>
    <t xml:space="preserve">Tableau 7 des déficits programmatiques pour le VIH/sida </t>
  </si>
  <si>
    <t xml:space="preserve">VIH/SIDA - Tabla de brecha programática 7 </t>
  </si>
  <si>
    <t xml:space="preserve">HIV/AIDS Programmatic Gap Table 8 </t>
  </si>
  <si>
    <t xml:space="preserve">Tableau 8 des déficits programmatiques pour le VIH/sida </t>
  </si>
  <si>
    <t xml:space="preserve">VIH/SIDA - Tabla de brecha programática 8 </t>
  </si>
  <si>
    <t xml:space="preserve">HIV/AIDS Programmatic Gap Table 9 </t>
  </si>
  <si>
    <t xml:space="preserve">Tableau 9 des déficits programmatiques pour le VIH/sida </t>
  </si>
  <si>
    <t xml:space="preserve">VIH/SIDA - Tabla de brecha programática 9 </t>
  </si>
  <si>
    <t xml:space="preserve">HIV/AIDS Programmatic Gap Table 10 </t>
  </si>
  <si>
    <t xml:space="preserve">Tableau 10 des déficits programmatiques pour le VIH/sida </t>
  </si>
  <si>
    <t xml:space="preserve">VIH/SIDA - Tabla de brecha programática 10 </t>
  </si>
  <si>
    <t xml:space="preserve">HIV/AIDS Programmatic Gap Table 11 </t>
  </si>
  <si>
    <t xml:space="preserve">Tableau 11 des déficits programmatiques pour le VIH/sida </t>
  </si>
  <si>
    <t xml:space="preserve">VIH/SIDA - Tabla de brecha programática 11 </t>
  </si>
  <si>
    <t xml:space="preserve">HIV/AIDS Programmatic Gap Table 12 </t>
  </si>
  <si>
    <t xml:space="preserve">Tableau 12 des déficits programmatiques pour le VIH/sida </t>
  </si>
  <si>
    <t xml:space="preserve">VIH/SIDA - Tabla de brecha programática 12 </t>
  </si>
  <si>
    <t xml:space="preserve">HIV/AIDS Programmatic Gap Table 13 </t>
  </si>
  <si>
    <t xml:space="preserve">Tableau 13 des déficits programmatiques pour le VIH/sida </t>
  </si>
  <si>
    <t xml:space="preserve">VIH/SIDA - Tabla de brecha programática 13 </t>
  </si>
  <si>
    <t xml:space="preserve">HIV/AIDS Programmatic Gap Table 14 </t>
  </si>
  <si>
    <t xml:space="preserve">Tableau 14 des déficits programmatiques pour le VIH/sida </t>
  </si>
  <si>
    <t xml:space="preserve">VIH/SIDA - Tabla de brecha programática 14 </t>
  </si>
  <si>
    <t xml:space="preserve">HIV/AIDS Programmatic Gap Table 15 </t>
  </si>
  <si>
    <t xml:space="preserve">Tableau 15 des déficits programmatiques pour le VIH/sida </t>
  </si>
  <si>
    <t xml:space="preserve">VIH/SIDA - Tabla de brecha programática 15 </t>
  </si>
  <si>
    <t xml:space="preserve">HIV/AIDS Programmatic Gap Table 16 </t>
  </si>
  <si>
    <t xml:space="preserve">Tableau 16 des déficits programmatiques pour le VIH/sida </t>
  </si>
  <si>
    <t xml:space="preserve">VIH/SIDA - Tabla de brecha programática 16 </t>
  </si>
  <si>
    <t xml:space="preserve">Tableau des lacunes programmatiques 1 - Prophylaxie préexposition (PrEP) </t>
  </si>
  <si>
    <t xml:space="preserve">Tabla de brechas programáticas para la profilaxis previa a la exposición- PrEP </t>
  </si>
  <si>
    <t xml:space="preserve">Tableau 1 des lacunes programmatiques TB/VIH </t>
  </si>
  <si>
    <t xml:space="preserve">Tabla 1 de brechas programáticas relativas a la TB/VIH </t>
  </si>
  <si>
    <t xml:space="preserve">Tableau 2 des lacunes programmatiques TB/VIH </t>
  </si>
  <si>
    <t xml:space="preserve">Tabla 2 de brechas programáticas relativas a la TB/VIH </t>
  </si>
  <si>
    <t xml:space="preserve">Tableau 3 des lacunes programmatiques TB/VIH </t>
  </si>
  <si>
    <t xml:space="preserve">Tabla 3 de brechas programáticas relativas a la TB/VIH </t>
  </si>
  <si>
    <t xml:space="preserve">Tableau 4 des lacunes programmatiques TB/VIH </t>
  </si>
  <si>
    <t xml:space="preserve">Tabla 4 de brechas programáticas relativas a la TB/VIH </t>
  </si>
  <si>
    <t xml:space="preserve">PrEP Programmatic Gap Table 3 </t>
  </si>
  <si>
    <t xml:space="preserve">PrEP Programmatic Gap Table 2 </t>
  </si>
  <si>
    <t xml:space="preserve">Condom Programmatic Gap Table 2 </t>
  </si>
  <si>
    <t xml:space="preserve">Tableau 2 des lacunes programmatiques des préservatifs </t>
  </si>
  <si>
    <t xml:space="preserve">Tabla 2 de brechas programáticas de preservativos </t>
  </si>
  <si>
    <t xml:space="preserve">Tableau 2 des lacunes programmatiques PrEP </t>
  </si>
  <si>
    <t xml:space="preserve">Tableau 3 des lacunes programmatiques PrEP </t>
  </si>
  <si>
    <t xml:space="preserve">Tabla 3  brechas programáticas de PrEP </t>
  </si>
  <si>
    <t xml:space="preserve">Tabla 2 de brechas programáticas de PrEP </t>
  </si>
  <si>
    <t>Condom Programmatic Gap Table 1</t>
  </si>
  <si>
    <t>Tableau des déficits programmatiques pour les préservatifs</t>
  </si>
  <si>
    <t>Country need to meet global target covered with the allocation amount</t>
  </si>
  <si>
    <t>EMTCT Programmatic Gap Table 1</t>
  </si>
  <si>
    <t>Prevention Programmatic Gap Table 1</t>
  </si>
  <si>
    <t>Tabla 1 de brechas programáticas - Tratamiento</t>
  </si>
  <si>
    <t>Tabla 1 de brechas programáticas  - Preuebas del VIH</t>
  </si>
  <si>
    <t xml:space="preserve">Tabla 1 de brechas programáticas - Prevencion </t>
  </si>
  <si>
    <t>Tabla 1 de brechas programáticas - Eliminación de la transmisión maternoinfantil</t>
  </si>
  <si>
    <t xml:space="preserve">Tableau 2 des lacunes programmatiques - Traitement </t>
  </si>
  <si>
    <t xml:space="preserve">Tableau 3 des lacunes programmatiques - Traitement </t>
  </si>
  <si>
    <t xml:space="preserve">Tableau 1 des lacunes programmatiques - Traitement </t>
  </si>
  <si>
    <t>Tabla 2 de brechas programáticas - Tratamiento</t>
  </si>
  <si>
    <t>Tabla 3 de brechas programáticas - Tratamiento</t>
  </si>
  <si>
    <t xml:space="preserve">Tableau 1 des lacunes programmatiques - Prevention </t>
  </si>
  <si>
    <t>Prevention Programmatic Gap Table 2</t>
  </si>
  <si>
    <t>Prevention Programmatic Gap Table 3</t>
  </si>
  <si>
    <t>Prevention Programmatic Gap Table 4</t>
  </si>
  <si>
    <t xml:space="preserve">Tableau 2 des lacunes programmatiques - Prevention </t>
  </si>
  <si>
    <t xml:space="preserve">Tableau 3 des lacunes programmatiques - Prevention </t>
  </si>
  <si>
    <t xml:space="preserve">Tabla 2 de brechas programáticas - Prevencion </t>
  </si>
  <si>
    <t xml:space="preserve">Tabla 3 de brechas programáticas - Prevencion </t>
  </si>
  <si>
    <t xml:space="preserve">Tableau 4 des lacunes programmatiques - Prevention </t>
  </si>
  <si>
    <t xml:space="preserve">Tabla 4 de brechas programáticas - Prevencion </t>
  </si>
  <si>
    <t xml:space="preserve">Tableau 1 des lacunes programmatiques - ETME - EMTCT </t>
  </si>
  <si>
    <t>Treatment Programmatic Gap Table 1</t>
  </si>
  <si>
    <t>Treatment Programmatic Gap Table 2</t>
  </si>
  <si>
    <t>Treatment Programmatic Gap Table 3</t>
  </si>
  <si>
    <t>Tabla 2 de brechas programáticas  - Preuebas del VIH</t>
  </si>
  <si>
    <t>HIV Testing Programmatic Gap Table 1</t>
  </si>
  <si>
    <t>Tableau 1 des lacunes programmatiques  - Services de dépistage du VIH</t>
  </si>
  <si>
    <t xml:space="preserve">Tableau 2 des lacunes programmatiques  - Services de dépistage du VIH </t>
  </si>
  <si>
    <t>HIV Testing Programmatic Gap Table 2</t>
  </si>
  <si>
    <t>Please complete separate programmatic gap tables for 4-6 priority modules in the HIV funding request. The following list specifies possible modules and relevant interventions. Complete tables only for the interventions for which funding is being requested.
For guidance when completing these programmatic gap tables, please refer to the Modular Framework handbook and the Global Fund HIV Information Note, which includes reference to relevant technical guidance documents. 
Priority Modules/Interventions, as per the Modular Framework Handbook:
1. Treatment, care and support    
2. Differentiated HIV Testing Services*
3. TB/HIV **
4. Elimination of vertical transmission of HIV, syphilis and hepatitis B ***
5. Prevention package for key populations and AGYW ****
6.  PrEP *****
7. Condoms *****</t>
  </si>
  <si>
    <r>
      <t xml:space="preserve">Complete por separado las tablas de brechas programáticas correspondientes a los módulos prioritarios de 4 a 6 en la solicitud de financiamiento para el VIH. En la lista siguiente figuran los posibles módulos y las correspondientes intervenciones pertinentes. Complete solo las tablas correspondientes a las módulos que se solicita financiamiento. 
Para obtener orientación a la hora de completar esta tabla de brechas programáticas, consulte el Manual del Marco Modular y la Nota informativa sobre el HIV del Fondo Mundial, en la que se hace referencia a los documentos de orientación técnica correspondientes.
Módulos o intervenciones prioritarios, </t>
    </r>
    <r>
      <rPr>
        <sz val="11"/>
        <color rgb="FFFF0000"/>
        <rFont val="Arial"/>
        <family val="2"/>
      </rPr>
      <t>según el Manual del Marco Modular</t>
    </r>
    <r>
      <rPr>
        <sz val="11"/>
        <rFont val="Arial"/>
        <family val="2"/>
      </rPr>
      <t>:
1. Tratamiento, atención y apoyo    
2. Servicios diferenciados de pruebas del VIH*
3. TB/VIH **
4. Eliminación de la transmisión maternoinfantil del VIH, la sífilis y la hepatitis B ***
5. Programas de prevención para poblaciones clave y niñas adolescentes y mujeres jóvenes ****
6.  Profilaxis previa a la exposición (PrEP) *****
7. Preservativos *****</t>
    </r>
  </si>
  <si>
    <r>
      <t xml:space="preserve">*Differentiated HIV Testing Services
         -&gt; The HIV Testing gap table should be completed for the two </t>
    </r>
    <r>
      <rPr>
        <sz val="11"/>
        <color rgb="FFFF0000"/>
        <rFont val="Arial"/>
        <family val="2"/>
      </rPr>
      <t>priority</t>
    </r>
    <r>
      <rPr>
        <sz val="11"/>
        <color theme="1"/>
        <rFont val="Arial"/>
        <family val="2"/>
      </rPr>
      <t xml:space="preserve"> key population groups </t>
    </r>
    <r>
      <rPr>
        <sz val="11"/>
        <color rgb="FFFF0000"/>
        <rFont val="Arial"/>
        <family val="2"/>
      </rPr>
      <t>in terms of incidence or</t>
    </r>
    <r>
      <rPr>
        <sz val="11"/>
        <color theme="1"/>
        <rFont val="Arial"/>
        <family val="2"/>
      </rPr>
      <t xml:space="preserve"> </t>
    </r>
    <r>
      <rPr>
        <sz val="11"/>
        <color rgb="FFFF0000"/>
        <rFont val="Arial"/>
        <family val="2"/>
      </rPr>
      <t>number of new infections</t>
    </r>
    <r>
      <rPr>
        <sz val="11"/>
        <color theme="1"/>
        <rFont val="Arial"/>
        <family val="2"/>
      </rPr>
      <t xml:space="preserve">: men who have sex with men; sex workers; transgender people; people who inject drugs. </t>
    </r>
    <r>
      <rPr>
        <sz val="11"/>
        <color rgb="FFFF0000"/>
        <rFont val="Arial"/>
        <family val="2"/>
      </rPr>
      <t>In addition, the Global Fund AGYW priority countries should complete the gap table for</t>
    </r>
    <r>
      <rPr>
        <sz val="11"/>
        <color theme="1"/>
        <rFont val="Arial"/>
        <family val="2"/>
      </rPr>
      <t xml:space="preserve"> adolescent girls and young women in high incidence settings. 
**TB/HIV
         -&gt; If submitting separate TB and HIV funding requests, gap analysis tables for TB/HIV interventions should be included in both the TB and HIV requests. In the case of a joint TB/HIV request, please complete the tables provided in the joint TB/HIV programmatic gap Excel file.
         -&gt; If the applicant is part of the WHO’s 30 highest TB/HIV burden countries they must complete the tables linked to this module.  The WHO’s 30 highest TB/HIV burden countries are Botswana, </t>
    </r>
    <r>
      <rPr>
        <sz val="11"/>
        <color rgb="FFFF0000"/>
        <rFont val="Arial"/>
        <family val="2"/>
      </rPr>
      <t>Brazil,</t>
    </r>
    <r>
      <rPr>
        <sz val="11"/>
        <color theme="1"/>
        <rFont val="Arial"/>
        <family val="2"/>
      </rPr>
      <t xml:space="preserve"> Cameroon, </t>
    </r>
    <r>
      <rPr>
        <sz val="11"/>
        <color rgb="FFFF0000"/>
        <rFont val="Arial"/>
        <family val="2"/>
      </rPr>
      <t>Central African Republic, China, Congo, Democratic Republic of the Congo,</t>
    </r>
    <r>
      <rPr>
        <sz val="11"/>
        <color theme="1"/>
        <rFont val="Arial"/>
        <family val="2"/>
      </rPr>
      <t xml:space="preserve"> Eswatini, </t>
    </r>
    <r>
      <rPr>
        <sz val="11"/>
        <color rgb="FFFF0000"/>
        <rFont val="Arial"/>
        <family val="2"/>
      </rPr>
      <t>Ethiopia, Gabon, Guinea,</t>
    </r>
    <r>
      <rPr>
        <sz val="11"/>
        <color theme="1"/>
        <rFont val="Arial"/>
        <family val="2"/>
      </rPr>
      <t xml:space="preserve"> Guinea-Bissau,</t>
    </r>
    <r>
      <rPr>
        <sz val="11"/>
        <color rgb="FFFF0000"/>
        <rFont val="Arial"/>
        <family val="2"/>
      </rPr>
      <t xml:space="preserve"> India, Indonesia, Kenya,  Lesotho, Liberia, Malawi, Mozambique, Myanmar, Namibia,</t>
    </r>
    <r>
      <rPr>
        <sz val="11"/>
        <color theme="1"/>
        <rFont val="Arial"/>
        <family val="2"/>
      </rPr>
      <t xml:space="preserve"> Nigeria, Philippines, Russian Federation, South Africa, Thailand, Uganda, United Republic of Tanzania, Zambia, and Zimbabwe.
***Elimination of vertical transmission of HIV, syphilis and hepatitis B 
         -&gt;  If the applicant is among of the countries that have joined the Global Alliance to end Pediatric AIDS by 2030, they must complete the gap tables linked to this module.</t>
    </r>
    <r>
      <rPr>
        <sz val="11"/>
        <color rgb="FFFF0000"/>
        <rFont val="Arial"/>
        <family val="2"/>
      </rPr>
      <t xml:space="preserve"> The 12 countries are Angola, Cameroon, Cote-D'Ivoire, DRC, Kenya, Mozambique, Nigeria, South Africa, Uganda, the United Republic of Tanzania, Zambia and Zimbabwe.</t>
    </r>
    <r>
      <rPr>
        <sz val="11"/>
        <color theme="1"/>
        <rFont val="Arial"/>
        <family val="2"/>
      </rPr>
      <t xml:space="preserve">
****Prevention package for key populations and AGYW 
         -&gt; If funding is requested for these modules, the following applies:
         -&gt; These modules refer to the following key and vulnerable populations: men who have sex with men; sex workers; transgender people; people who inject drugs; adolescent girls and young women in high incidence settings; and other vulnerable populations.
        -&gt; </t>
    </r>
    <r>
      <rPr>
        <sz val="11"/>
        <color rgb="FFFF0000"/>
        <rFont val="Arial"/>
        <family val="2"/>
      </rPr>
      <t>Gap tables must be completed for the prevention packages of two priority key population groups  in terms of incidence or number of new infections: men who have sex with men, sex workers, transgender people, people who inject drugs, other vulnerable populations.Note that 3 tables are provided in the 'Prevention' tab.</t>
    </r>
    <r>
      <rPr>
        <sz val="11"/>
        <color theme="1"/>
        <rFont val="Arial"/>
        <family val="2"/>
      </rPr>
      <t xml:space="preserve">
         -&gt; In addition, all the Global Fund AGYW priority countries need to complete the gap table for the prevention package for adolescent girls and young women in high incidence settings. 
*****PrEP and Condoms </t>
    </r>
    <r>
      <rPr>
        <sz val="11"/>
        <color rgb="FFFF0000"/>
        <rFont val="Arial"/>
        <family val="2"/>
      </rPr>
      <t>(3 tables provided in each tab)</t>
    </r>
    <r>
      <rPr>
        <sz val="11"/>
        <color theme="1"/>
        <rFont val="Arial"/>
        <family val="2"/>
      </rPr>
      <t xml:space="preserve">
         -&gt; If funding is requested for these modules, the following applies:
         -&gt; For the Global Fund incidence reduction strategy delivery priority countries, the PrEP gap table and the Condom gap table should be completed for the two </t>
    </r>
    <r>
      <rPr>
        <sz val="11"/>
        <color rgb="FFFF0000"/>
        <rFont val="Arial"/>
        <family val="2"/>
      </rPr>
      <t xml:space="preserve">priority </t>
    </r>
    <r>
      <rPr>
        <sz val="11"/>
        <color theme="1"/>
        <rFont val="Arial"/>
        <family val="2"/>
      </rPr>
      <t xml:space="preserve">key population groups </t>
    </r>
    <r>
      <rPr>
        <sz val="11"/>
        <color rgb="FFFF0000"/>
        <rFont val="Arial"/>
        <family val="2"/>
      </rPr>
      <t>in terms of incidence or number of new infections: men who have sex with men; sex workers; transgender people;and people who inject drugs</t>
    </r>
    <r>
      <rPr>
        <sz val="11"/>
        <color theme="1"/>
        <rFont val="Arial"/>
        <family val="2"/>
      </rPr>
      <t xml:space="preserve">. Rest of countries: condom and PrEP tables are negotiated with HIV advisor as needed.
         -&gt; For the Global Fund AGYW priority countries, these tables should be completed for adolescent girls and young women in high incidence settings.          </t>
    </r>
  </si>
  <si>
    <t>*Servicios diferenciados de pruebas del VIH
         -&gt; La tabla de brechas programáticas relativas a las pruebas del VIH debe completarse para los dos grupos prioritarios de poblaciones clave: hombres que tienen relaciones sexuales con hombres; trabajadores del sexo; personas transgénero; usuarios de drogas inyectables. Además, los países prioritarios para la iniciativa “niñas adolescentes y mujeres jóvenes” del Fondo Mundial deben completar la tabla de brechas para niñas adolescentes y mujeres jóvenes en entornos de alta incidencia. 
**TB/VIH
         -&gt; Si se presentan solicitudes de financiamiento por separado para la tuberculosis y el VIH, las tablas de análisis de las brechas programáticas relativas a las intervenciones de TB/VIH deberán incluirse en ambas solicitudes. En el caso de presentar una solicitud conjunta para la tuberculosis y el VIH, complete las tablas en el archivo Excel de brechas programáticas conjuntas TB/VIH.
         -&gt; Si el solicitante es parte de los 30 países de la OMS con mayor carga de tuberculosis y VIH, deberá completar las tablas vinculadas a este módulo.  Los 30 países de la OMS con mayor carga de tuberculosis y VIH son Botswana, Brasil, Camerún, República Centroafricana, China, Congo, República Democrática del Congo, Eswatini, Etiopía, Gabón, Guinea, Guinea-Bissau, India, Indonesia, Kenya, Lesotho, Liberia, Malawi, Mozambique, Myanmar, Namibia, Nigeria, Filipinas, Tanzanía, Federación Rusa, Sudáfrica, Tailandia, Uganda, República Unida de Tanzania, Zambia y Zimbabwe. 
***Eliminación de la transmisión maternoinfantil del VIH, la sífilis y la hepatitis B 
         -&gt; Si el solicitante forma parte de los países  que se han unido a la Alianza mundial para acabar con el sida pediátrico para 2030 deberá completar las tablas de brechas programáticas vinculadas a este módulo. Los 12 países son Angola, Camerún, Côte d’Ivoire, República Democrática del Congo, Kenya, Mozambique, Nigeria, Sudáfrica, Tanzanía, Uganda, Zambia y Zimbabwe.
****Programas de prevención para poblaciones clave y niñas adolescentes y mujeres jóvenes 
         -&gt; Si se solicita financiamiento para estos módulos, se aplica lo siguiente:
         -&gt; Estos módulos se refieren a las poblaciones clave y vulnerables siguientes: hombres que tienen relaciones sexuales con hombres; trabajadores del sexo; personas transgénero; usuarios de drogas inyectables; niñas adolescentes y mujeres jóvenes en entornos de alta incidencia; y otras poblaciones vulnerables.
        -&gt; Se deberán completar las tablas de brechas para los paquetes de prevención relativas a los dos grupos prioritarios de poblaciones clave  según la incidencia o número de nuevas infecciones (hombres que tienen relaciones sexuales con hombres, trabajadores del sexo, personas transgénero, usuarios de drogas inyectables, otras poblaciones vulnerables). Hay 3 tablas en la pestaña Prevención.
         -&gt; Además, los países prioritarios para la iniciativa de «niñas adolescentes y mujeres jóvenes» del Fondo Mundial deberán completar la tabla de brechas correspondiente al paquete de prevención tanto para dicho grupo de población clave en entornos de alta incidencia.</t>
  </si>
  <si>
    <r>
      <t xml:space="preserve">To begin completing each table, specify the desired priority module/intervention by selecting from the drop-down list provided next to the "Priority Module" line </t>
    </r>
    <r>
      <rPr>
        <sz val="11"/>
        <color rgb="FFFF0000"/>
        <rFont val="Arial"/>
        <family val="2"/>
      </rPr>
      <t>[note that this is pre-filled for some tables]</t>
    </r>
    <r>
      <rPr>
        <sz val="11"/>
        <color theme="1"/>
        <rFont val="Arial"/>
        <family val="2"/>
      </rPr>
      <t xml:space="preserve">. </t>
    </r>
    <r>
      <rPr>
        <sz val="11"/>
        <color rgb="FFFF0000"/>
        <rFont val="Arial"/>
        <family val="2"/>
      </rPr>
      <t>Then, select the</t>
    </r>
    <r>
      <rPr>
        <sz val="11"/>
        <color theme="1"/>
        <rFont val="Arial"/>
        <family val="2"/>
      </rPr>
      <t xml:space="preserve"> corresponding coverage indicator </t>
    </r>
    <r>
      <rPr>
        <sz val="11"/>
        <color rgb="FFFF0000"/>
        <rFont val="Arial"/>
        <family val="2"/>
      </rPr>
      <t>from the drop-down list [unless pre-filled]</t>
    </r>
    <r>
      <rPr>
        <sz val="11"/>
        <color theme="1"/>
        <rFont val="Arial"/>
        <family val="2"/>
      </rPr>
      <t>. Blank cells highlighted in white require input. Cells highlighted in purple and gray will then be filled automatically.
The following instructions provide detailed information on how to complete the gap table for each module. Note that the TB/HIV collaborative intervention has several coverage indicators and therefore separate tables are to be completed. Remember, complete tables for only 4-6 priority modules.</t>
    </r>
  </si>
  <si>
    <t>Pour commencer à remplir chaque tableau, précisez le module/intervention prioritaire souhaité en le sélectionnant dans la liste déroulante qui se trouve à côté de la cellule « Module prioritaire » Veuillez noter que cela est prérempli dans certains tableaux. A moins qu’il ne soit prérempli, sélectionnez ensuite l’indicateur de couverture correspondant dans le menu déroulant.  Des informations doivent être saisies dans les cellules vides avec fond blanc. Les cellules avec fond violet se rempliront alors automatiquement.
Les instructions suivantes fournissent des informations détaillées sur la façon de remplir le tableau des lacunes programmatiques pour chaque module/intervention. Notez que l'intervention conjointe TB/VIH est associée à plusieurs indicateurs de couverture, ce qui impose de remplir des tableaux distincts. N'oubliez pas, ne remplissez les tableaux que pour 4 à 6 modules prioritaires.</t>
  </si>
  <si>
    <t>Para empezar a completar cada tabla, especifique el módulo o intervención prioritarios que desee seleccionándolos en la lista desplegable que aparece junto a la línea "Módulo prioritario" [tenga en cuenta que esto se completa previamente para algunas tablas].Luego, seleccione el indicador de cobertura correspondiente de la lista desplegable [a menos que se complete previamente].La información debe especificarse en las celdas resaltadas en blanco. Las celdas resaltadas en púrpura se rellenarán automáticamente.
Las instrucciones siguientes incluyen información detallada sobre cómo completar la tabla de brechas para cada módulo. Tenga en cuenta que la actividad conjunta de tuberculosis y VIH cuenta con varios indicadores de cobertura y, por lo tanto, se deberán completar tablas separadas. Recuerde que solo deberá completar las tablas correspondientes a los módulos prioritarios de 4 a 6.</t>
  </si>
  <si>
    <t>In cases where the indicators used by the country are worded differently than what is included in the programmatic gap tables (but the measurement is the same), please include the country definition in the comments box. A blank table can be found on the "Blank table" tab in the case where the number of tables provided in the workbook is not sufficient, or if the applicant wishes to submit a table for a module/intervention/indicator that is not specified in the instructions below.</t>
  </si>
  <si>
    <t>Dans les cas où les indicateurs utilisés par le pays sont formulés différemment de ce qui est inclus dans les tableaux des lacunes programmatiques  (mais la mesure reste la même), veuillez inclure la définition du pays dans la section commentaires.
L'onglet « Blank table » contient un tableau vierge qui pourra être utilisé si le nombre de tableaux dans le fichier Excel est insuffisant ou si le candidat souhaite soumettre un tableau pour un module/une intervention/un indicateur qui n'apparaît pas dans les instructions ci-dessous.</t>
  </si>
  <si>
    <t>En los casos en que la denominación de los indicadores utilizados por el país difiera de la que figura en las tablas de brechas programáticas (aunque la medición sea la misma), incluya la definición del país en la caja de comentarios. Si el número de tablas que se incluye en la hoja de cálculo no es suficiente o si el solicitante desea presentar una tabla para un módulo, intervención o indicador que no se haya especificado en las instrucciones siguientes, se podrá utilizar la pestaña "Tabla en blanco".</t>
  </si>
  <si>
    <r>
      <t xml:space="preserve">Coverage indicator: </t>
    </r>
    <r>
      <rPr>
        <sz val="11"/>
        <color rgb="FFFF0000"/>
        <rFont val="Arial"/>
        <family val="2"/>
      </rPr>
      <t>[select the relevant indicator from the drop-down list]</t>
    </r>
    <r>
      <rPr>
        <sz val="11"/>
        <color theme="1"/>
        <rFont val="Arial"/>
        <family val="2"/>
      </rPr>
      <t xml:space="preserve">
Percentage of people on ART among all people living with HIV at the end of the reporting period.</t>
    </r>
  </si>
  <si>
    <t>Indicador de cobertura: [seleccione el indicador de cobertura relevante de la lista desplegable]
Porcentaje de personas en tratamiento antirretroviral entre todas las personas que viven con el VIH que viven con el VIH al final del período de notificación.</t>
  </si>
  <si>
    <t>Country target:
Refers to National Strategic Plan (NSP) or any other latest agreed country target.
1) "#" refers to the total number of people to be on antiretroviral therapy.
2) "%" refers to the number of adults and/or children expected to be on antiretroviral therapy among all adults and children living with HIV.</t>
  </si>
  <si>
    <t>Meta del país:
Se refiere al Plan Estratégico Nacional (PEN) o a cualquier otra meta de país acordadarecientemente.
1) "#" se refiere al número total de personas que van a recibir tratamiento antirretroviral.
2) "%" se refiere al número de adultos y/o niños que se espera que reciban tratamiento antirretroviral entre todos los adultos y niños que viven con el VIH.</t>
  </si>
  <si>
    <r>
      <t>Comments/Assumptions:
1) Specify the target geographic area.
2) Specify who are the other sources of funding.
3)</t>
    </r>
    <r>
      <rPr>
        <sz val="11"/>
        <color rgb="FFFF0000"/>
        <rFont val="Arial"/>
        <family val="2"/>
      </rPr>
      <t xml:space="preserve"> Specify the amount of the programmatic gap that is in the within-allocation request, and the amount included in the above-allocation (PAAR). Clarify to what extent this request will cover needs in the highest incidence geographic areas.</t>
    </r>
    <r>
      <rPr>
        <sz val="11"/>
        <rFont val="Arial"/>
        <family val="2"/>
      </rPr>
      <t xml:space="preserve">
4) Indicate the difference between the Country target and the Global target. </t>
    </r>
  </si>
  <si>
    <t>Comentarios o supuestos:
1) Especifique el área geográfica objetivo.
2) Especifique cuáles son las otras fuentes de financiamiento.
3) Especifique el monto de la brecha programática que se encuentra en la solicitud de financiamiento de asignación y el monto incluido en la solicitud priorizada por encima del monto asignado (PAAR). Aclarar en qué medida esta solicitud cubrirá necesidades en las áreas geográficas de mayor incidencia. 
4) Indique la diferencia entre la meta del país y la meta global.</t>
  </si>
  <si>
    <t>Coverage indicator: [select the relevant coverage indicator from the drop-down list]
Percentage of pregnant women living with HIV who received antiretroviral medicine to reduce the risk of vertical transmission of HIV.</t>
  </si>
  <si>
    <r>
      <t xml:space="preserve">Comments/Assumptions:
1) Specify the target geographic area.
2) Specify who are the other sources of funding.
3) </t>
    </r>
    <r>
      <rPr>
        <sz val="11"/>
        <color rgb="FFFF0000"/>
        <rFont val="Arial"/>
        <family val="2"/>
      </rPr>
      <t xml:space="preserve">Specify the amount of the programmatic gap that is in the within-allocation request, and the amount included in the above-allocation (PAAR). Clarify to what extent this request will cover needs in the highest incidence mother-to-child transmission geographic areas. </t>
    </r>
    <r>
      <rPr>
        <sz val="11"/>
        <color theme="1"/>
        <rFont val="Arial"/>
        <family val="2"/>
      </rPr>
      <t xml:space="preserve">
4) Indicate the difference between the Country target and the Global target. </t>
    </r>
  </si>
  <si>
    <t>Comentarios o supuestos:
1) Especifique el área geográfica objetivo.
2) Especifique cuáles son las otras fuentes de financiamiento.
3) Especifique el monto de la brecha programática que se encuentra en la solicitud de financiamiento de asignación y el monto incluido en la solicitud priorizada por encima del monto asignado (PAAR). Aclarar en qué medida esta solicitud cubrirá necesidades en las áreas geográficas de mayor incidencia de transmisión maternoinfantil.
4) Indique la diferencia entre la meta del país y la meta global.</t>
  </si>
  <si>
    <r>
      <t xml:space="preserve">Coverage indicator: </t>
    </r>
    <r>
      <rPr>
        <sz val="11"/>
        <color rgb="FFFF0000"/>
        <rFont val="Arial"/>
        <family val="2"/>
      </rPr>
      <t>[select the relevant coverage indicator from the drop down list]</t>
    </r>
    <r>
      <rPr>
        <sz val="11"/>
        <color theme="1"/>
        <rFont val="Arial"/>
        <family val="2"/>
      </rPr>
      <t xml:space="preserve">
Percentage of key populations that have received an HIV test during the reporting period in key population specific programs and know their results. </t>
    </r>
  </si>
  <si>
    <t xml:space="preserve">Indicador de cobertura: [seleccione el indicador de cobertura relevante de la lista desplegable]
Porcentaje de poblaciones clave que se han sometido a una prueba del VIH durante el período de notificación en programas específicos de poblaciones clave y que conocen sus resultados. </t>
  </si>
  <si>
    <t>Población estimada con necesidades o en riesgo:
Se refiere al total estimado de poblaciones clave y vulnerables que necesitan pruebas de VIH.</t>
  </si>
  <si>
    <t>Estimated population in need/at risk:
Refers to total estimated key and vulnerable populations in need of HIV testing.</t>
  </si>
  <si>
    <t>Indicador de cobertura: [seleccione el indicador de cobertura pertinente de la lista desplegable]
Porcentaje de mujeres embarazadas que viven con el VIH que recibieron medicamentos antirretrovirales para reducir el riesgo de transmisión maternoinfantil del VIH.</t>
  </si>
  <si>
    <r>
      <t xml:space="preserve">Comments/Assumptions:
1) Specify the target geographic area.
2) Specify who are the other sources of funding.
3) </t>
    </r>
    <r>
      <rPr>
        <sz val="11"/>
        <color rgb="FFFF0000"/>
        <rFont val="Arial"/>
        <family val="2"/>
      </rPr>
      <t>Specify the amount of the programmatic gap that is in the within-allocation request, and the amount included in the above-allocation (PAAR). Clarify to what extent this request will cover needs in the highest incidence geographic areas.</t>
    </r>
    <r>
      <rPr>
        <sz val="11"/>
        <color theme="1"/>
        <rFont val="Arial"/>
        <family val="2"/>
      </rPr>
      <t xml:space="preserve">
4) Indicate the difference between the Country target and the Global target. </t>
    </r>
  </si>
  <si>
    <t>Comentarios o supuestos:
1) Especifique el área geográfica objetivo.
2) Especifique cuáles son las otras fuentes de financiamiento.
3) Especifique el monto de la brecha programática que se encuentra en la solicitud de financiamiento de asignación y el monto incluido en la solicitud priorizada por encima del monto asignado (PAAR). Aclarar en qué medida esta solicitud cubrirá necesidades en las áreas geográficas de mayor incidencia.
4) Indique la diferencia entre la meta del país y la meta global.</t>
  </si>
  <si>
    <r>
      <t>Coverage Indicator:
Select the relevant coverage indicator</t>
    </r>
    <r>
      <rPr>
        <sz val="11"/>
        <color rgb="FFFF0000"/>
        <rFont val="Arial"/>
        <family val="2"/>
      </rPr>
      <t xml:space="preserve"> from the drop-down list</t>
    </r>
    <r>
      <rPr>
        <sz val="11"/>
        <rFont val="Arial"/>
        <family val="2"/>
      </rPr>
      <t xml:space="preserve">. </t>
    </r>
  </si>
  <si>
    <t>Indicador de cobertura:
Seleccione el indicador de cobertura pertinente de la lista desplegable.</t>
  </si>
  <si>
    <r>
      <t xml:space="preserve">Comments/Assumptions:
1) Specify the interventions included in the package. The package should refer to defined set of interventions that should be received by people and based on which they are included in the results, i.e., people should only be counted when they received the full set of interventions in the defined package.
2) If "other vulnerable populations", please describe this population in the comments section.
3) Indicate the difference between the Country target and the Global target.
4) Specify who are the other sources of funding.
5) </t>
    </r>
    <r>
      <rPr>
        <sz val="11"/>
        <color rgb="FFFF0000"/>
        <rFont val="Arial"/>
        <family val="2"/>
      </rPr>
      <t>Specify the amount of the programmatic gap that is in the within-allocation request, and the amount included in the above-allocation (PAAR). Clarify to what extent this request will cover needs in the highest incidence geographic areas.</t>
    </r>
  </si>
  <si>
    <t>Comentarios o supuestos:
1) Especifique las intervenciones que se incluyen en el paquete. El paquete debe referirse al conjunto definido de intervenciones que deben recibir las personas y en base al cual se incluyen en los resultados, es decir, las personas solo deben incluirse en el recuento cuando hayan recibido el conjunto completo de intervenciones del paquete definido.
2) Si se trata de "otras poblaciones vulnerables", describa esta población en la sección de comentarios.
3) Indique la diferencia entre la meta del país y la meta global.
4) Especifique cuáles son las otras fuentes de financiamiento.
5) Especifique el monto de la brecha programática que se encuentra en la solicitud de financiamiento de asignación y el monto incluido en la solicitud priorizada por encima del monto asignado (PAAR). Aclarar en qué medida esta solicitud cubrirá necesidades en las áreas geográficas de mayor incidencia.</t>
  </si>
  <si>
    <t>Coverage indicator: selection the relevant coverage indicator from the drop-down list]
Number of key populations or AGYW who received any PrEP product at least once during the reporting period.</t>
  </si>
  <si>
    <t>Indicador de cobertura: [seleccione el indicador de cobertura pertinente de la lista desplegable]
Número de poblaciones clave o niñas adolescentes y mujeres jóvenes que recibieron PrEP al menos una vez durante el período de reporte.</t>
  </si>
  <si>
    <r>
      <t xml:space="preserve">Comments/Assumptions:
1) Indicate the difference between the Country Target and Estimated number at risk who should receive PrEP.
2) Specify who are the other sources of funding.
3) </t>
    </r>
    <r>
      <rPr>
        <sz val="11"/>
        <color rgb="FFFF0000"/>
        <rFont val="Arial"/>
        <family val="2"/>
      </rPr>
      <t>Specify the amount of the programmatic gap that is in the within-allocation request, and the amount included in the above-allocation (PAAR). Clarify to what extent this request will cover needs in the highest incidence geographic areas.</t>
    </r>
  </si>
  <si>
    <t>Comentarios o supuestos:
1) Indique la diferencia entre la meta del país y el número estimado de personas en riesgo que deberían recibir la PrEP.
2) Especifique cuáles son las otras fuentes de financiamiento externos.
3) Especifique el monto de la brecha programática que se encuentra en la solicitud de financiamiento de asignación y el monto incluido en la solicitud priorizada por encima del monto asignado (PAAR). Aclarar en qué medida esta solicitud cubrirá necesidades en las áreas geográficas de mayor incidencia.</t>
  </si>
  <si>
    <t xml:space="preserve">There are 3 tables in the “HIV-PrEP” tab. The Global Fund incidence reduction strategy delivery priority countries need to complete a PrEP gap table for the two priority key population groups in terms of incidence or number of new infections: men who have sex with men, sex workers, transgender people, people who inject drugs. In addition, all Global Fund AGYW priority countries need to complete the gap table for adolescent girls and young women in high incidence settings.  </t>
  </si>
  <si>
    <t>Hay 3 tablas en la pestaña “HIV-PrEP”. Los países prioritarios para la ejecución de la estrategia de reducción de la incidencia del Fondo Mundial deben completar una tabla de brechas de PrEP para los dos grupos prioritarios de población clave (en términos de incidencia o número de nuevas infecciones): hombres que tienen relaciones sexuales con hombres; trabajadores del sexo, personas transgénero, usuarios de drogas inyectables, otras poblaciones vulnerables. Además, todos los países prioritarios para la iniciativa de "niñas adolescentes y mujeres jóvenes en entornos de alta incidencia" del Fondo Mundial deben completar la tabla de brechas correspondiente.</t>
  </si>
  <si>
    <r>
      <t>Coverage Indicator:</t>
    </r>
    <r>
      <rPr>
        <sz val="11"/>
        <color rgb="FFFF0000"/>
        <rFont val="Arial"/>
        <family val="2"/>
      </rPr>
      <t>[selecte the relevant coverage indicator from the drop-down list]</t>
    </r>
    <r>
      <rPr>
        <sz val="11"/>
        <color theme="1"/>
        <rFont val="Arial"/>
        <family val="2"/>
      </rPr>
      <t xml:space="preserve">
Number of condoms (male and female) distributed by the program for (key population </t>
    </r>
    <r>
      <rPr>
        <sz val="11"/>
        <color rgb="FFFF0000"/>
        <rFont val="Arial"/>
        <family val="2"/>
      </rPr>
      <t>or AGYW</t>
    </r>
    <r>
      <rPr>
        <sz val="11"/>
        <color theme="1"/>
        <rFont val="Arial"/>
        <family val="2"/>
      </rPr>
      <t>).</t>
    </r>
  </si>
  <si>
    <t>Indicador de cobertura: [seleccione el indicador de cobertura pertinente de la lista desplegable] 
Número de preservativos (masculinos y femeninos) distribuidos por el programa para (población clave o niñas adolescentes y mujeres jóvenes).</t>
  </si>
  <si>
    <t>Hay 3 tablas en la pestaña “HIV-Condoms”. Los países prioritarios para la ejecución de la estrategia de reducción de la incidencia del Fondo Mundial deben completar una tabla de brechas relativa a los preservativos para los dos grupos prioritarios de población clave (en términos de incidencia o número de nuevas infecciones): hombres que tienen relaciones sexuales con hombres; trabajadores del sexo,  personas transgénero, usuarios de drogas inyectables, otras poblaciones vulnerables. Además, todos los países prioritarios para la iniciativa de "niñas adolescentes y mujeres jóvenes en entornos de alta incidencia" del Fondo Mundial deben completar la tabla de brechas correspondiente.</t>
  </si>
  <si>
    <t>Comments/Assumptions:
1) Indicate the difference between the Country target and number estimated by C-NET. 
2) Specify who are the other sources of funding.
3) Specify the amount of the programmatic gap that is in the within-allocation request, and the amount included in the above-allocation (PAAR). Clarify to what extent this request will cover needs in the highest incidence geographic areas.</t>
  </si>
  <si>
    <t>Comentarios o supuestos:
1) Si se trata de "otras poblaciones vulnerables", describa esta población en la sección de comentarios.
2) Indique la diferencia entre la meta del país y el número que se ha estimado con la herramienta C-NET. 
3) Especifique el monto de la brecha programática que se encuentra en la solicitud de financiamiento de asignación y el monto incluido en la solicitud priorizada por encima del monto asignado (PAAR). Aclarar en qué medida esta solicitud cubrirá necesidades en las áreas geográficas de mayor incidencia.</t>
  </si>
  <si>
    <t xml:space="preserve">Note: Throughout the instructions, the term “high incidence settings” is used to indicate “high-risk AGYW”. High HIV incidence settings are sub-national locations with an HIV incidence of 1% or more among AGYW 15-24 years as per UNAIDS criteria. AGYW residing in these areas are considered high-risk. However, those residing within areas with moderate HIV incidence of 0.3% to &lt;1% can also be considered high-risk AGYW based on their reported behaviour (AGYW with non-regular sexual partner(s) and young women from key populations). [UNAIDS (2021). Global AIDS Strategy 2021-2026 — End Inequalities. End AIDS.]  </t>
  </si>
  <si>
    <t>Remarque : Dans les instructions, le terme « contextes à incidence élevée » est utilisé pour indiquer « les adolescentes et les jeunes femmes à haut risque ». Les contextes à incidence élevée du VIH sont relatifs à des zones sous-nationales dans lesquelles l’incidence du VIH est de 1 % ou plus parmi les adolescentes et les jeunes femmes de 15 à 24 ans, selon les critères de l'ONUSIDA. Les adolescentes et les jeunes femmes résidant dans ces zones sont considérées comme à haut risque. Cependant, les adolescentes et des jeunes femmes résidant dans des zones où l'incidence du VIH est modérée, de 0,3 à &lt;1 %, peuvent également être considérées à haut risque, sur la base de leur comportement déclaré (adolescentes et jeunes femmes avec partenaire(s) sexuel(s) non régulier(s) et jeunes femmes des populations clés). [ONUSIDA (2021). Stratégie mondiale de lutte contre le sida 2021-2026 — Mettre fin aux inégalités. En finir avec le SIDA.]</t>
  </si>
  <si>
    <t>Nota: A lo largo de las instrucciones, el término "entornos de alta incidencia" se utiliza para indicar "AGYW de alto riesgo". Los entornos de alta incidencia del VIH son ubicaciones subnacionales con una incidencia del VIH del 1 % o más entre las niñas adolescentes y mujeres jóvenes de 15 a 24 años según los criterios de la ONUSIDA. Las niñas adolescentes y mujeres jóvenes que residen en estas áreas se consideran de alto riesgo. Sin embargo, las niñas adolescentes y mujeres jóvenes que residen en áreas con una incidencia moderada de VIH de 0.3 a &lt;1% también pueden ser consideradas de alto riesgo en base a su comportamiento informado (niñas adolescentes y mujeres jóvenes con parejas sexuales no regulares y mujeres jóvenes de poblaciones clave). [ONUSIDA (2021). Estrategia mundial contra el sida 2021-2026 — Poner fin a las desigualdades. Terminar con el SIDA.]</t>
  </si>
  <si>
    <r>
      <rPr>
        <sz val="11"/>
        <color rgb="FFFF0000"/>
        <rFont val="Arial"/>
        <family val="2"/>
      </rPr>
      <t>There are 3 tables in the "HIV-Prevention" tab</t>
    </r>
    <r>
      <rPr>
        <sz val="11"/>
        <color theme="1"/>
        <rFont val="Arial"/>
        <family val="2"/>
      </rPr>
      <t xml:space="preserve">. Please complete separate tables for each of the key and vulnerable populations as relevant to the funding request. Reminder: Gap tables must be completed for the </t>
    </r>
    <r>
      <rPr>
        <sz val="11"/>
        <color rgb="FFFF0000"/>
        <rFont val="Arial"/>
        <family val="2"/>
      </rPr>
      <t>two priority key population groups in terms of incidence or number of new infections: men who have sex with men; sex workers, transgender people, people who inject drugs, other vulnerable popluations</t>
    </r>
    <r>
      <rPr>
        <sz val="11"/>
        <color theme="1"/>
        <rFont val="Arial"/>
        <family val="2"/>
      </rPr>
      <t xml:space="preserve">. In addition, all Global Fund AGYW priority countries need to complete the gap table for </t>
    </r>
    <r>
      <rPr>
        <sz val="11"/>
        <color rgb="FFFF0000"/>
        <rFont val="Arial"/>
        <family val="2"/>
      </rPr>
      <t>adolescent girls and young women in high incidence settings.</t>
    </r>
  </si>
  <si>
    <t>Hay 3 tablas en la pestaña "HIV-Prevención". Complete tablas separadas para cada una de las poblaciones clave y vulnerables según corresponda a la solicitud de financiamiento. Recordatorio: se deberán completar las tablas de brechas relativas a los dos grupos prioritarios de población clave según la incidencia o número de nuevas infecciones: hombres que tienen relaciones sexuales con hombres; trabajadores del sexo personas transgénero, usuarios de drogas inyectables, otras poblaciones vulnerables. Además, todos los países prioritarios para la iniciativa de "niñas adolescentes y mujeres jóvenes en entornos de alta incidencia" del Fondo Mundial deben completar la tabla de brechas correspondiente.</t>
  </si>
  <si>
    <t>There are 3 tables in the "HIV-Condom" tab. The Global Fund incidence reduction strategy delivery priority countries need to complete a condom gap table for the two priority key population groups (in terms of number of new infections or incidence): men who have sex with men; sex workers; transgender people; people who inject drugs. In addition, all Global Fund AGYW priority countries need to complete the gap table for adolescent girls and young women in high incidence settings.</t>
  </si>
  <si>
    <t>A. Total estimated number of all adults and/or children living with HIV</t>
  </si>
  <si>
    <t>A. Nombre total estimé de tous les adultes et/ou enfants vivant avec le VIH</t>
  </si>
  <si>
    <t>A. Número total estimado de todos los adultos y/o niños que viven con el VIH</t>
  </si>
  <si>
    <t>A. Total estimated number of people in the specified key and vulnerable population</t>
  </si>
  <si>
    <t>A. Nombre total estimé de personnes dans la population clé et vulnérables spécifiée</t>
  </si>
  <si>
    <t>A. Número total estimado de personas de la población clave y vulnerable especificada</t>
  </si>
  <si>
    <t>A. Total estimated number of HIV-positive pregnant women</t>
  </si>
  <si>
    <t>A. Nombre total estimé de femmes enceintes vivant avec le VIH</t>
  </si>
  <si>
    <t>A. Número total estimado de mujeres embarazadas que viven con el VIH</t>
  </si>
  <si>
    <t xml:space="preserve">Condom Programmatic Gap Table 3 </t>
  </si>
  <si>
    <t xml:space="preserve">Tableau des lacunes programmatiques 3 - Les préservatifs </t>
  </si>
  <si>
    <t xml:space="preserve">Tabla 3 VIH/SIDA de brechas programáticas de preservativos  </t>
  </si>
  <si>
    <t>EMTCT Programmatic Gap Table 2</t>
  </si>
  <si>
    <t xml:space="preserve">Tableau 2 des lacunes programmatiques - ETME - EMTCT </t>
  </si>
  <si>
    <t>Tabla 2 de brechas programáticas - Eliminación de la transmisión maternoinfantil</t>
  </si>
  <si>
    <t>EMTCT Programmatic Gap Table 3</t>
  </si>
  <si>
    <t>HIV Testing Programmatic Gap Table 3</t>
  </si>
  <si>
    <t>Tableau 3 des lacunes programmatiques  - Services de dépistage du VIH</t>
  </si>
  <si>
    <t>Tabla 3 de brechas programáticas  - Preuebas del VIH</t>
  </si>
  <si>
    <t>Prevention package for sex workers, their clients and other sexual partners</t>
  </si>
  <si>
    <t>Number of condoms (male and female) distributed by the program for adolescent girls and young women in high incidence settings</t>
  </si>
  <si>
    <t>Número de preservativos (masculinos y femeninos) distribuidos por el programa para niñas adolescentes y mujeres jóvenes en entornos de alta incidencia del VIH</t>
  </si>
  <si>
    <t>Number of condoms (male and female) distributed by the program for sex workers</t>
  </si>
  <si>
    <t>Number of condoms (male and female) distributed by the program for people who inject drugs</t>
  </si>
  <si>
    <t>Nombre de préservatifs (masculins et féminins) distribués par le programme pour les professionnel(le)s du sexe</t>
  </si>
  <si>
    <t>Número de preservativos (masculinos y femeninos) distribuidos por el programa para los usuarios de drogas inyectables</t>
  </si>
  <si>
    <t>Número de preservativos (masculinos y femeninos) distribuidos por el programa para los trabajadores del sexo</t>
  </si>
  <si>
    <t>HIV Testing (HTS) - KP Indicators</t>
  </si>
  <si>
    <t>Pourcentage d’adolescentes et de jeunes femmes à haut risque ayant été dépistées pour le VIH durant la période de rapportage dans des programmes destinés aux adolescentes et aux jeunes femmes.</t>
  </si>
  <si>
    <t>Pourcentage de HSH ayant été dépistés pour le VIH au cours de la période de rapportage dans des programmes destinés spécifiquement aux populations clés et qui connaissent leur résultat.</t>
  </si>
  <si>
    <t>Pourcentage de personnes TG ayant été dépistées pour le VIH au cours de la période de rapportage dans des programmes destinés spécifiquement aux populations clés et qui connaissent leur résultat.</t>
  </si>
  <si>
    <t>Pourcentage de travailleurs et travailleuses du sexe ayant été dépistés pour le VIH au cours de la période de rapportage dans des programmes destinés spécifiquement aux populations clés et qui connaissent leur résultat.</t>
  </si>
  <si>
    <t>Pourcentage de personnes qui consomment des drogues injectables ayant été dépistées pour le VIH au cours de la période de rapportage dans des programmes destinés spécifiquement aux populations clés et qui connaissent leur résultat.</t>
  </si>
  <si>
    <t>Pourcentage d’autres populations vulnérables ayant été dépistées pour le VIH durant la période de rapportage et qui connaissent leur résultat.</t>
  </si>
  <si>
    <t>Nombre de personnes incarcérées ou se trouvant dans d’autres lieux fermés ayant été dépistées pour le VIH durant la période de rapportage et qui connaissent leur résultat.</t>
  </si>
  <si>
    <t>Porcentaje de niñas adolescentes y mujeres jóvenes expuestas a un riesgo elevado que se han sometido a una prueba del VIH durante el período de reporte en los programas para niñas adolescentes y mujeres jóvenes.</t>
  </si>
  <si>
    <t>Porcentaje de hombres que tienen relaciones sexuales con hombres que se han sometido a una prueba del VIH durante el período de reporte en programas específicos de poblaciones clave y que conocen sus resultados.</t>
  </si>
  <si>
    <t>Porcentaje de personas transgénero que se han sometido a una prueba del VIH durante el período de reporte en programas específicos de poblaciones clave y que conocen sus resultados.</t>
  </si>
  <si>
    <t>Porcentaje de trabajadores del sexo que se han sometido a una prueba del VIH durante el período de reporte en programas específicos de poblaciones clave y que conocen sus resultados.</t>
  </si>
  <si>
    <t>Porcentaje de usuarios de drogas inyectables que se han sometido a una prueba del VIH durante el período de reporte en programas específicos de poblaciones clave y que conocen sus resultados.</t>
  </si>
  <si>
    <t>Porcentaje de otras poblaciones vulnerables que se han sometido a una prueba del VIH durante el período de reporte y que conocen sus resultados.</t>
  </si>
  <si>
    <t>Número de personas privadas de libertad en centros penitenciarios y otros lugares de reclusión que se han sometido a una prueba del VIH durante el período de reporte y que conocen sus resultados.</t>
  </si>
  <si>
    <t>Key PopPrep (KP-6)</t>
  </si>
  <si>
    <t>Nombre d'hommes ayant des rapports sexuels avec des hommes ayant reçu au moins une fois un produit de PrEP au cours de la période de rapportage.</t>
  </si>
  <si>
    <t>Nombre de personnes transgenres ayant reçu au moins une fois un produit de PrEP au cours de la période de rapportage.</t>
  </si>
  <si>
    <t>Nombre de travailleurs et travailleuses du sexe ayant reçu au moins une fois un produit de PrEP au cours de la période de rapportage.</t>
  </si>
  <si>
    <t>Nombre de personnes qui consomment des drogues injectables ayant reçu au moins une fois un produit de PrEP au cours de la période de rapportage.</t>
  </si>
  <si>
    <t>Nombre d’adolescentes et de jeunes femmes à haut risque ayant reçu au moins une fois un produit de PrEP au cours de la période de rapportage.</t>
  </si>
  <si>
    <t>Número de niñas adolescentes y mujeres jóvenes expuestas a un riesgo elevado que recibieron algún producto de PrEP al menos una vez durante el período de reporte.</t>
  </si>
  <si>
    <t>Número de usuarios de drogas inyectables que recibieron algún producto de PrEP al menos una vez durante el período de reporte.</t>
  </si>
  <si>
    <t xml:space="preserve">Número de trabajadores del sexo que recibieron algún producto de PrEP al menos una vez durante el período de reporte. </t>
  </si>
  <si>
    <t xml:space="preserve">Número de personas transgénero que recibieron algún producto de PrEP al menos una vez durante el período de reporte. </t>
  </si>
  <si>
    <t xml:space="preserve">Número de hombres que tienen relaciones sexuales con hombres que recibieron algún producto de PrEP al menos una vez durante el período de reporte. </t>
  </si>
  <si>
    <t>professionnel(le)s du sexe</t>
  </si>
  <si>
    <t>personnes qui s'injectent des drogues</t>
  </si>
  <si>
    <t>trabajadores del sexo</t>
  </si>
  <si>
    <t>personas que se inyectan drogas</t>
  </si>
  <si>
    <t>Prevention package for AGYW and their male sexual partners in high HIV incidence settings</t>
  </si>
  <si>
    <t>Élimination de la transmission verticale du VIH, de la syphilis et de l’hépatite B</t>
  </si>
  <si>
    <t>Eliminación de la transmisión maternoinfantil del VIH, la sífilis y la hepatitis B</t>
  </si>
  <si>
    <t>Pourcentage de femmes enceintes vivant avec le VIH ayant reçu une thérapie antirétrovirale pour réduire le risque de transmission verticale du VIH.</t>
  </si>
  <si>
    <t>Porcentaje de mujeres embarazadas seropositivas que recibieron medicamentos antirretrovirales para reducir el riesgo de transmisión maternoinfantil del VIH.</t>
  </si>
  <si>
    <t>Pourcentage de personnes vivant avec le VIH ayant initié la TARV et chez qui les signes de la tuberculose ont été recherchés</t>
  </si>
  <si>
    <t>Porcentaje de personas que viven con el VIH que acaban de iniciar el tratamiento antirretroviral y que fueron sometidas a pruebas de tuberculosis</t>
  </si>
  <si>
    <t>Percentage of HIV-positive new and relapse TB patients on ART during TB treatment.</t>
  </si>
  <si>
    <t>Pourcentage de patients atteints de tuberculose (nouveaux cas et rechutes) vivant avec le VIH sous TARV pendant leur traitement antituberculeux.</t>
  </si>
  <si>
    <t>Porcentaje de pacientes nuevos y recaídas de tuberculosis en pacientes coinfectados por VIH que recibieron tratamiento antirretroviral durante el tratamiento de la tuberculosis.</t>
  </si>
  <si>
    <t>Pourcentage de personnes vivant avec le VIH actuellement sous thérapie antirétrovirale qui ont initié un traitement préventif de la tuberculose (TPT) pendant la période de rapportage.</t>
  </si>
  <si>
    <t xml:space="preserve">Porcentaje de personas que viven con el VIH actualmente inscritas en el tratamiento antirretroviral que iniciaron el tratamiento preventivo de la tuberculosis durante el período de reporte. </t>
  </si>
  <si>
    <t>Diagnostic, traitement et prise en charge de la tuberculose - dépistage et diagnostic de la TB</t>
  </si>
  <si>
    <t>Diagnostic, traitement et prise en charge de la tuberculose pharmacorésistante (DR-TB) - Diagnostic de la TB pharmacorésistante/Test de sensibilité aux médicaments</t>
  </si>
  <si>
    <t xml:space="preserve">Diagnostic, traitement et prise en charge de la tuberculose pharmacorésistante (DR-TB) - Traitement, prise en charge et soutien de la tuberculose pharmacorésistante (DR-TB) </t>
  </si>
  <si>
    <t xml:space="preserve">Diagnóstico, tratamiento y atención a la TB farmacorresistente (TB-DR) - Tratamiento, atención y apoyo para la TB-DR </t>
  </si>
  <si>
    <t>Tuberculose/VIH - Traitement et prise en charge</t>
  </si>
  <si>
    <t>TB/VIH - Tratamiento y atención</t>
  </si>
  <si>
    <t>Pourcentage de personnes vivant avec le VIH ayant initié la TARV et chez qui les signes de la tuberculose ont été recherchés.</t>
  </si>
  <si>
    <t>Pourcentage de patients atteints de tuberculose enregistrés (nouveaux cas et rechutes) dont le statut sérologique VIH est documenté.</t>
  </si>
  <si>
    <t>Porcentaje de pacientes nuevos y recaídas de tuberculosis registrados con estado serológico respecto al VIH documentado</t>
  </si>
  <si>
    <t>Cobertura de la investigación de contactos: proporción de contactos de personas con tuberculosis confirmada bacteriológicamente evaluados para la tuberculosis entre las personas elegibles</t>
  </si>
  <si>
    <t>Pourcentage de patients déclarés atteints de tuberculose toutes formes confondues (c.-à-d. confirmés bactériologiquement et diagnostiqués cliniquement) déclarés par des prestataires de soins hors programme national de lutte contre la TB – référés par la communauté ; *n'inclut que les nouveaux patients et les cas de rechute.</t>
  </si>
  <si>
    <t>Tuberculose/VIH - Patients atteints de tuberculose et dont le statut sérologique vis-à-vis du VIH est connu</t>
  </si>
  <si>
    <t>Diagnóstico, tratamiento y atención de la TB - Tamizaje y diagnóstico de la tuberculosis</t>
  </si>
  <si>
    <t xml:space="preserve">Prevención TB/TB-DR - Tratamiento preventivo (contactos elegibles) </t>
  </si>
  <si>
    <t xml:space="preserve">TB/VIH - Prevención TB/VIH (únicamente para personas que viven con el VIH) </t>
  </si>
  <si>
    <t xml:space="preserve">TB/VIH - Tamizaje, realización de pruebas y diagnóstico de la TB entre pacientes VIH </t>
  </si>
  <si>
    <t>Nombre de patients déclarés atteints de tuberculose toutes formes confondues (c.-à-d. confirmés bactériologiquement et diagnostiqués cliniquement) ; *n'inclut que les nouveaux patients et les rechutes</t>
  </si>
  <si>
    <t>Número de pacientes notificados con todas las formas de tuberculosis (esto es, confirmada bacteriológicamente + diagnosticada clínicamente), *incluye únicamente pacientes nuevos y recaídas</t>
  </si>
  <si>
    <t>Porcentaje de pacientes notificados con todas las formas de tuberculosis (esto es, confirmada bacteriológicamente + diagnosticada clínicamente) aportados por proveedores ajenos al programa nacional de tuberculosis – establecimientos privados o no gubernamentales; *incluye únicamente pacientes nuevos y recaídas</t>
  </si>
  <si>
    <t>Porcentaje de pacientes notificados con todas las formas de tuberculosis (esto es, confirmada bacteriológicamente + diagnosticada clínicamente) aportados por proveedores ajenos al programa nacional de tuberculosis – referencias comunitarias; *incluye únicamente pacientes nuevos y recaídas</t>
  </si>
  <si>
    <t>Pourcentage de patients déclarés atteints de tuberculose toutes formes confondues (c.-à-d. confirmés bactériologiquement et diagnostiqués cliniquement) déclarés par des prestataires de soins hors programme national de lutte contre la TB – formations sanitaires privées/non gouvernementales ; *n'inclut que les nouveaux patients et les rechutes</t>
  </si>
  <si>
    <t>Nombre de personnes en contact avec des patients atteints de tuberculose ayant commencé un traitement préventif</t>
  </si>
  <si>
    <t>Couverture de la recherche des contacts : proportion de contacts de personnes atteintes de tuberculose confirmée bactériologiquement évalués pour la TB parmi les personnes éligibles</t>
  </si>
  <si>
    <t>Pourcentage de personnes vivant avec le VIH actuellement sous thérapie antirétrovirale qui ont initié un traitement préventif de la tuberculose (TPT) pendant la période de rapportage</t>
  </si>
  <si>
    <t>Pourcentage de patients atteints de tuberculose (nouveaux cas et rechutes) vivant avec le VIH sous TARV pendant leur traitement antituberculeux</t>
  </si>
  <si>
    <t>Pourcentage de patients atteints de tuberculose enregistrés (nouveaux cas et rechutes) dont le statut sérologique VIH est documenté</t>
  </si>
  <si>
    <t>Nombre de personnes atteintes de TB-RR et/ou de TB-MR confirmée qui ont été déclarées</t>
  </si>
  <si>
    <t>Número de personas con TB-RR y/o TB-MDR confirmada notificado</t>
  </si>
  <si>
    <t>Porcentaje de pacientes nuevos y recaídas de tuberculosis en pacientes coinfectados por VIH que recibieron tratamiento antirretroviral durante el tratamiento de la tuberculosis</t>
  </si>
  <si>
    <t>Porcentaje de personas que viven con el VIH actualmente inscritas en el tratamiento antirretroviral que iniciaron el tratamiento preventivo de la tuberculosis durante el período de reporte</t>
  </si>
  <si>
    <t>Número de personas en contacto con pacientes de tuberculosis que empezaron a recibir terapia preventivo</t>
  </si>
  <si>
    <t>Percentage of notified patients with all forms of TB (i.e.,
bacteriologically confirmed + clinically diagnosed) contributed by non-national TB program providers- private/non-governmental facilities; *includes only those with new and relapse TB</t>
  </si>
  <si>
    <t>Percentage of notified patients with all forms of TB (i.e.,
bacteriologically confirmed + clinically diagnosed) contributed by non-national TB program providers- community referrals; *includes only those with new and relapse TB</t>
  </si>
  <si>
    <t>Percentage of people living with HIV newly initiated on ART who were screened for TB</t>
  </si>
  <si>
    <t>Number of bacteriologically confirmed RR-TB and/or MDR-TB cases registered and started on a prescribed RR-TB and/or MDR-TB treatment regimen</t>
  </si>
  <si>
    <t>Percentage of registered new and relapse TB patients with documented HIV status</t>
  </si>
  <si>
    <t>Percentage of HIV-positive TB patients (new and relapse) on ART during TB treatment</t>
  </si>
  <si>
    <t>Percentage of PLHIV currently enrolled on ART who started TB preventive therapy during the reporting period</t>
  </si>
  <si>
    <t>Contact investigation coverage: Proportion of contacts of people with bacteriologically-confirmed TB evaluated for TB among those eligible</t>
  </si>
  <si>
    <t>Number of people in contact with TB patients who began preventive therapy</t>
  </si>
  <si>
    <t>Number of patients with of all forms of TB notified (i.e.,
bacteriologically confirmed + clinically diagnosed); *includes only those with new and relapse TB</t>
  </si>
  <si>
    <t>Number of people with confirmed RR-TB and/or MDR-TB notified</t>
  </si>
  <si>
    <t>Tuberculose/VIH - Patients atteints de tuberculose et dont le statut VIH est connu</t>
  </si>
  <si>
    <t>Tuberculose/VIH - Dépistage, diagnostic et test de la TB parmi les patients atteints du VIH</t>
  </si>
  <si>
    <t>Tuberculose/VIH - Prévention de la TB/VIH (uniquement pour PVVIH)</t>
  </si>
  <si>
    <t>Percentage of PLHIV currently enrolled in ART who started TB preventive therapy during the reporting period</t>
  </si>
  <si>
    <t>Nombre de cas de TB-RR/TB-MR confirmés bactériologiquement, enregistrés et ayant commencé un traitement prescrit contre la TB-RR/la TB-MR</t>
  </si>
  <si>
    <t>Paquet de prévention pour les travailleurs et travailleuses du sexe, leurs client(e)s et autres partenaires sexuel(le)s</t>
  </si>
  <si>
    <t xml:space="preserve">Paquete de prevención para trabajadores del sexo, sus clientes y otras parejas </t>
  </si>
  <si>
    <t>Nombre de préservatifs (masculins et féminins) distribués par le programme pour les personnes qui s'injectent des drogues</t>
  </si>
  <si>
    <t>Nombre de préservatifs (masculins et féminins) distribués par le programme pour les adolescentes et jeunes femmes dans les contextes à incidence élevée du VIH</t>
  </si>
  <si>
    <t>Percentage of Key Populations reached with prevention programs - defined package of services</t>
  </si>
  <si>
    <t>Porcentaje de poblaciones clave que se benefician  por programas de prevención - paquete definido de servicios</t>
  </si>
  <si>
    <t>Porcentaje de personas que consumen drogas inyectables que reciben tratamiento de sustitución de opiáceos</t>
  </si>
  <si>
    <t>Pourcentage de personnes qui consomment des drogues injectables recevant un traitement de substitution aux opiacés</t>
  </si>
  <si>
    <t xml:space="preserve">Percentage of PWID receiving opioid substitution therapy </t>
  </si>
  <si>
    <t>Elimination of Vertical Transmission of HIV, Syphilis and Hepatitis B</t>
  </si>
  <si>
    <t>Pourcentage d’hommes ayant des rapports sexuels avec des hommes ayant eu accès aux programmes de prévention du VIH - paquet de services définis</t>
  </si>
  <si>
    <t>Porcentaje de hombres que tienen relaciones sexuales con hombres que se benefician de programas de prevención del VIH: paquete definido de servicios</t>
  </si>
  <si>
    <t>Pourcentage de personnes transgenres ayant eu accès aux programmes de prévention du VIH - paquet de services définis</t>
  </si>
  <si>
    <t>Porcentaje de personas transgénero que se benefician de los programas de prevención del VIH: paquete definido de servicios</t>
  </si>
  <si>
    <t>Pourcentage de travailleurs et travailleuses du sexe ayant bénéficié de programmes préventifs de lutte contre le VIH - paquet de services définis</t>
  </si>
  <si>
    <t>Porcentaje de trabajadores del sexo que se benefician de programas de prevención del VIH: paquete definido de servicios</t>
  </si>
  <si>
    <t>Pourcentage de personnes qui consomment des drogues injectables ayant bénéficié de programmes préventifs de lutte contre le VIH - paquet de services définis</t>
  </si>
  <si>
    <t>Porcentaje de usuarios de drogas inyectables que se benefician de programas de prevención del VIH: paquete definido de servicios</t>
  </si>
  <si>
    <t>Pourcentage d’adolescentes et de jeunes femmes à haut risque bénéficiant de programmes préventifs de lutte contre le VIH - paquet de services définis</t>
  </si>
  <si>
    <t>Porcentaje de niñas adolescentes y mujeres jóvenes expuestas a un riesgo elevado que se benefician de programas de prevención del VIH: paquete definido de servicios</t>
  </si>
  <si>
    <t>FACULTATIF: Collaboration avec d'autres prestataires et secteurs - Engagement des prestataires privés dans les soins de la TB/ TB pharmacorésistante</t>
  </si>
  <si>
    <t>FACULTATIF: Collaboration avec d'autres prestataires et secteurs – Engagement des acteurs communautaires dans la prise en charge de la TB/ TB pharmacorésistante</t>
  </si>
  <si>
    <t>Prevención TB/TB-DR - Tamizaje/pruebas de infección por TB</t>
  </si>
  <si>
    <t xml:space="preserve">Por favor, complete separadamente las tablas de brechas programáticas incluidas en la hoja de cálculo "Tables" para cada módulo prioritario relevante en la solicitud de financiamiento para la tuberculosis. La siguiente lista ofrece ejemplos de módulos y las intervenciones pertinentes correspondientes que se pueden seleccionar. Complete las tablas solo para los intervenciones aprobados e incluidos en la solicitud de financiamiento. Consulte en el Manual del Marco Modular una lista de todos los módulos, las intervenciones con su correspondiente descripción y los indicadores. 
Para obtener orientación a la hora de completar esta tabla de brechas programáticas, consulte el Manual del Marco Modular y la Nota informativa sobre el TB del Fondo Mundial, en la que se hace referencia a los documentos de orientación técnica correspondientes.
Módulos o intervenciones prioritarios:
- Diagnóstico, tratamiento y atención          
           -&gt; Detección de casos y diagnóstico 
- Diagnóstico, tratamiento y atención a la TB farmacorresistente (TB-DR) 
          -&gt; Diagnóstico de la TB-DR / Pruebas de sensibilidad a los fármacos (PSF)
          -&gt; Tratamiento de la TB-DR, atención y apoyo 
- TB/VIH
          -&gt; Tamizaje TB/VIH, pruebas y diagnóstico
          -&gt; Tratamiento y atención TB/VIH
          -&gt; Prevención TB/VIH
- Prevención TB/TB-DR
          -&gt; Tamizaje/pruebas de infección por TB 
          -&gt; Tratamiento preventivo 
Módulos e intervenciones opcionales para la tabla de brechas programáticas que podrían incluirse según los contextos de los países y el nivel de inversión
- Colaboración con otros proveedores y sectores
          -&gt; Participación de proveedores privados en la atención de TB/TB-DR
- Colaboración con otros proveedores y sectores
          -&gt; Atención comunitaria de la TB/DR-TB
</t>
  </si>
  <si>
    <t>Coverage indicator: 
Number of patients with of all forms of TB notified (i.e., bacteriologically confirmed + clinically diagnosed); *includes only those with new and relapse TB.</t>
  </si>
  <si>
    <t>Indicador de cobertura: 
Número de pacientes notificados con todas las formas de tuberculosis (esto es, confirmada Bacteriológicamente + diagnosticada clínicamente), *incluye únicamente pacientes nuevos y recaídas.</t>
  </si>
  <si>
    <t>Coverage indicator: 
Number of people with confirmed RR-TB and/or MDR-TB notified</t>
  </si>
  <si>
    <t>Indicador de cobertura: 
Número de personas con TB-RR y/o TB-MDR confirmada notificado.</t>
  </si>
  <si>
    <t>Indicador de cobertura:
Porcentaje de personas que viven con el VIH que acaban de iniciar el tratamiento antirretroviral y que fueron sometidas a pruebas de tuberculosis.</t>
  </si>
  <si>
    <t>Indicador de cobertura: 
Porcentaje de pacientes nuevos y recaídas de tuberculosis en pacientes coinfectados por VIH que recibieron tratamiento antirretroviral durante el tratamiento de la tuberculosis.</t>
  </si>
  <si>
    <t>Indicador de cobertura:
Porcentaje de personas que viven con el VIH actualmente inscritas en el tratamiento antirretroviral que iniciaron el tratamiento preventivo de la tuberculosis durante el período de reporte.</t>
  </si>
  <si>
    <t>Prévention de la TB/TB pharmacorésistante – dépistage/test pour l’infection par TB</t>
  </si>
  <si>
    <t>Indicador de cobertura: 
Cobertura de la investigación de contactos: proporción de contactos de personas con tuberculosis confirmada bacteriológicamente evaluados para la tuberculosis entre las personas elegibles.</t>
  </si>
  <si>
    <t>Prévention de la TB/TB pharmacorésistante – Traitement préventif (contacts éligibles)</t>
  </si>
  <si>
    <t>Indicador de cobertura: 
Número de personas en contacto con pacientes de tuberculosis que empezaron a recibir terapia preventivo.</t>
  </si>
  <si>
    <t>Coverage indicator: 
Percentage of notified patients with all forms of TB (i.e., bacteriologically confirmed + clinically diagnosed) contributed by non-national TB program providers- private/non-governmental facilities; *includes only those with new and relapse TB.</t>
  </si>
  <si>
    <t>Indicador de cobertura: 
Porcentaje de pacientes notificados con todas las formas de tuberculosis (esto es, confirmada bacteriológicamente + diagnosticada clínicamente) aportados por proveedores ajenos al programa nacional de tuberculosis – establecimientos privados o no gubernamentales; *incluye únicamente pacientes nuevos y recaídas.</t>
  </si>
  <si>
    <t>Coverage indicator: 
Percentage of notified patients with all forms of TB (i.e., bacteriologically confirmed + clinically diagnosed) contributed by non-national TB program providers- community referrals; *includes only those with new and relapse TB.</t>
  </si>
  <si>
    <t>Indicador de cobertura: 
Porcentaje de pacientes notificados con todas las formas de tuberculosis (esto es, confirmada bacteriológicamente + diagnosticada clínicamente) aportados por proveedores ajenos al programa nacional de tuberculosis – referencias comunitarias; *incluye únicamente pacientes nuevos y recaídas.</t>
  </si>
  <si>
    <t>Tuberculose-VIH – Patients atteints de tuberculose et dont le statut VIH est connu</t>
  </si>
  <si>
    <t xml:space="preserve">Tuberculose/VIH </t>
  </si>
  <si>
    <r>
      <t xml:space="preserve">Merci de bien vouloir remplir des tableaux distincts pour les modules prioritaires 4 à 6 dans la demande de financement relative au VIH. La liste suivante précise les modules possibles et les interventions correspondantes. Remplissez uniquement les tableaux correspondant aux interventions pour lesquelles un financement est demandé.  
Pour obtenir des indications au moment de compléter le tableau des lacunes programmatiques, reportez-vous au Manuel du cadre modulaire et à la note d'information du Fonds mondial sur le VIH, où les documents d'orientation technique appropriés sont référencés.
Modules/interventions prioritaires, </t>
    </r>
    <r>
      <rPr>
        <sz val="11"/>
        <color rgb="FFFF0000"/>
        <rFont val="Arial"/>
        <family val="2"/>
      </rPr>
      <t>selon au Manuel du cadre modulaire</t>
    </r>
    <r>
      <rPr>
        <sz val="11"/>
        <color theme="1"/>
        <rFont val="Arial"/>
        <family val="2"/>
      </rPr>
      <t>:
1.	Traitement, prise en charge et soutien 
2.	Services de dépistage différenciés du VIH*
3.	Tuberculose/VIH**
4.	Élimination de la transmission verticale du VIH, de la syphilis et de l'hépatite B***
5.	Programmes de prévention destinés aux populations clés et aux adolescentes et jeunes femmes****
6.	PrEP*****
7.	Préservatifs*****</t>
    </r>
  </si>
  <si>
    <t>Indicateur de couverture :  sélectionnez l’indicateur de couverture correspondant dans le menu déroulant
Pourcentage de personnes sous TARV parmi toutes les personnes vivant avec le VIH à la fin de la période de rapportage.</t>
  </si>
  <si>
    <t>Population estimée dans le besoin/à risque : 
Cela se rapporte à l'ensemble des adultes et/ou des enfants vivant avec le VIH.</t>
  </si>
  <si>
    <t>Cible du pays : 
Se rapporte au Plan Stratégique National (PSN) ou à toute autre cible du pays approuvée plus récemment.
1) « # » correspond au nombre total de personnes devant être sous traitement antirétroviral.
2) « % » correspond au nombre d'adultes et/ou d'enfants censés être sous traitement antirétroviral parmi tous les adultes et les enfants vivant avec le VIH</t>
  </si>
  <si>
    <t>Besoins du pays pour atteindre les objectifs globaux qui sont déjà couverts : 
1) Les besoins du pays déjà couverts sont partagés entre les besoins devant être couverts par des ressources nationales (ligne C1) et par des ressources extérieures (ligne C2). 
2) Les investissements du secteur privé national doivent figurer dans les sources nationales. 
3) Dans les cas où une partie des besoins pendant l'année est couverte par une subvention en cours du Fonds mondial (se terminant avant le début de la nouvelle période de mise en œuvre), le montant correspondant peut être inclus dans la catégorie des ressources extérieures. 
4) Une fois les lignes C1 et C2 remplies, le total des besoins du pays déjà couverts s'affiche automatiquement dans la ligne C3. Notez que la ligne C3 est verrouillée et ne peut pas être modifiée. Par conséquent, si vous ne disposez pas de données ventilées entre ressources nationales et extérieures, indiquez le total dans la ligne C1. 5) Dans ce cas, précisez dans la cellule des commentaires que les données de la ligne C1 correspondent au total des ressources nationales et extérieures.</t>
  </si>
  <si>
    <t>Lacunes programmatiques : 
L’écart programmatique est calculé sur la base des objectifs globaux conformément à la stratégie mondiale de lutte contre le sida 2021-2026 (ligne B1).</t>
  </si>
  <si>
    <t>Commentaires/Hypothèses : 
1) Indiquez la région cible en cas de couverture infranationale.
2) Précisez quelles sont les autres sources de financement.
3) Spécifiez le montant de l'écart programmatique qui se trouve dans la demande d'allocation et le montant inclus dans la demande de financement hiérarchisée au-delà de la somme allouée (PAAR). Précisez dans quelle mesure cette demande couvrira les besoins dans les zones géographiques dans lesquelles l'incidence est la plus élevée.
4) Indiquez la différence entre l'objectif national et l'objectif global.</t>
  </si>
  <si>
    <t>Indicateur de couverture :  sélectionnez l'indicateur de couverture pertinent dans le menu déroulant
Pourcentage de femmes enceintes vivant avec le VIH ayant reçu des antirétroviraux durant leur grossesse pour réduire le risque de transmission verticale du HIV.</t>
  </si>
  <si>
    <t>Population estimée dans le besoin/à risque : 
Se rapporte au nombre estimé de femmes enceintes vivant avec le VIH.</t>
  </si>
  <si>
    <t>Cible du pays : 
Se rapporte au plan stratégique national (PSN) ou à toute autre cible du pays approuvée plus récemment.
1) « # » se rapporte au nombre de femmes enceintes vivant avec le VIH    censées recevoir des antirétroviraux afin de réduire le risque de transmission de la mère à l'enfant au cours de la grossesse et de l'accouchement.
2) « % » se rapporte au pourcentage de femmes enceintes vivant avec le VIH    recevant des antirétroviraux afin de réduire le risque de transmission de la mère à l'enfant dans la population estimée des femmes enceintes vivant avec le VIH.</t>
  </si>
  <si>
    <t>Commentaires/Hypothèses : 
1) Indiquez la région cible en cas de couverture infranationale.
2) Précisez quelles sont les autres sources de financement.
3) Spécifiez le montant de l'écart programmatique qui se trouve dans la demande d'allocation et le montant inclus dans la demande de financement hiérarchisée au-delà de la somme allouée (PAAR). Précisez dans quelle mesure cette demande couvrira les besoins dans les zones géographiques dans lesquelles l'incidence de la transmission de la mère à l’enfant est la plus élevée.
4) Indiquez la différence entre l'objectif national et l'objectif global.</t>
  </si>
  <si>
    <t xml:space="preserve">Indicateur de couverture :  sélectionnez l’indicateur de couverture correspondant dans le menu déroulant
Pourcentage de populations clés HSH qui ont effectué un test VIH durant la période de rapportage et qui connaissent leur résultat. </t>
  </si>
  <si>
    <t>Population estimée dans le besoin/à risque : 
Se réfère au nombre total estimé de personnes clés et vulnérables qui ont besoin de tests pour le VIH.</t>
  </si>
  <si>
    <t>Lacunes programmatiques  : 
L’écart programmatique est calculé sur la base des objectifs globaux conformément à la stratégie mondiale de lutte contre le sida 2021-2026 (ligne B1).</t>
  </si>
  <si>
    <t>Commentaires/Hypothèses : 
1) Indiquez la région cible en cas de couverture infranationale.
2) Précisez quelles sont les autres sources de financement.
3) Spécifiez le montant de l'écart programmatique qui se trouve dans la demande d'allocation et le montant inclus dans la demande de financement hiérarchisée au-delà de la somme allouée (PAAR). Précisez dans quelle mesure cette demande couvrira les besoins dans les zones géographiques dans lesquelles l'incidence est la plus élevée. 
4) Indiquez la différence entre l'objectif national et l'objectif global.</t>
  </si>
  <si>
    <t>Il ya 3 tableaux dans l’onglet « HIV-Prévention ». Veuillez remplir des tableaux distincts pour chacune des populations clés et vulnérables en fonction de la demande de financement. Rappel :  Les tableaux des lacunes doivent être complétés pour les deux groupes prioritaires de populations clés selon l’incidence et le nombre de nouvelles infections  :  les hommes ayant des rapports sexuels avec des hommes ; les professionnel(le)s du sexe; les personnes transgenres ; les personnes qui s'injectent des drogues, autres populations vulnérables. En outre, tous les pays prioritaires de l’initiative « adolescentes et jeunes femmes dans les contextes à incidence élevée » doivent remplir le tableau des lacunes pour celles-ci.</t>
  </si>
  <si>
    <t>Indicateur de couverture : 
Sélectionnez l'indicateur de couverture pertinent dans le menu déroulant.</t>
  </si>
  <si>
    <t>Population estimée dans le besoin/à risque : 
Se rapporte au nombre estimé de personnes faisant partie de la population clé ou vulnérable spécifiée qui ont besoin de prévention.</t>
  </si>
  <si>
    <t xml:space="preserve">Objectif global : 
Il s'agit des objectifs globaux définis dans le cadre de la stratégie mondiale de lutte contre le sida (https://www.unaids.org/en/resources/documents/2021/2021-2026-global-AIDS-strategy) et donc fixés à 95 % de l’estimation de la taille de la population. </t>
  </si>
  <si>
    <t>Objectif national : 
Fait référence au PSN ou à tout autre objectif national convenu récemment.</t>
  </si>
  <si>
    <t xml:space="preserve">Il y a 3 tableaux dans l’onglet « HIV-PreP ». Les pays prioritaires de mise en œuvre de la stratégie de réduction de l'incidence du Fonds mondial doivent remplir un tableau des lacunes en matière de PrEP pour les deux groupes de population clés prioritaires en termes d'incidence ou de nombre de nouvelles infections  :  les hommes ayant des rapports sexuels avec des hommes ; les professionnel(le)s du sexe et leurs clients ; les personnes transgenres ; et les personnes qui s'injectent des drogues. En outre, dans les pays prioritaires du Fond mondial pour les adolescentes et les jeunes femmes dans les contextes à incidence élevée du VIH », ces tableaux sont à compléter pour celles-ci. </t>
  </si>
  <si>
    <t>Indicateur de couverture :  sélectionnez l'indicateur de couverture pertinent dans le menu déroulant.
Nombre de populations clés ou adolescentes et jeunes femmes qui ont reçu une PrEP au moins une fois au cours de la période de rapportage.</t>
  </si>
  <si>
    <t>Population estimée dans le besoin/à risque : 
Il s'agit du nombre estimé de personnes à risque qui devraient recevoir la PrEP. Cela doit être calculé à l'aide des outils de fixation des cibles PrEP de l'ONUSIDA :  https://jointsiwg.unaids.org/publications/
Il existe un outil différent disponible pour chaque population clé ou vulnérable, ainsi que des guides d'instructions. Veuillez joindre les outils complétés en annexe à la soumission de la note conceptuelle.</t>
  </si>
  <si>
    <t>Cible du pays : 
Se rapporte au plan stratégique national (PSN) ou à toute cible du pays approuvée plus récemment.</t>
  </si>
  <si>
    <t>Lacunes programmatiques : 
L’écart programmatique est calculé sur la base du nombre estimé de personnes à risque qui devraient recevoir la PrEP sur la base des outils de définition des cibles PrEP de l'ONUSIDA (ligne A).</t>
  </si>
  <si>
    <t>Commentaires/Hypothèses : 
1) Indiquez la différence entre la cible du pays et le nombre estimé de personnes à risque qui devraient recevoir la PrEP.
2) Précisez quelles sont les autres sources de financement.
3) Spécifiez le montant de l'écart programmatique qui se trouve dans la demande d'allocation et le montant inclus dans la demande de financement hiérarchisée au-delà de la somme allouée (PAAR). Précisez dans quelle mesure cette demande couvrira les besoins dans les zones géographiques dans lesquelles l'incidence est la plus élevée.</t>
  </si>
  <si>
    <t>Il y a 3 tableaux dans l’onglet « HIV-Condom ». Les pays prioritaires de mise en œuvre de la stratégie de réduction de l'incidence du Fonds mondial doivent remplir un tableau des lacunes en matière de Condom pour les deux groupes de population clés prioritaires en termes d'incidence ou de nombre de nouvelles infections  :  les hommes ayant des rapports sexuels avec des hommes ; les professionnel(le)s du sexe et leurs clients ; les personnes transgenres ; et les personnes qui s'injectent des drogues. En outre, dans les pays prioritaires du Fond mondial pour les adolescentes et les jeunes femmes dans les contextes à incidence élevée du VIH », ces tableaux sont à compléter pour celles-ci.</t>
  </si>
  <si>
    <t>Indicateur de couverture :  sélectionnez l'indicateur de couverture pertinent dans le menu déroulant.
Nombre de préservatifs (masculins et féminins) distribués par le programme pour (population clés ou adolescentes et jeunes femmes).</t>
  </si>
  <si>
    <t xml:space="preserve">Population estimée dans le besoin / à risque (A) : 
Veuillez utiliser l'outil d'estimation des besoins en préservatifs et des besoins en ressources de l'ONUSIDA (C-NET) pour identifier la population dans le besoin - https://hivpreventioncoalition.unaids.org/resource/condom-needs-and-resource-requirement-estimation-tool/
</t>
  </si>
  <si>
    <t>Nombre total de préservatifs nécessaires (A1 - A3) : 
Il s'agit du nombre estimé de préservatifs nécessaires (masculins et féminins) pour atteindre les objectifs de couverture globaux. Utilisez le nombre total de préservatifs requis pour la population clé ou vulnérable concernée (A) et insérez le nombre total de préservatifs masculins dans A1. Le nombre de préservatifs féminins sera automatiquement calculé en A2.
Veuillez joindre l'outil complété en annexe à la soumission de la note conceptuelle.</t>
  </si>
  <si>
    <t xml:space="preserve"> Besoins du pays déjà couverts : 
1) Les cibles du pays déjà couvertes sont partagées en premier lieu par source de financement puis par le type de préservatif.
2) Type de ressources :  les besoins du pays déjà couverts sont partagés entre les besoins devant être couverts par des ressources nationales (ligne C1) et par des ressources extérieures (ligne C2). 
3) Les investissements du secteur privé national doivent figurer dans les sources nationales. Veuillez préciser, sous « Commentaires/Hypothèses », chaque fois que des ressources du secteur privé sont disponibles, ainsi que les sources externes.
4) Dans les cas où une partie des besoins pendant l'année est couverte par une subvention en cours du Fonds mondial (se terminant avant le début de la nouvelle période de mise en œuvre), le montant correspondant peut être inclus dans la catégorie des ressources extérieures. Une fois les lignes C1 et C2 remplies, le total des besoins du pays déjà couverts s'affiche automatiquement dans la ligne C3. 
5) Type de préservatifs :  les besoins du pays déjà couverts sont partagés entre préservatif masculins (C4) et préservatifs féminins (C5).  Une fois les lignes C4 et C5 remplies, le total des besoins du pays déjà couverts s'affiche automatiquement dans la ligne C6. Veuillez noter que le résultat en C3 et C6 devrait être le même.
6) Si les informations pour les lignes C1 et C2 ne sont pas disponibles, remplissez uniquement les lignes C4 et C5.</t>
  </si>
  <si>
    <t>Lacunes programmatiques : 
L’écart programmatique est calculé à partir des besoins estimés selon l'outil C-NET (ligne A1 pour les préservatifs masculins, ligne A2 pour les préservatifs féminins).</t>
  </si>
  <si>
    <t>Commentaires/Hypothèses : 
1) Indiquez la différence entre la cible du pays et le nombre estimé par C-NET.
2) Précisez quelles sont les autres sources de financement.
3) Spécifiez le montant de l'écart programmatique qui se trouve dans la demande d'allocation et le montant inclus dans la demande de financement hiérarchisée au-delà de la somme allouée (PAAR). Précisez dans quelle mesure cette demande couvrira les besoins dans les zones géographiques dans lesquelles l'incidence est la plus élevée.</t>
  </si>
  <si>
    <t>Indicateur de couverture : 
Pourcentage de personnes vivant avec le VIH ayant nouvellement initié la TARV et chez qui les signes de la tuberculose ont été recherchés.</t>
  </si>
  <si>
    <t>Population estimée dans le besoin/à risque : 
Se rapporte à toutes les personnes vivant avec le VIH ayant nouvellement initié la TARV.</t>
  </si>
  <si>
    <t xml:space="preserve">Cible du pays : 
Se rapporte au PSN ou à toute autre cible du pays approuvée plus récemment.
1) « # » correspond à toutes les personnes vivant avec le VIH ayant nouvellement initié le TARV et chez qui les signes de la tuberculose ont été recherchés 
2) « % » correspond au pourcentage de personnes vivant avec le VIH ayant nouvellement initié le TARV dont le statut TB a été évalué et documenté, parmi toutes les personnes vivant avec le VIH ayant nouvellement initié le TARV  </t>
  </si>
  <si>
    <t>Besoins du pays déjà couverts : 
1) Les besoins du pays déjà couverts sont partagés entre les besoins devant être couverts par des ressources nationales (ligne C1) et par des ressources extérieures (ligne C2). 
2) Les investissements du secteur privé national doivent figurer dans les sources nationales. 
3) Dans les cas où une partie des besoins pendant l'année est couverte par une subvention en cours du Fonds mondial (se terminant avant le début de la nouvelle période de mise en œuvre), le montant correspondant peut être inclus dans la catégorie des ressources extérieures. 
4) Une fois les lignes C1 et C2 remplies, le total des besoins du pays déjà couverts s'affiche automatiquement dans la ligne C3. Notez que la ligne C3 est verrouillée et ne peut pas être modifiée. Par conséquent, si vous ne disposez pas de données ventilées entre ressources nationales et extérieures, indiquez le total dans la ligne C1. 
5) Dans ce cas, précisez dans la cellule des Commentaires que les données de la ligne C1 correspondent au total des ressources nationales et extérieures.</t>
  </si>
  <si>
    <t>Lacunes programmatiques : 
L’écart programmatique est calculé sur la base des besoins totaux (ligne A).</t>
  </si>
  <si>
    <t xml:space="preserve">Commentaires/Hypothèses : 
1) Indiquez la zone cible en cas de couverture infranationale.
2) Précisez quelles sont les autres sources de financement.
</t>
  </si>
  <si>
    <t>Indicateur de couverture : 
Pourcentage de patients atteints de tuberculose enregistrés, nouveaux cas et cas de rechutes, dont le statut VIH est documenté.</t>
  </si>
  <si>
    <t>Population estimée dans le besoin /à risque :  
Se réfère au nombre total de patients atteints de tuberculose (nouveaux cas et cas de rechutes) enregistrés.</t>
  </si>
  <si>
    <t xml:space="preserve">Cible du pays : 
Se rapporte au PSN ou à toute autre cible du pays approuvée plus récemment.
1) « # » se réfère au nombre de patients atteints de tuberculose enregistrés, nouveaux cas et cas de rechutes, dont le statut VIH est documenté. 
2) «% » se réfère au pourcentage de patients atteints de tuberculose enregistrés, nouveaux cas et cas de rechutes, dont le statut VIH est documenté. </t>
  </si>
  <si>
    <t>Commentaires/Hypothèses : 
1) Indiquez la région cible en cas de couverture infranationale.
2) Précisez quelles sont les autres sources de financement.</t>
  </si>
  <si>
    <t>Indicateur de couverture :  
Pourcentage de patients atteints de tuberculose (nouveaux cas et rechutes) vivant avec le VIH sous TARV pendant leur traitement antituberculeux.</t>
  </si>
  <si>
    <t>Population estimée dans le besoin/ à risque :  
Correspond au nombre total de patients vivants avec le VIH et atteints de tuberculose (nouveaux cas et rechutes) attendus enregistrés au cours de la période.</t>
  </si>
  <si>
    <t>Cible du pays : 
Se rapporte au PSN ou à toute autre cible du pays approuvée plus récemment.
1) « # » correspond au nombre de patients atteints de tuberculose (nouveaux cas et cas de rechutes) et vivants avec le VIH qui sont sous TARV.
2) « % » correspond au pourcentage de patients atteints de tuberculose (nouveaux cas et rechute) et vivants avec le VIH sous TARV parmi tous les patients atteints de tuberculose vivant avec le VIH enregistrés (nouveaux et rechutes).</t>
  </si>
  <si>
    <t>Indicateur de couverture : 
Pourcentage de personnes vivant avec le VIH actuellement sous thérapie antirétrovirale qui ont initié un traitement préventif de la tuberculose (TPT) pendant la période de rapportage.</t>
  </si>
  <si>
    <t>Population estimée dans le besoin/ à risque :  
Désigne le nombre estimé de PVVIH sous TARV pendant la période de rapportage.
Ceci exclut les PVVIH sous traitement antituberculeux ou qui sont en cours d'évaluation d’une tuberculose active. Dans la mesure du possible, cela devrait également exclure les PVVIH qui ont déjà terminé le TPT dans les délais recommandés par la politique nationale, ainsi que les PVVIH jugées cliniquement non éligibles en raison de comorbidités et de contre-indications, telles que l’hépatite active, l'alcoolisme chronique, la prise d'autres médicaments potentiellement hépatotoxiques (névirapine par exemple) et/ou de neuropathies.</t>
  </si>
  <si>
    <t>Cible du pays : 
Se rapporte au PSN ou à toute autre cible du pays approuvée plus récemment.
1) « # » correspond au nombre de PVVIH actuellement sous TARV qui ont commencé le traitement préventif de la tuberculose (TPT)  durant la période de rapportage.
2) « % » désigne le pourcentage de PVVIH actuellement sous TARV qui ont commencé le traitement préventif de la tuberculose (TPT)  parmi le nombre total de PVVIH sous TARV.</t>
  </si>
  <si>
    <t>*Services de dépistage différenciés du VIH
        -&gt; Le tableau des lacunes programmatiques relatif au dépistage du VIH doit être rempli pour les deux principaux groupes de population clé selon l’incidence ou le nombre de nouvelles infections :  les hommes ayant des rapports sexuels avec des hommes ; les professionnel(le)s du sexe ; les personnes transgenres ; les personnes qui s'injectent des drogues. En outre, les pays prioritaires de l'initiative « adolescentes et jeunes femmes » du Fonds mondial doivent compléter le tableau des lacunes destiné aux adolescentes et jeunes femmes dans les contextes à incidence élevée du VIH.
** Tuberculose/VIH
          -&gt; Si vous soumettez des demandes de financement TB et VIH séparées, les tableaux des lacunes programmatiques pour les interventions TB/VIH doivent être inclus dans chacune des demandes TB et VIH. Dans le cas d'une demande conjointe TB/VIH, veuillez compléter les tableaux dans le fichier Excel des lacunes programmatiques conjoints TB/VIH.
          -&gt; Si le candidat fait partie des 30 pays de l’OMS à plus forte charge de tuberculose/VIH, il doit remplir les tableaux liés à ce module. Les 30 pays de l'OMS où la charge de la tuberculose et du VIH est la plus élevée sont :  le Botswana, le Brésil, le Cameroun, la République centrafricaine (RCA), la Chine, le Congo, la République démocratique du Congo (RDC), Eswatini, l'Éthiopie, le Gabon, la Guinée, la Guinée-Bissau, l’Inde, l’Indonésie, le Kenya, le Lesotho, le Libéria, le Malawi, le Mozambique, Myanmar, la Namibie, le Nigéria, les Philippines, la Russie, l’Afrique du Sud, la Thaïlande, la Tanzanie, la Zambie et le Zimbabwe.
*** Élimination de la transmission verticale du VIH, de la syphilis et de l'hépatite B
          -&gt; Si le candidat fait partie des pays qui ont rejoint l’Alliance mondiale pour mettre fin au sida infantile d’ici à 2030, il doit remplir les tableaux des lacunes programmatiques liés à ce module. Les 12 pays sont l'Angola, le Cameroun, la Côte-D'Ivoire, la RDC, le Kenya, le Mozambique, le Nigeria, l'Afrique du Sud, l'Ouganda, la Tanzanie, la Zambie et le Zimbabwe.
**** Programmes de prévention destinés aux populations clés et aux adolescentes et jeunes femmes
          -&gt; Si un financement est demandé pour ces modules, ce qui suit s’applique : 
          -&gt; Ces modules concernent les populations clés et vulnérables suivantes :  les hommes ayant des rapports sexuels avec des hommes ; les professionnel(le)s du sexe; les personnes transgenres; les personnes qui s'injectent des drogues; les adolescentes et les jeunes femmes dans les contextes à incidence élevée du VIH ; et les autres populations vulnérables.
        -&gt; Les tableaux des lacunes pour les paquets de prévention doivent être complétés pour les deux groupes prioritaires de populations clés selon l’incidence ou le nombre de nouvelles infections  :  les hommes ayant des rapports sexuels avec des hommes ; les professionnel(le)s du sexe; les personnes transgenres ; les personnes qui s'injectent des drogues, autres populations vulnérables. Veuillez noter que 3 tableaux sont fournis dans l’onglet « Prévention ». 
         -&gt; En outre, les pays prioritaires de l'initiative « adolescentes et jeunes femmes » du Fonds mondial doivent compléter le tableau des lacunes du « paquet de prévention destiné aux adolescentes et jeunes femmes dans les contextes à incidence élevée du VIH ». 
***** PrEP et Préservatifs
          -&gt; Si un financement est demandé pour ces modules, ce qui suit s'applique : 
         -&gt; Pour la mise en œuvre de la stratégie de réduction de l’incidence dans les pays prioritaires du Fonds mondial, le tableau des lacunes pour le PrEP et celui pour les préservatifs doivent être complétés pour les deux groupes prioritaires de population clés selon l’incidence ou le nombre de nouvelles infections  :  les hommes ayant des rapports sexuels avec des hommes ; les professionnel(le)s du sexe et leurs clients ; les personnes transgenres ; et les personnes qui s'injectent des drogues. Autres pays  :  les tableaux des lacunes programmatiques pour les préservatifs et le PrEP sont négociés, si nécessaire, avec le conseiller technique VIH.
         -&gt; Pour les pays prioritaires de l'initiative « les adolescentes et les jeunes femmes dans les contextes à incidence élevée du VIH» du Fonds mondial, ces tableaux sont à compléter pour celles-ci.</t>
  </si>
  <si>
    <t>Cible du pays : 
Se rapporte au plan stratégique national (PSN) ou à toute autre cible du pays approuvée plus récemment.
1) « # » désigne le nombre de personnes de la population clé spécifiée qui devraient recevoir un test pour le VIH au cours de l'année spécifiée.
2) « % » désigne le pourcentage de personnes devant recevoir un test pour le VIH parmi le nombre estimé de personnes de la population clé spécifiée au cours de l'année spécifiée.</t>
  </si>
  <si>
    <t>Commentaires/hypothèses : 
1) Spécifier les interventions incluses dans le paquet. Le paquet doit faire référence à un ensemble défini d'interventions qui doivent être reçues par les personnes et sur la base desquelles elles sont incluses dans les résultats, c'est-à-dire que les personnes ne doivent être comptées que lorsqu'elles ont reçu l'ensemble des interventions du paquet défini.
2) Si « autres populations vulnérables », veuillez décrire cette population dans la section des commentaires.
3) Indiquez la différence entre l'objectif national et l'objectif global.
4) Précisez quelles sont les autres sources de financement.
5) Spécifiez le montant de l'écart programmatique qui se trouve dans la demande d'allocation et le montant inclus dans la demande de financement hiérarchisée au-delà de la somme allouée (PAAR). Précisez dans quelle mesure cette demande couvrira les besoins dans les zones géographiques dans lesquelles l'incidence est la plus élevée.</t>
  </si>
  <si>
    <t>F. Couverture par la somme allouée et d'autres ressources  :  E + C3</t>
  </si>
  <si>
    <t>F.    PrEP fournie par la somme allouée et d’autres ressources :  E + C3</t>
  </si>
  <si>
    <t>C3. Total de la cible globale qui devrait être couvert :  C1 + C2</t>
  </si>
  <si>
    <t>C6. Total de la cible globale qui devrait être couvert (masculins + féminins) :  C4 + C5</t>
  </si>
  <si>
    <t>D1. Déficit annuel attendu par rapport aux besoins - préservatifs masculins :  A1 - C4</t>
  </si>
  <si>
    <t>D2. Déficit annuel attendu par rapport aux besoins - préservatifs féminins :  A2 - C5</t>
  </si>
  <si>
    <t>D. Déficit annuel attendu par rapport aux besoins - aiguilles et seringues : B - C3</t>
  </si>
  <si>
    <t>D. Expected annual gap in meeting the need- needles and syringes: B - C3</t>
  </si>
  <si>
    <t>D. Déficit annuel attendu par rapport à la cible nationale :  B - C3</t>
  </si>
  <si>
    <t>Merci de bien vouloir remplir séparément les tableaux qui se trouvent dans la feuille « Tables » pour les modules prioritaires qui se rapportent à la demande de financement relative à la tuberculose. La liste ci-après présente les modules et les interventions correspondantes qui peuvent être sélectionnés. Ne remplissez les tableaux que pour les interventions qui peuvent être soutenues et pour lesquelles un financement est demandé. Consultez le Manuel du Cadre Modulaire pour la liste complète des modules et des interventions, leur description et leurs indicateurs. 
Pour obtenir des indications au moment de compléter le tableau des lacunes programmatiques, reportez-vous au Manuel du cadre modulaire et à la note d'information du Fonds mondial sur la tuberculose, où les documents d'orientation technique appropriés sont référencés.
Modules/interventions prioritaires :
- Diagnostic, traitement et soins de la TB  
          -&gt; Dépistage et diagnostic de la TB
- Diagnostic, traitement et soins de la TB pharmaco résistante
          -&gt; Diagnostic de la TB pharmaco résistante – Test de sensibilité aux médicaments 
          -&gt; Traitement, soins et soutien de la TB pharmaco résistante
-Tuberculose/VIH
          -&gt; Dépistage/test et diagnostic de la TB/VIH 
         -&gt; Traitement et soins de la TB/VIH
         -&gt; Prévention de la TB/VIH
- Prévention de la TB/TB pharmaco résistante
          -&gt; Dépistage/test de l’infection par la TB
          -&gt;Traitement préventif 
Modules et interventions optionnels des lacunes programmatiques qui pourraient être inclus en fonction des contextes nationaux et du niveau d'investissement:
- Collaboration avec d'autres prestataires et secteurs
          -&gt; Engagement des prestataires privés dans la prise en charge de la TB/ TB-RR 
- Collaboration avec d'autres prestataires et secteurs
          -&gt; Prise en charge communautaire de la TB/TB-RR</t>
  </si>
  <si>
    <t>Indicateur de couverture :  
Nombre de patients déclarés atteints de tuberculose toutes formes confondues (c.-à-d. confirmés bactériologiquement et diagnostiqués cliniquement) ; *n'inclut que les nouveaux patients et les rechutes.</t>
  </si>
  <si>
    <t>Population estimée dans le besoin/à risque : 
Se rapporte à l'incidence estimée de la tuberculose, toutes formes confondues.</t>
  </si>
  <si>
    <t>Cible du pays : 
Se rapporte au plan stratégique national (PSN) ou à toute autre cible du pays approuvée récemment.
1) « # » correspond aux cas de tuberculose, toutes formes confondues (nouveaux cas et rechutes) à notifier aux autorités sanitaires nationales. Cela inclut les cas confirmés bactériologiquement plus ceux qui sont diagnostiqués via d'autres tests tels que la radiographie (y compris la radiographie numérique, avec ou sans CAD/AI), par la cytologie et ceux diagnostiqués cliniquement. 
2) « % » correspond à la couverture du traitement, c'est-à-dire la proportion de cas de tuberculose toutes formes confondues (nouveaux cas et rechutes) notifiés sur le total estimé des nouveaux cas.</t>
  </si>
  <si>
    <t>Besoins du pays déjà couverts : 
1) Les besoins du pays déjà couverts sont partagés entre les besoins prévus d’être couverts par des ressources nationales (ligne C1) et par des ressources extérieures (ligne C2). 
2) Les investissements du secteur privé national doivent être inclus dans les sources nationales. 
3) Dans les cas où une partie des besoins d’une année est couverte par une subvention en cours du Fonds mondial (se terminant avant le début de la nouvelle période de mise en œuvre), le nombre correspondant peut être inclus dans la catégorie des ressources extérieures. 
4) Une fois les lignes C1 et C2 remplies, le total des besoins du pays déjà couverts s'affiche automatiquement dans la ligne C3. Notez que la ligne C3 est verrouillée et ne peut pas être modifiée. Par conséquent, si vous ne disposez pas de données ventilées entre ressources nationales et extérieures, indiquez le total dans la ligne C1. 
5) Dans ce cas, précisez dans la cellule des observations que les données de la ligne C1 correspondent au total des ressources nationales et extérieures.</t>
  </si>
  <si>
    <t>Lacune programmatique : 
L’écart programmatique est calculé à partir des besoins totaux (ligne A).</t>
  </si>
  <si>
    <t>Commentaires/Hypothèses : 
1) Indiquez la zone géographique cible.
2) Précisez quelles sont les autres sources de financement
3) Précisez le nombre et la proportion de cas de tuberculose pédiatrique parmi tous les cas notifiés 
4) En plus des objectifs par pays, dans la colonne des commentaires, spécifiez le taux de succès thérapeutique actuel et ciblé, pour tous les nouveaux cas de tuberculose pour chacune des trois années.</t>
  </si>
  <si>
    <t>Indicateur de couverture :  
Nombre de personnes atteintes de TB-RR et/ou de TB-MR confirmée qui ont été déclarées.</t>
  </si>
  <si>
    <t xml:space="preserve">Population estimée dans le besoin/à risque : 
Correspond au nombre estimé de cas de tuberculose pharmaco résistante (RR-MDR-TB) parmi tous les nouveaux cas et cas de retraitement. </t>
  </si>
  <si>
    <t>Cible du pays : 
Se rapporte au PSN ou à toute autre cible du pays approuvée plus récemment.
1) « # » se rapporte aux cas notifiés de tuberculose pharmaco résistante confirmés bactériologiquement (TB-RR/TB-MR).
2) « % » désigne le pourcentage de cas de tuberculose pharmaco résistante (TB-RR/TB-MR) notifiés par rapport aux cas estimés de tuberculose pharmaco résistante (TB-RR/TB-MR) parmi tous les nouveaux cas et les cas de retraitement.</t>
  </si>
  <si>
    <t>Commentaires/Hypothèses : 
1) Indiquez la zone géographique cible.
2) Précisez quelles sont les autres sources de financement.</t>
  </si>
  <si>
    <t>Indicateur de couverture :  
Nombre de cas confirmés de TB-RR et/ou TB-MR enregistrés et qui ont commencé un régime de traitement prescrit pour la TB-RR et/ou TB-MR.</t>
  </si>
  <si>
    <t xml:space="preserve">Population estimée dans le besoin/à risque : 
Correspond au nombre estimé de cas de TB-RR/TB-MR parmi tous les nouveaux cas et cas de retraitement. </t>
  </si>
  <si>
    <t>Cible du pays : 
Se rapporte au PSN ou à toute autre cible du pays approuvée plus récemment.
1) « # » se rapporte aux cas de tuberculose pharmaco résistante (TB-RR/TB-MR) nécessitant un traitement de deuxième intention.
2) « % » se rapporte aux cas de TB-RR/TB-MR nécessitant un traitement de deuxième intention parmi les cas estimés de TB-MR nécessitant un traitement.</t>
  </si>
  <si>
    <t>Commentaires/Hypothèses : 
1) Indiquez la zone géographique cible.
2) Précisez quelles sont les autres sources de financement.
3) Avec les cibles du pays, dans la colonne destinée aux observations, indiquez le taux de succès thérapeutique, actuel et ciblé, pour tous les cas de tuberculose pharmaco résistante confirmés bactériologiquement (TB-RR/TB-MR) pour chacune des trois années.</t>
  </si>
  <si>
    <t>Indicateur de couverture :  
Couverture de la recherche des contacts  :  proportion de contacts de personnes atteintes de tuberculose confirmée bactériologiquement évalués pour la TB parmi les personnes éligibles.</t>
  </si>
  <si>
    <t>Cible du pays : 
Se rapporte au PSN ou à toute autre cible du pays approuvée plus récemment.
1) « # » désigne le nombre de contacts de personnes ayant une TB confirmée bactériologiquement qui ont été évalués pour la TB.
2) « % » désigne le pourcentage de contacts de personnes évaluées par rapport au nombre total de contacts éligibles de personnes ayant une TB confirmée bactériologiquement (voir ci-dessus).</t>
  </si>
  <si>
    <t>Commentaires/Hypothèses : 
1) Indiquez la zone géographique cible.
2) Précisez quelles sont les autres sources de financement.
3) Précisez le nombre et la proportion de contacts évalués, ventilés par âge (&lt;5, 5-14, 15+ ans).</t>
  </si>
  <si>
    <t>Indicateur de couverture :  
Nombre de personnes en contact avec des patients atteints de tuberculose ayant commencé un traitement préventif.</t>
  </si>
  <si>
    <t>Population estimée dans le besoin /à risque : 
Se rapporte au nombre estimé de contacts éligibles de personnes atteintes de tuberculose confirmée bactériologiquement qui ont commencé le traitement préventif de la TB après avoir exclu une TB active.</t>
  </si>
  <si>
    <t>Cible du pays : 
Se rapporte au PSN ou à toute autre cible du pays approuvée plus récemment.
1) « # » fait référence au nombre de contacts éligibles de personnes atteintes de TB confirmée bactériologiquement qui ont commencé un traitement préventif de la TB.
2) « % » fait référence au pourcentage de contacts éligibles de personnes atteintes de tuberculose confirmée bactériologiquement qui ont commencé le TPT (voir ci-dessus).</t>
  </si>
  <si>
    <t>Lacune programmatique :  
Le calcul de la lacune programmatique est basé sur le besoin total (ligne A).</t>
  </si>
  <si>
    <t>Commentaires/Hypothèses : 
1) Indiquez la zone géographique cible.
2) Précisez quelles sont les autres sources de financement.
3) Précisez le nombre et la proportion d'enfants, d'adolescents et d'adultes contacts qui recevront le TPT parmi le nombre total estimé de contacts (&lt;5, 5-14, 15+ ans).</t>
  </si>
  <si>
    <t>FACULTATIF :  Collaboration avec d'autres prestataires et secteurs - Engagement des prestataires privés dans les soins de la TB/Tuberculose pharmaco résistante</t>
  </si>
  <si>
    <t>Indicateur de couverture :  
Pourcentage de patients déclarés atteints de tuberculose toutes formes confondues (c.-à-d. confirmés bactériologiquement et diagnostiqués cliniquement) déclarés par des prestataires de soins hors programme national de lutte contre la TB – formations sanitaires privées/non gouvernementales ; *n'inclut que les nouveaux patients et les rechutes.</t>
  </si>
  <si>
    <t>Cible du pays : 
Se rapporte au PSN ou à toute autre cible du pays approuvée plus récemment. `
1) « # »   se rapporte au cas de TB toutes formes (nouveaux et rechutes) prévus d’être notifiés aux autorités sanitaires nationales par le secteur privé (ONG et prestataires privés à but lucratif). Cela inclut les cas confirmés bactériologiquement plus ceux qui sont diagnostiqués via d'autres tests tels que la radiographie (y compris la radiographie numérique, avec ou sans CAD/AI), par la cytologie et ceux diagnostiqués cliniquement.
2)  « % »   se rapporte à la proportion de cas notifiés par les prestataires du secteur privé par rapport au nombre total de cas de tuberculose (toutes formes confondues) notifiés à l'autorité sanitaire nationale dans les zones de mise en œuvre du Partenariat public/privé (PPP)/PPM/PPE.</t>
  </si>
  <si>
    <t>Besoins du pays déjà couverts : 
1) Les besoins du pays déjà couverts sont ventilés entre les besoins qu'il est prévu de couvrir par des ressources intérieures (ligne C1), et les ressources extérieures (ligne C2). 
2) Les investissements du secteur privé national doivent être inclus dans les sources nationales. 
3) Dans les cas où une partie des besoins de l'année est couverte par une subvention actuelle du Fonds mondial (qui se termine avant le début de la nouvelle période de mise en œuvre), elle peut être incluse dans la catégorie des ressources externes.</t>
  </si>
  <si>
    <t xml:space="preserve">Commentaires/Hypothèses : 
1) Indiquez la zone géographique cible.
2) Précisez quelles sont les autres sources de financement.
3) Outre les objectifs nationaux, précisez dans la colonne des commentaires le taux de succès thérapeutique actuel et ciblé, pour tous les nouveaux cas de tuberculose dans le secteur privé pour chacune des trois années. </t>
  </si>
  <si>
    <t>Indicateur de couverture :  
Pourcentage de patients déclarés atteints de tuberculose toutes formes confondues (c.-à-d. confirmés bactériologiquement et diagnostiqués cliniquement) déclarés par des prestataires de soins hors programme national de lutte contre la TB – référés par la communauté ; *n'inclut que les nouveaux patients et les cas de rechute.</t>
  </si>
  <si>
    <t>Cible du pays : 
Se rapporte au PSN ou à toute autre cible du pays approuvée plus récemment.
1) « # »se réfère au nombre de personnes atteintes de tuberculose (toutes formes), c'est-à-dire confirmées bactériologiquement et diagnostiquées cliniquement, referees par les acteurs communautaires vers une formation sanitaire pour diagnostic.
2) « % » désigne la proportion du nombre total de personnes atteintes de tuberculose (toutes formes confondues) qui ont été référées par les acteurs communautaires pendant la période de rapportage.</t>
  </si>
  <si>
    <t>Instructions illustrant comment compléter le tableau des lacunes programmatiques relatives au Tuberculose et le VIH.
Veuillez trouver les instructions pour les modules tuberculose/VIH conjointes en bas avec les instructions pour VIH. De la même façon, veuilliez trouver les modules TB/VIH conjointes sur l'onglet « HIV Tables ».</t>
  </si>
  <si>
    <t>Pour remplir cette feuille de présentation, sélectionnez un lieu géographique et un type de candidat dans les listes déroulantes.</t>
  </si>
  <si>
    <t>A. Total estimated key and vulnerable populations in need</t>
  </si>
  <si>
    <t>A. Nombre total estimé de populations clés et vulnérables dans le besoin</t>
  </si>
  <si>
    <t>Latest version updated: 5 January 2023</t>
  </si>
  <si>
    <t>A. Total estimado de las poblaciones claves y vulnerables  en necesidad</t>
  </si>
  <si>
    <t>Dernière version mise à jour : le 5 janvier 2023</t>
  </si>
  <si>
    <t>Última versión actualizada: 5 enero 2023</t>
  </si>
  <si>
    <t xml:space="preserve">Veuillez lire attentivement les consignes données dans l'onglet « Instructions » avant de compléter le tableau d'analyse des déficits programmatiques. 
Les instructions ont été adaptées à chaque module/intervention. </t>
  </si>
  <si>
    <t>Latest version updated: 13 March 2023</t>
  </si>
  <si>
    <t>Dernière version mise à jour : le 13 mars 2023</t>
  </si>
  <si>
    <t>Última versión actualizada: 13 marzo 2023</t>
  </si>
  <si>
    <t>WHO Global Tuberculosis Report  2022</t>
  </si>
  <si>
    <t>59 419</t>
  </si>
  <si>
    <t>Sélectionner…</t>
  </si>
  <si>
    <t>DHIS2/Spectrum v6.19</t>
  </si>
  <si>
    <t>DHIS2/Spectrum v6.24</t>
  </si>
  <si>
    <t>The National TB program has performed in 2021, 167 052 TB patients new cases and relapses for which a test result HIV was recorded on 215,787 incident cases or 77%</t>
  </si>
  <si>
    <t>The target population for HIV testing is all notified incident TB cases (new cases and relapses).</t>
  </si>
  <si>
    <t>In 2021, the country tested 77% of TB patients for HIV. This figure reflects the regular progression of this indicator, which is still low compared to the WHO target. The NSP proposes to continue the effort and regularly increase the rate to reach 87% in 2024, i.e. 250,016 new and relapsed patients tested, 90% in 2025, i.e. 284,558 new and relapsed patients tested and 95% in 2026, i.e. 328,848 new and relapsed patients tested.</t>
  </si>
  <si>
    <t>The government's projected budget covers the needs of the NSP for 3% over the 3 years. This support concerns the salaries of health personnel, the operation of health structures, etc. It should be noted that in order to fill the final gap in the country's needs, advocacy actions will be carried out to increase the national contribution.</t>
  </si>
  <si>
    <t>The joint contributions of PEPFAR and UNICEF partners will make it possible to cover the needs of 1% of the patients for the 3 years.</t>
  </si>
  <si>
    <t>These targets represent 84% of the patients to be tested within the allocated amount. In 2021, 77% of TB patients will have known their HIV status. Collaborative activities between the two programs will be strengthened and the availability of inputs ensured.</t>
  </si>
  <si>
    <t xml:space="preserve">The final gap in relation to the population at risk in the country is 94,918. However, additional resources can be requested by the government to cover the country's gap as a priority. </t>
  </si>
  <si>
    <t>In 2021 83.4% of HIV co-infected TB patients (11,056) received antiretroviral treatment concomitantly with ART</t>
  </si>
  <si>
    <t>The target for ARV treatment is HIV-positive patients. The HIV co-infection rate among TB patients was 7.9% in 2021. The NSP foresees, with the increase in the rate of HIV testing among TB patients, a steady decline in the HIV co-infection rate among TB patients to 7.3% in 2024, 6.9% in 2025 and 6.5% in 2026. Thus, applied to the number of incident TB cases, the expected number of HIV co-infected TB patients will be 18,343 in 2024, 19,723 in 2025 and 21,461 in 2026.</t>
  </si>
  <si>
    <t xml:space="preserve">In 2021, 83.4% of TB patients tested positive for HIV were put on antiretroviral treatment. This rate is below the target. A better coordination of HIV TB activities both at the national and peripheral levels, the reinforcement of the supervision of agents as well as retraining are planned to allow us to expect a rate of putting 95% of co-infected patients on ARV by 2024. Thus, the number of co-infected patients on ARV is expected to be 17,426 in 2024, 18,737 in 2025 and 20,388 in 2026. </t>
  </si>
  <si>
    <t>The government's projected budget covers 3% of the NSP's needs over the three-year period. This support concerns the salaries of health personnel, the operation of health structures, etc. This will allow for a total of 566 patients to be treated.</t>
  </si>
  <si>
    <t>The needs of 21,489 co-infected patients will be covered by UNICEF and PEPFAR (mainly the USAID-supported provinces)</t>
  </si>
  <si>
    <t>By applying the prevalence of 8% of co-infected, 47,105 HIV/TB co-infected patients constitute the target for the three years and all (100%) will benefit from ARV treatment. In fact, ARV coverage for HIV/TB co-infected patients will represent 62% of the NSP needs. Part of the NSP's ARV gap will be covered by Pepfar and another part by the Congolese government as the National TB Program plans to put 100% of co-infected patients on ARVs as recommended by the guidelines.</t>
  </si>
  <si>
    <t xml:space="preserve">The final gap in relation to the population at risk in the country is 2,411 patients. However, additional resources can be requested by the Congolese government of the Republic to cover the country's gap as a priority. </t>
  </si>
  <si>
    <t>National TB program Annual Report 2021, Page 37</t>
  </si>
  <si>
    <t>In 2021, 78,473 PLHIV were actively screened for TB out of 100,500 PLHIV enrolled in the health facilities, i.e., a performance of 78%.</t>
  </si>
  <si>
    <t>These targets are derived from the linear increase in the estimates of Spectrum v6.26, taking into account the attrition rate of the active list in 2022, which is 9.65%, and the loss of PLHIV between screening and enrolment in the care service (8.09% in 2022).  This attrition and the loss of PLHIV between screening and enrollment in the care service were calculated on the basis of the 2022 achievements of the health zones receiving support from the Global Fund as part of the rationalization of interventions in a health zone in the DRC.</t>
  </si>
  <si>
    <t>These targets inform the NSP objectives covering all newly enrolled PLHIV who will benefit from active TB testing prior to initiation of ARVs.</t>
  </si>
  <si>
    <t xml:space="preserve">These targets represent the government's goals in the 20 health zones with no active TB control interventions. </t>
  </si>
  <si>
    <t>These targets represent the contribution of PEPFAR-supported provinces in achieving the goals of TB control among newly enrolled PLHIV. Given the progression, the target is set at 95% in 2024 , and 100% in 2025 and 2026.
The government will cover 1% of the needs for active TB finding in these 20 health zones without any intervention. The difference will be allocated to the two donors according to their weight of patients on ARVs in 2022, i.e., 42% for PEPFAR and 58% for the Global Fund.  This represents 23,023 in 2024, 22,310 in 2025, and 21,481 in 2026 as the target to be reached by PEPFAR in the context of active TB finding among newly enrolled PLHIV.</t>
  </si>
  <si>
    <t>CG7 funding will cover these targets in the health zones receiving Global Fund funding. As the Government will cover 1% of the needs for active TB finding in these 20 health zones without any intervention. The difference will be allocated to the two donors at the rate of 58% for the Global Fund based on the weight of patients on ARVs at the end of 2022. The availability of joint HIV/TB tools, the strengthening of providers' capacities, the one-stop shop as well as the accompaniment of providers by the central and provincial levels constitute the different opportunities to reach these targets in the framework of active TB finding for newly enrolled PLHIV.</t>
  </si>
  <si>
    <t>National TB Program Annual Report, Page 38</t>
  </si>
  <si>
    <t>In 2021, the number of newly enrolled PLHIV on TPT was 55,640 out of 71,427 eligible PLHIV after TB exclusion, or 78% coverage.</t>
  </si>
  <si>
    <t>These targets are derived from the exclusion of newly enrolled PLHIV with active TB in 2022. Since 32.44% of newly enrolled PLHIV had active TB, the annual active search target was multiplied by this rate to get the target of newly enrolled PLHIV eligible for TPT. This rate of 32.44% provides information on the occurrence of active TB in the health zones receiving Global Fund funding in 2022.</t>
  </si>
  <si>
    <t xml:space="preserve">These targets inform the NSP goals covering all newly enrolled PLHIV who have been excluded for TB. These targets are eligible for TPT. </t>
  </si>
  <si>
    <t>PEPFAR plans to cover 100% of the PLHIV in need of TPT in the health zones benefiting from its funding. PEPFAR funding will cover 42% of the difference in need targets for TPT covered by the government, which is 1% annually. This represents 14,777 in 2024, 15,073 in 2025 and 14,514 in 2026 of the need for TPT among newly enrolled PLHIV after TB exclusion.</t>
  </si>
  <si>
    <t>The Global Fund plans to cover 100% of the PLHIV in need of TPT in the health zones receiving its funding. GC7 funding will cover 58% of the difference in need targets for TPT covered by the government, which is 1% annually. This represents 20,406 in 2024, 20,815 in 2025, and 20,042 in 2026 of the need for TPT among newly enrolled PLHIV after TB exclusion.
The intensification of the One Stop strategy coupled with the reinforcement of community activities in the framework of strengthening the link of patients to the health care facility, the reinforcement of the capacities of ARV providers and the availability of tools in the provinces benefiting from the support of the Global Fund will make it possible to reach these targets, which represent the PLHIV newly enrolled on TPT.</t>
  </si>
  <si>
    <t>CORDAID, PASCO and PSSP distribution data</t>
  </si>
  <si>
    <t>The National HIV Program 2022 Annual Report is being validated</t>
  </si>
  <si>
    <t>Quantification made with Excel, as hypothesis: 5 condoms per day according to the national policy of condoms and lubricants. Based on the assumption that MSM have 4 days of activity per week, we consider 30% attendance</t>
  </si>
  <si>
    <t>100% of condoms are male condoms  (MSM population)</t>
  </si>
  <si>
    <t>These targets represent 100% of the NSP targets in the GC7 rational file for DRC</t>
  </si>
  <si>
    <t>Targets to be covered by domestic resources in the GC7 rational file for DRC</t>
  </si>
  <si>
    <t>Targets to be covered with the support from Pepfar in the GC7 rational file for DRC</t>
  </si>
  <si>
    <t>Targets represent 100% of targets to be covered by the Global Fund in the GC7 rational file for DRC for the male condoms</t>
  </si>
  <si>
    <t xml:space="preserve">No female condoms for MSM. The number "1" is just to avoid errors in the formula. </t>
  </si>
  <si>
    <t>Quantification made with Excel, as hypothesis: 13 condoms per day according to the national policy of condoms and lubricants. Based on the assumption that sex workers have 4 days of activity per week, we consider 35% attendance</t>
  </si>
  <si>
    <t>Of 100% estimated condoms, 99% are male condoms.</t>
  </si>
  <si>
    <t xml:space="preserve">Of 100% estimated condoms, 1% are male condoms. </t>
  </si>
  <si>
    <t>These numbers represent 99% of the NSP targets of the GC7 rationale file for DRC</t>
  </si>
  <si>
    <t>These numbers represent 1% of the NSP targets of the GC7 rationale file for DRC</t>
  </si>
  <si>
    <t>These targets represent 99% of the targets to be covered by domestic resources and Pepfar resources</t>
  </si>
  <si>
    <t>These targets represent 1% of the targets to be covered by domestic resources and Pepfar resources</t>
  </si>
  <si>
    <t>These targets represent 99% of the targets to be covered by the Global Fund in the GC7 rational file for DRC for male condoms</t>
  </si>
  <si>
    <t>Quantification made with Excel, as hypothesis: 2 condoms per day according to the national policy of condoms and lubricants. Based on the assumption that people who inject drugs have 5 days of activity per week, we consider 15% attendance</t>
  </si>
  <si>
    <t>These targets represent 1% of the targets to be covered by the Global Fund in the GC7 rational file for DRC for male condoms</t>
  </si>
  <si>
    <t>The absence of programmatic data is due to the fact that there has been no implementation of the PrEP activities planned in the 2021-2023 grant. However, a pilot project was implemented with PEPFAR funding in 3 provinces.</t>
  </si>
  <si>
    <t>The country target estimate is based on the UNAIDS PreP needs method adapted to DRC:
Method:									
The estimate of the size of the key population from which the presumed PLHIV per year are removed, that is the number of key HIV-negative populations. Among these key HIV-negative populations, a proportion having sex before age 15.					
Among the calculated key HIV-negative populations, a risk coefficient was applied. The risk coefficient is the proportion of key populations with two or more partners multiplied by the proportion of populations having unprotected sex (ever). 
These data come from the 2022 survey report on the mapping and estimation of the size of populations at risk of infection and STIs in 9 provinces of DRC.
The sex worker population target is calculated on the basis of data from the draft survey report and the mapping and size estimation of key populations in 9 provinces (2022) by extracting the sex workers living with HIV population after applying the prevalence of 7.7% to the entire population.
Target sex worker population:
57.8% having sexual intercourse before 15 years of age
89.5% of the sex worker population having two or more regular partners in the last 6 months
14.2% of sex workers never using a condom with regular partners
risk coefficient: product of sex workers with two or more partners and those with unprotected sex: 89.5% x 14.2%=13%.
The country targets selected represent the total number of estimated sex workers who are at highest risk.  
The proportions of the indicators used (sex workers having sex before 15 years old, sex workers having two or more regular sexual partners and the population never using a condom with regular partners) to calculate the risk coefficient are those of the cities where the risk is the highest (the reference is the highest rate among the data reported for these indicators); since if we use the average of the proportions of these indicators retained here, the targets are very unrealistic in view of the PrEP context in the country.
Similarly, these targets and their progression are estimated by analyzing and referring to three approaches
- Estimation of PrEP 2021-2023 in DRC (Quantification). The new active sex workers on PrEP are 1,064 in 2022 and 5,779 in 2023
- PEPFAR data (FHI 360) in 2022 on the number of new PrEP users is 4,460
- The risk coefficient method (UNAIDS) described above</t>
  </si>
  <si>
    <t>The pilot project conducted by PEPFAR (FHI 360) in 2022 covered a target of 4,460. Under GC7, the planned targets will be covered by PEPFAR funding and represent a proportion of 35% in 2024, 40% in 2025 and 50% in 2026.</t>
  </si>
  <si>
    <t xml:space="preserve">The country target estimate is based on the UNAIDS PreP needs method adapted to DRC:
Method:									
The estimate of the size of the key population from which the presumed PLHIV per year are removed, that is the number of key HIV-negative populations. Among these key HIV-negative populations, a proportion having sex before age 15.					
Among the calculated key HIV-negative populations, a risk coefficient was applied. The risk coefficient is the proportion of key populations with two or more partners multiplied by the proportion of populations having unprotected sex (ever). 
These data come from the 2022 survey report on the mapping and estimation of the size of populations at risk of infection and STIs in 9 provinces of DRC.
The MSM population target is calculated on the basis of data from the draft survey report and the mapping and size estimation of key populations in 9 provinces (2022) by extracting the MSM population living with HIV after applying the prevalence of 7.1% to the entire population.
Target MSM population:
50% having sexual intercourse before 15 years of age
42.2% never using a condom with regular partners
72.4% having two or more regular partners 
(risk coefficient: more than two partners and unprotected sex: 72.4% x42.2% = 31%)
The country targets selected represent the total number of estimated MSM who are at highest risk.  
The proportions of the indicators used (having sex before 15 years old, having two or more regular sexual partners and never using a condom with regular partners) to calculate the risk coefficient are those of the cities where the risk is the highest (the reference is the highest rate among the data reported for these indicators); since if we use the average of the proportions of these indicators retained here, the targets are very unrealistic in view of the PrEP context in the country. 
Similarly, these targets and their progression are estimated by analyzing and referring to three approaches:
- Estimation of PrEP 2021-2023 in DRC (Quantification). The new active MSM on PrEP are 997 in 2022 and 5,471 in 2023
- PEPFAR data (FHI 360) in 2022 on the number of new PrEP users is 1,214
- The risk coefficient method (UNAIDS) described above </t>
  </si>
  <si>
    <t>The pilot project conducted by PEPFAR (FHI 360) in 2022 covered a target of 1,214. Under GC7, the planned targets will be covered by PEPFAR funding and represent a proportion of 25% in 2024, 30% in 2025 and 35% in 2026.</t>
  </si>
  <si>
    <t xml:space="preserve">The proportions of PS targets that will be covered by the GC7 grant are 20% in 2024; 25% in 2025 and 30% in 2026.
</t>
  </si>
  <si>
    <t>PrEP in the PWID population is a new activity under the 2024-2026 grant</t>
  </si>
  <si>
    <t>The country target estimate is based on the UNAIDS PreP needs method adapted to DRC:
Method:									
The estimate of the size of the key population from which the presumed PLHIV per year are removed, that is the number of key HIV-negative populations. 
Among these key HIV-negative populations, a proportion having sex before age 15.					
Among the calculated key HIV-negative populations, a risk coefficient was applied. The risk coefficient is the proportion of key populations with two or more partners multiplied by the proportion of populations having unprotected sex (ever). 
These data come from the 2022 survey report on the mapping and estimation of the size of populations at risk of infection and STIs in 9 provinces of DRC.
The PWID population target is calculated on the basis of data from the draft survey report and the mapping and size estimation of key populations in 9 provinces (2022) by extracting the population living with HIV after applying the prevalence of 3.9% to the entire population.
Target PWID population (new population targeted for PrEP):
66.7% having two or more regular partners
23.8% never using a condom with regular partners
Risk coefficient: 66.7% x 23.8%= 16%
The country targets selected represent the total number of estimated PWID who are at highest risk.  
The proportions of the indicators used (having sex before 15 years old, having two or more regular sexual partners and never using a condom with regular partners) to calculate the risk coefficient are those of the cities where the risk is the highest (the reference is the highest rate among the data reported for these indicators); since if we use the average of the proportions of these indicators retained here, the targets are very unrealistic in view of the PrEP context in the country. 
PrEP for the PWID population is a new activity and was not included in NFM3. This population is not a PEPFAR target in the current funding.</t>
  </si>
  <si>
    <t>To date, PEFFAR has not targeted the PWID population. Discussions are underway with the PEPFAR team to cover these PWID targets under PEPFAR funding. This funding will cover 10% of the estimated targets.</t>
  </si>
  <si>
    <t>PrEP for the PWID population is a new activity in the country. The proportions of the targets that will be covered by the GC7 grant are 25% in 2024; 30% in 2025 and 35% in 2026.</t>
  </si>
  <si>
    <t>National HIV Program Report</t>
  </si>
  <si>
    <t>The proportion of sew workers targets that will be covered by the GC7 grant are 40% in 2024; 43% in 2025 and 46% in 2026.</t>
  </si>
  <si>
    <t xml:space="preserve">104,477 sex workers benefited from the prevention package out of an estimated 306,252 in 2021
</t>
  </si>
  <si>
    <t>The size of the sex worker population comes from the 2022 Interim Report of the Mapping Survey and the key population size estimate  calculated based on the population growth rate of 2.9% to have the sizes for 2024 to 2026. This survey was conducted in seven new cities in addition to the 14 cities that were visited in 2019. The modeling was done using the direct and indirect methods for estimating the size of sex workers recommended by UNAIDS.</t>
  </si>
  <si>
    <t>The targets were set based on the percentages (90%, 93%, 95%) of the NSP 2023-2027 performance framework. The country's objective is to reach as many key populations as possible and to provide them with health services. A plan to strengthen the supply of services to key populations has already been developed for this purpose. As a reminder, the NSP foresees that for the sensitized sex workers, 100% will be screened and will receive condoms. 
Within the framework of GC7, the targets are set with regard to the current achievements of the KP activities in 92 sites in 18 provinces, of which the Global Fund supports only 25 sites. An extension should be considered to allow the targets to be reached.</t>
  </si>
  <si>
    <t>A contribution from domestic funds will be negotiated with the Government to support sex workers activities in a limited number of health zones up to 5% in 2026.</t>
  </si>
  <si>
    <t>18,243 MSM benefited from the prevention package out of an estimated 120,557 MSM</t>
  </si>
  <si>
    <t>The size of the MSM population comes from the 2022 Interim Report of the Mapping Survey and the key population size estimate  calculated based on the population growth rate of 2.9% to have the sizes for 2024 to 2026. This survey was conducted in seven new cities in addition to the 14 cities that were visited in 2019. The modeling was done using the direct and indirect methods for estimating the size of sex workers recommended by UNAIDS.</t>
  </si>
  <si>
    <t>A contribution from domestic funds will be negotiated with the Government to support MSM in a limited number of health zones up to 5% in 2026.</t>
  </si>
  <si>
    <t>7,550 PWID benefited from the prevention package out of an estimated 107,035 PWID</t>
  </si>
  <si>
    <t>The targets were set based on the percentages (90%, 93%, 95%) of the NSP 2023-2027 performance framework. The country's objective is to reach as many key populations as possible and to provide them with health services. A plan to strengthen the supply of services to key populations has already been developed for this purpose. As a reminder, the NSP foresees that for the sensitized PWID, 100% will be screened and will receive condoms and self blocking syringes. 
Within the framework of GC7, the targets are set with regard to the current achievements of the KP activities in 92 sites in 18 provinces, of which the Global Fund supports only 25 sites. An extension should be considered to allow the targets to be reached. However, it should be noted that PWID remain a hidden population due to criminalization in the DRC. Specific strategies must be developed within the program to reach this population.</t>
  </si>
  <si>
    <t>A contribution from domestic funds will be negotiated with the Government to support PWID in a limited number of health zones up to 5% in 2026.</t>
  </si>
  <si>
    <t xml:space="preserve">PWID are not currently funded with PEPFAR funding. Discussions are underway to include them in the COP 23. Initially, at least 70% of the PWIDs will be recruited in the sites mapped in the provinces of Haut Katanga, Kinshasa and Lualaba. PEPFAR's contribution will reach 20% of the NSP targets in 2026. </t>
  </si>
  <si>
    <t xml:space="preserve">These targets will be covered by PEPFAR funding that currently supports 65 sites in three provinces. These are the mining provinces of Haut Katanga and Lualaba as well as 18 health zones in the provincial city of Kinshasa (the capital). PEPFAR's contribution will reach 50% of the NSP targets by 2026.
</t>
  </si>
  <si>
    <t xml:space="preserve">These targets will be covered by PEPFAR funding that currently supports 65 sites in three provinces. These are the mining provinces of Haut Katanga and Lualaba as well as 18 health zones in the provincial city of Kinshasa (the capital). PEPFAR's contribution will reach 32% of the NSP targets by 2026. </t>
  </si>
  <si>
    <t xml:space="preserve">PWID are not currently funded with PEPFAR funding. Discussions are underway to include them in the COP 23. Initially, at least 70% of the PWIDs will be recruited in the sites mapped in the provinces of Haut Katanga, Kinshasa and Lualaba. PEPFAR's contribution will reach 20% of the NSP targets by 2026. </t>
  </si>
  <si>
    <t>65,961 SWs were received and tested for HIV out of an estimated 306,252</t>
  </si>
  <si>
    <t xml:space="preserve">These targets will be covered by PEPFAR funding that currently supports 65 sites in three provinces. These are the mining provinces of Haut Katanga and Lualaba as well as 18 health zones in the provincial city of Kinshasa (the capital). PEPFAR's contribution will reach 35% of the NSP targets In 2026. </t>
  </si>
  <si>
    <t>32,538 MSM were received and tested for HIV out of an estimated 120,557</t>
  </si>
  <si>
    <t>The targets were set based on the percentages (90%, 93%, 95%) of the NSP 2023-2027 performance framework. The country's objective is to reach as many key populations as possible and to provide them with health services. A plan to strengthen the supply of services to key populations has already been developed for this purpose. As a reminder, the NSP foresees that for the sensitized MSM, 100% will be screened and will receive condoms and lubricants. 
Within the framework of GC7, the targets are set with regard to the current achievements of the KP activities in 92 sites in 18 provinces, of which the Global Fund supports only 25 sites. An extension should be considered to allow the targets to be reached.</t>
  </si>
  <si>
    <t>These targets will be covered by PEPFAR funding that currently supports 65 sites in three provinces. These are the mining provinces of Haut Katanga and Lualaba as well as 18 health zones in the provincial city of Kinshasa (the capital). PEPFAR's contribution will reach 50% of the NSP targets in 2026.</t>
  </si>
  <si>
    <t>9,536 PWID were received and tested for HIV out of an estimated 10,7035 PWID</t>
  </si>
  <si>
    <t>The size of the PWID population comes from the 2022 Interim Report of the Mapping Survey and the key population size estimate  calculated based on the population growth rate of 2.9% to have the sizes for 2024 to 2026. This survey was conducted in seven new cities in addition to the 14 cities that were visited in 2019. The modeling was done using the direct and indirect methods for estimating the size of PWIDs recommended by UNAIDS.</t>
  </si>
  <si>
    <t>The size of the PWID population comes from the 2022 Interim Report of the Mapping Survey and the key population size estimate  calculated based on the population growth rate of 2.9% to have the sizes for 2024 to 2026. This survey was conducted in seven new cities in addition to the 14 cities that were visited in 2019. The modeling was done using the direct and indirect methods for estimating the size of PWID recommended by UNAIDS.</t>
  </si>
  <si>
    <t>HIV National Program Annual Report, Page 21</t>
  </si>
  <si>
    <t>In 2021, 11,331 HIV+ pregnant women received ARVs out of 28,995 according to the Spectrum v.6.19 estimate, a performance of 39.08%.</t>
  </si>
  <si>
    <t>Estimation &amp; projection of the HIV/AIDS epidemic from 2024 to 2026 (Spectrum v6.26). This Spectrum is populated with 2022 programmatic data.</t>
  </si>
  <si>
    <t>The goal of the NSP is to progressively reach the global strategy target of 95% by 2027. 
The setting of these targets takes into account lessons learned from NMF3 and innovative strategies to improve PMTCT. These strategies will be developed in Global Fund allocation</t>
  </si>
  <si>
    <t>These targets will be covered primarily by PEPFAR funding in the three provinces of Haut Katanga, Lualaba, and 18 health zones in Kinshasa province. PEPFAR covers the PMTCT ARV coverage targets up to 35% of the difference in the government's target coverage, which is 5% annually in the first year, 6% in the second year and 8% in the final year. This represents 4,544 pregnant women on ARVs in year 1, 6,393 pregnant women on ARVs in year 2 and 8,949 pregnant women on ARVs in year 3.</t>
  </si>
  <si>
    <t>These targets will be covered by the GC-T funding for 10,223 in the first year, 12,789 in the second year and 16,406 in the final year. The distribution of pregnant women on ARVs between the two donors is 65% for the Global Fund, compared to the 5% of needs covered by the government in year 1, 6% in year 2 and 8% in year 3. 
These Global Fund targets will be reached through a combination of several strategies, including: the availability of HIV tests based on ANC attendance, revisiting the set-up of community-based approaches, especially the integration of mentor mothers in health facilities, strengthening the capacity of providers, improving the identification of pregnant women who are already on ARVs, strengthening the proximity coaching of providers and ANC campaigns to recover pregnant women who have missed their ANC appointments. This combination of strategies constitutes an opportunity to reach the targets allocated to the Global Fund.</t>
  </si>
  <si>
    <t>In 2021, 420,364 adult PLHIV, including 269,620 women and 150,744 men, received ARV treatment based on an estimate of 45,4696 adult PLHIV. The reference to the results obtained in 2021 is due to the fact that the NACP and its PEPFAR partners conducted a DQA in July 2022 in 47 high-volume health facilities comparing the data reported in the National HIV Program's unique reporting framework, the DHIS2, and the Datim, which is PEPFAR's specific reporting tool. This exercise was completed by a small PEPFAR team in November 2022 in 27 health facilities to verify the data of the commodities at the level of the Drug Distribution Centers compared to the active file of patients on ARVs reported in 2022. This comparison showed a tendency to overestimate the active file, ranging from 40 to 60%, with an average of 25% among adults. This trend was not observed in the active file of children on ARVs (under 15 years of age)
This DQA raises the need to reset the active file in all the ARV treatment facilities (686) supported by PEPFAR in the DRC. While waiting for this update of the 2022 active file, the 2021 data published remain the reference source</t>
  </si>
  <si>
    <t>These estimates come from Spectrum v6.26, which is provisional and is based on the national file fed with 2022 programmatic data. These data on the active file of adults on ARVs at the end of 2022 have been adjusted by 40% following the conclusions of the DQA conducted in the health zones with PEPFAR support.</t>
  </si>
  <si>
    <t>The NSP aims to reach 95% by 2027 based on current performance. These targets have been obtained by means of a 4% progression based on the active file in 2022. This active file at the end of 2022 has been adjusted to a 40% reduction in the active file of adult patients in the health zones benefiting from PEPFAR financing, based on the conclusions of the DQA. This brings the active file down to 397,521 instead of 497,195, i.e., an overall performance in 2022 of 77% compared to Spectrum v6.26 (397,521/515,385). These contributions from the Government and its donors (Global Fund and PEPFAR) are aimed at achieving the NSP targets annually.</t>
  </si>
  <si>
    <t xml:space="preserve">Following the humanitarian disasters in Goma (volcano eruption), the state of emergency declared in the east of the country in a context of insecurity and the outbreak of the Covid-19 pandemic, the Congolese government was unable to honor its commitments to purchase ARVs in the 20 out of 44 health zones without any intervention under NFM3.  The government's counterpart funds were able to purchase screening tests in 9 provinces (approximately 109 health zones) without support for PMTCT in 2022. The adoption of the program budget by the National Parliament of the DRC, coupled with the counterpart funds, provides an opportunity for the Government of the DRC to provide, in addition to HIV testing, the purchase of ARVs for approximately 20 health zones without external funding. Thus, a flat 1% of ARV needs will be covered by the government over the three years of the GC7 grant in health zones without HIV intervention. The targeting of these Health Zones will be done through the Naomi software.  </t>
  </si>
  <si>
    <t>In terms of the allocation amount, the funding will cover 230,964 patients in 2024, 237,328 in 2025 and 243,373 in 2026. These targets will be supplied by PLHIV on ARVs from the priority targets for the GC7, which are key populations, TB patients, pregnant women and their contacts. Systematic screening of priority populations coupled with targeted screening for their contacts (Index testing) will make it possible to identify PLHIV and community activities in addition to screening will strengthen retention of patients in their health facility for proper follow-up.</t>
  </si>
  <si>
    <t>In 2021, 24,135 children are on ARVs out of an estimated 59,768, a performance of 38.36%. The reference to the results obtained in 2021 is due to the fact that the NACP and its PEPFAR partners conducted a DQA in July 2022 in 47 high-volume health facilities comparing the data reported in the National HIV Program's unique reporting framework, the DHIS2, and the Datim, which is PEPFAR's specific reporting tool. This exercise was completed by a small PEPFAR team in November 2022 in 27 health facilities to verify the data of the commodities at the level of the Drug Distribution Centers compared to the active file of patients on ARVs reported in 2022. This comparison showed a tendency to overestimate the active file, ranging from 40 to 60%, with an average of 25% among adults. This trend was not observed in the active file of children on ARVs (under 15 years of age)
This DQA raises the need to reset the active file in all the ARV treatment facilities (686) supported by PEPFAR in the DRC. While waiting for this update of the 2022 active file, the 2021 data published remain the reference source.</t>
  </si>
  <si>
    <t xml:space="preserve">These estimates come from Spectrum v6.26, which is provisional and is based on the national file fed with 2022 programmatic data. Since the DQA conducted by PEPFAR in these support areas did not find a tendency to overestimate the number of children on ARVs, the active file of children was not adjusted.  </t>
  </si>
  <si>
    <t>The NSP aims to reach 95% by 2027 based on current performance. These targets have been obtained by means of a 13% progression based on the active file in 2022. By the end of 2022, the active file will consist of 26,748 children on ARVs, which represents a 29% improvement over the provisional Spectrum v6.26 (26,748/91,166). These contributions from the Government and its donors (Global Fund and PEPFAR) are aimed at achieving the NSP targets annually.</t>
  </si>
  <si>
    <t>These targets will be covered by the PEPFAR financing.
Compared to the provisional Spectrum v6.26, the overall performance of adults on ARVs at the end of 2022 is 87%, i.e. 370,773/424,219.  The progression for the targets for adults on ARVs is 2%, i.e. 91% in 2024, 93% in 2025 and 95% in 2026 of the country's needs for adult patients to be covered. This represents 390,941 in the first year, 401,714 in the second year and 411,946 in the final year. The Government of the DRC will cover 1% of the needs annually and the difference will be attributed to the two donors (Global Fund and PEPFAR) according to the weight of patients at the end of 2022, i.e. 40.32% for PEPFAR and 59.68% for the Global Fund. Thus, PEPFAR will cover 150,620 PLHIV in year 1, 161,529 in year 2 and 164,443 in year 3.</t>
  </si>
  <si>
    <t>These targets will be covered by the Government of the DRC in approximately 20 health zones without any HIV intervention. The adoption of the program budget by the National Parliament of the DRC coupled with the counterpart funds constitute an opportunity for the Government of the DRC, in addition to HIV testing, to purchase ARVs for approximately 20 health zones without external funding. Thus, a lump sum of 1% of ARV needs will be covered by the Government over the three years of the GC7 grant in the health zones without HIV intervention. The targeting of these Health Zones will be done through the Naomi software.</t>
  </si>
  <si>
    <t>These targets will be covered by the PEPFAR financing.
Compared to Spectrum v6.26, the overall performance of adults on ARVs at the end of 2022 is 29%, i.e. 26,748/91,166.  The progression for the targets for adults on ARVs is 13%, i.e. 55% in 2024, 68% in 2025 and 81% in 2026 of the country's needs for adult patients to be covered. It should be noted that these targets are also aligned with the pediatric acceleration plan for the Global Alliance. This represents 48,273 in the first year, 57,909 in the second year, and 66,066 in the final year. The Government of the DRC will cover 1% of the needs annually and the difference will be allocated to the two donors (Global Fund and PEPFAR) according to the weight of patients at the end of 2022, i.e. 60.85% for PEPFAR and 39.15% for the Global Fund. Thus, PEPFAR will cover 27,203 PLHIV in year 1, 32,109 in year 2 and 36,222 in year 3.</t>
  </si>
  <si>
    <t>The GC7 funding will cover 18,712 children in 2024, 22,447 in 2025 and 25,609 in 2026. These targets will be populated by children on ARVs from all the child gateways. The starting point will be PMTCT, for which early detection and reporting of results must be sufficiently strengthened. The other gateways in addition to PMTCT will have to be explored in order to strengthen the identification of children (post-school consultation, hospitalization, the nutritional and therapeutic children's center, the family unit and the other gateways). Targeted screening and index testing will allow the identification of children in need of ARVs and community activities in addition to screening will reinforce the retention of patients in their health facility for a good follow-up.</t>
  </si>
  <si>
    <t>In 2021, 444,499 sick PLHIV on ARVs, including 24,364 children and 420,364 adults, received ARV treatment out of an estimated 542,000 PLHIV. This estimate comes from the national file fed by the achievements obtained in 2021.The reference to the results obtained in 2021 is due to the fact that the NACP and its PEPFAR partners conducted a DQA in July 2022 in 47 high-volume health facilities comparing the data reported in the National HIV Program's unique reporting framework, the DHIS2, and the Datim, which is PEPFAR's specific reporting tool. This exercise was completed by a small PEPFAR team in November 2022 in 27 health facilities to verify the data of the commodities at the level of the Drug Distribution Centers compared to the active file of patients on ARVs reported in 2022. This comparison showed a tendency to overestimate the active file, ranging from 40 to 60%, with an average of 25% among adults. This trend was not observed in the active file of children on ARVs (under 15 years of age)
Ce DQA soulève la nécessité de procéder à la réinitialisation de la file active dans toutes les formations sanitaires de PEC aux ARV (686) bénéficiant de l’appui du PEPFAR en RDC. En attendant ce toilettage de la file active 2022, les données de 2021 publiées demeurent la source de référence.</t>
  </si>
  <si>
    <t>The NSP aims to reach 95% by 2027 based on current performance. These targets were obtained using a 4% progression from the active file in 2022 based on the provisional Spectrum v6.26 estimate. This active file at the end of 2022 was adjusted to a 40% reduction in the active file of adult patients in the health zones benefiting from PEPFAR funding, based on the DQA findings. This brings the active file down to 397,521 instead of 497,195, i.e., an overall performance in 2022 of 77% compared to the provisional Spectrum v6.26 (397,521/515,385). These contributions from the Government and its donors (Global Fund and PEPFAR) are aimed at achieving the NSP targets annually.</t>
  </si>
  <si>
    <t>These targets will be covered by PEPFAR funding.
Compared to the provisional Spectrum v6.26, the overall performance of patients on ARVs at the end of 2022 is 77%, i.e. 397,521/515,385.  The progression rate for the targets for adults on ARVs is 4%, i.e. 85% in 2024, 89% in 2025 and 93% in 2026 of the country's needs for patients to be covered. This represents 439,212 in the first year, 459,623 in the second year and 478,012 in the final year. The Government of the DRC will cover 1% of the needs annually and the difference will be attributed to the two donors (Global Fund and PEPFAR) according to the weight of patients at the end of 2022, i.e. 41.71% for PEPFAR and 58.29% for the Global Fund. Thus, PEPFAR will cover 177,823 PLWHA in year 1, 193,637 in year 2 and 200,665 in year 3.</t>
  </si>
  <si>
    <t>In terms of the allocation amount, the funding will cover 249,676 patients in 2024, 259,775 in 2025 and 268,982 in 2026. These targets will be supplied by PLHIV on ARVs from the priority targets for the GC7, which are key populations, TB patients, pregnant women and their contacts. As far as children are concerned, the starting point will be PMTCT, for which the early detection of children and their reporting of results must be sufficiently reinforced. The other gateways in addition to PMTCT should be explored in order to strengthen the identification of children (post-school consultation, hospitalization, the nutritional and therapeutic children's center, the family unit and other gateways).
Systematic screening of priority populations coupled with targeted screening for their contact (Index testing) will make it possible to identify PLHIV and community activities in addition to screening will strengthen retention of patients in their health facility for proper follow-up.</t>
  </si>
  <si>
    <t>In 2021, 214,408 incident cases of tuberculosis were reported (new and relapsed patients) of which 13% were children.</t>
  </si>
  <si>
    <t xml:space="preserve">In 2021, the WHO estimated incidence is 318 cases/100,000 population. The DRC has a history of reducing TB incidence by 1 point since 2015. The new TB NSP 2024-2028 foresees the intensification of NFM3 interventions boosted by activities financed by catalytic funds, which will allow a reduction in incidence of 2 points from 2024. Thus the projected impacts for 2024, 2025, and 2026 are 315 per 100,000, 313 per 100,000, and 311 per 100,000, respectively. The population used is the 2020 National Institute of Statistics population used by the country as a reference with an annual growth rate of 3%. These incidences thus applied to the National Institute of Statistics populations give an estimated number of incident cases of 359,219 for 2024, 367,646 for 2025 and 376,256 for 2026. </t>
  </si>
  <si>
    <t>The increase in the TB coverage rate (or detection rate) changed by an average of 4% between 2015 and 2021. In 2022, despite the significant jump in case notification with 30,364 additional cases compared to 2021 (data in the process of being validated), the base population used did not reflect the program's treatment coverage efforts. In fact, the population used by WHO was lower than the National Institute of Statistics population (gap of 8,448,783 in 2021). On the basis of these arguments, the country has applied in the NSP a coverage increase of 4% in 2023 and 2024, and 6% in 2025 and 2026. Thus, the coverage rate planned in the NSP is 80% in 2024, 86% in 2025 and 92% in 2026. This corresponds to a target of 287,375 incident cases in 2024 for a population of 114,037,791 inhabitants, 316,176 in 2025 for a population of 117,458924 inhabitants and 346,156 in 2026 for a population of 120,982,692 inhabitants.</t>
  </si>
  <si>
    <t xml:space="preserve">The government's projected budget covers 3% of the NSP's needs over the three years. This support concerns the salaries of health personnel, the operation of health facilities, etc., which contribute to the detection and management of notified cases. It should be noted that in order to fill the final gap in the country's needs, advocacy actions will be carried out to increase the national contribution. </t>
  </si>
  <si>
    <t>Most of the funding from partners, notably USAID and Action Damien, is directed towards structural support at the intermediate level. For USAID, the support concerns laboratory equipment (GeneXpert cartridges) and sample transport. The contribution of these partners was for the purchase of some reagents and some laboratory equipment.</t>
  </si>
  <si>
    <t>The expected contribution for this Global Fund grant application for the period 2024-2026 is 90%. It will make it possible to cover the country's needs for first-line drugs, inputs and equipment for the laboratory as well as the transport of samples. Thus, the Global Fund's contribution will allow for the procurement of 258,638 courses of susceptible TB in 2024, 284,558 in 2025 and 311,540 in 2026.</t>
  </si>
  <si>
    <t xml:space="preserve">The final gap in relation to the population at risk in the country will be 26% in 2024, 20% in 2025 and 14% in 2026. Additional resources will be sought from the government and other partners. </t>
  </si>
  <si>
    <t>In 2021, the country notified 1,236 cases of MDR TB, which represents 19% of estimated DR-TB cases</t>
  </si>
  <si>
    <t>As of 2018, the WHO attributes to the DRC an incidence of DR-TB of 6.7 per 100,000. Despite a steady increase in the rate of detection of DR-TB between 2015 and 2021, the DR-TB detection gap remains very high (81% in 2021). This shows that the efforts made by the program are bearing fruit but are still insufficient to rapidly reduce prevalence. Thus, the country has taken the option in the NSP to keep this prevalence constant at 6.7 per 100,000. This prevalence in relation to the  National Institute of Statistics population gives the expected incident cases of DR-TB: 7641 in 2024, 7870 in 2025 and 8106 in 2026.</t>
  </si>
  <si>
    <t xml:space="preserve">Apart from the WHO DR-TB targets expected in the country, the National TB Program calculated the number of cases expected among the notified cases. This calculation takes into account: the prevalence of DR-TB resistance among new cases (1.6%) and retreatments (20%) and the strategy of universal screening using rifampicin resistance diagnostic tests such as GeneXpert. This trend will be maintained by the National TB Program until the results of the drug resistance survey are available in 2023. The laboratory results showed that the Xpert test was widely used for reprocessing (81% in 2021). For new cases, the rate of Xpert testing has steadily increased from 9.1% in 2020 to 22% in 2021 (WHO Global TB report 2022). Following this reasoning, the expected number of DR-TB cases among notified cases would be 3547 in 2024, 3981 in 2025, and 4515 in 2026. The results of the National TB Program showed a capacity to cover 44.3% of the identified DR-TB cases among notified patients in 2021 (NC + retreatment). With the activities of the DR-TB acceleration plan, the Xpert test in 1st line and the Xpert testing strategy for all detected TB+ cases, an annual progression of 10% is expected to reach, in 2026, 90% of identified DR-TB cases among notified cases. </t>
  </si>
  <si>
    <t>The government's projected budget allows the NSP to cover 25 cases in 2024, 32 cases in 2025 and 41 cases in 2026. This state contribution will cover 98 DR-TB during the 3-year grant period.</t>
  </si>
  <si>
    <t>According to the USAID and Global Fund agreement, the USAID contribution will cover 35% of the needs. Thus, 869 DR-TB cases in 2024, 1,115 in 2025, and 1,422 in 2026 will be covered by USAID funding. This support will be mainly for the purchase of cartridges, Xpert machines, support for the transport of samples, second-line drugs, patient support and technical support for the program.</t>
  </si>
  <si>
    <t xml:space="preserve">The Global Fund's contribution will make it possible to cover 1,614 DR-TB cases in 2024, 2,070 in 2025 and 2,641 in 2026. This support will be mainly for the purchase of cartridges, Xpert machines, support for the transport of samples, second-line drugs, patient support and technical support for the program. </t>
  </si>
  <si>
    <t xml:space="preserve">The funding gap for the country's DR-TB target will be 67% in 2024, 59% in 2025 and 49% in 2026. Additional resources will be sought from the government to cover 14,200 treatments of the country's gap, or an average of 60%. </t>
  </si>
  <si>
    <t>In 2021, the country has placed 1125 MDR-TB patients on treatment</t>
  </si>
  <si>
    <t xml:space="preserve">The expected number of confirmed RR-TB/MDR-TB (rifampicin-resistant and/or multidrug-resistant TB) cases is 7,641 in 2024, 7,870 in 2025 and 8,106 in 2026. These targets are aligned with the diagnostic targets above (Table 2, line B). </t>
  </si>
  <si>
    <t xml:space="preserve">In 2021, the country will have 91% of detected DR-TB cases under treatment. In the NSP, the program foresees an extension of the decentralization of care and support with a revitalization of the provincial MDR-TB committees with a particular emphasis on the rapid enrolment of all detected cases, i.e. 2,483 in 2024, 3,185 in 2025 and 4,063 in 2026. </t>
  </si>
  <si>
    <t>The government's projected budget allows the NSP to cover its needs at a rate of 1% each year. This state contribution will cover 25 MDR-TB in 2024, 32 MDR-TB in 2025 and 41 MDR-TB in 2026.</t>
  </si>
  <si>
    <t xml:space="preserve">The contribution of the USAID partner will be in terms of purchasing cures for all screened patients, i.e. 869 patients in 2024, 1,115 patients in 2025 and 1,422 in 2026. This contribution from the partners will cover a total of 3,406 for the three years of the funding request. </t>
  </si>
  <si>
    <t xml:space="preserve">The expected contribution for this Global Fund funding request for MDR-TB GF for the period 2024-2026 will cover treatment for all screened patients, i.e., 1,614 MDR-TB cases in 2024, 2,070 cases in 2025 and 2,641 patients in 2026. This support will be mainly for the purchase of drugs, patient support and community support. </t>
  </si>
  <si>
    <t xml:space="preserve">The funding gap for the MDR-TB target allocated to the country will be 67% in 2024, 59% in 2025 and 49% in 2026. Additional resources will be sought from the government to cover 13,189 treatments of the country's gap, an average of 59%. </t>
  </si>
  <si>
    <t>In 2021, the country has put 59,419 contacts on INH, all children aged 0-5 years free of active TB.</t>
  </si>
  <si>
    <t>Until mid-2022, the country had a policy of placing only contacts under 5 years of age and PLHIV on TPT. At the end of 2022, the country adopted the extension of TPT to all contacts aged 5-14 years and adults free of active TB. To calculate the number of contacts eligible for TPT we used the number of bacteriologically confirmed pulmonary TB cases and the family size and age pyramid. 1) The calculation of the number of bacteriologically confirmed TB cases was based on the program's historical data which shows that TP+ constituted 61% of all cases. The use of the Xpert with a higher sensitivity will increase the proportion of TP+. However, this increase will be reasonable as it will be compensated by the scaling up of radiography which will allow early diagnosis of cases. Thus, the NSP foresees a percentage of TP+ cases of 64% in 2024, 65% in 2025 and 2026 of the total number of all forms (184,092 in 2024, 205,071 in 2025 and 226,593 in 2026). 2) According to the DHS data, the family size in Congo is 6.4 individuals. Thus, each index case has 5.4 expected contacts distributed according to the age pyramid (19.5% under 5 years of age, 28.6% between 5 and 14 years of age and 51.9% over 15 years of age.  
These two parameters allow us to assume that the number of TP+ contacts eligible for TPT will be 994,097 in 2024 (1,93,849 under 5, 248,312 5-14 and 515,936 adults), 1,107,384 in 2025 (215,940 under 5, 316,712 5-14 and 574,732 adults) and 1,223,601 in 2026 (238,602 under 5, 349,950 5-14 and 635,049 adults).   
Given the resources currently available, we will prioritize contact children and PLHIV, plus other high-risk adult targets.</t>
  </si>
  <si>
    <t xml:space="preserve">The country put only 8.3% of all age contacts on preventive treatment in 2021. The policy that was in place in the country was to put on TPT only contacts of TB under 5 years of age. Disaggregated data showed that among contacts under 5 years of age, treatment coverage (number of expected contacts/number of contacts on TPT) was 33% in 2020 and 42% in 2021. We consider these figures to represent penetrance in families, i.e. the ability of the program to detect contacts in a household. As the program has opted to extend TPT to all contacts regardless of age, it is planned to start the TPT extension strategy in 2023. This will involve accelerating the initiation of TPT for children under 5 years of age from 51% coverage in 2022 to 65% in 2024, 70% in 2025 and 75% in 2026 and gradually increasing the percentage of contacts over 5 years of age on TPT, taking into account the novelty of this target (10% in 2024, 20% in 2025 and 35% in 2026). These two parameters allow us to retain that the number of TPB+ contacts to be put on TPT will be 150,527 in 2024 (106,544 under 5, 15,626 5-14 and 28,357 adults), 255,460 in 2025 (139,928 under 5, 41,046 5-14 and 74,485 adults) and 412,173 in 2026 (168,587 under 5, 86,541 5-14 and 157,045 adults).   </t>
  </si>
  <si>
    <t>The government's projected budget covers the NSP's needs for 2% during the three years of the grant, i.e. a total of 16,363 cures to be purchased. This contribution will make it possible to cover 3,011 eligible contacts in 2024, 5,109 in 2025 and 8,243 contacts in 2026.</t>
  </si>
  <si>
    <t xml:space="preserve">Partner support (USAID and others) for TPT will be 1% over the three years of the grant. TPT drug supply will be provided by the Global Fund. </t>
  </si>
  <si>
    <t xml:space="preserve"> The expected contribution for this funding request from the Global Fund for the period 2024-2026 will cover 70% of the needs. It will mainly consist of support for the purchase of the Isoniazid-rifapentine combination in children over 5 years of age and RH in children under 5 years of age in accordance with WHO guidelines adopted by the country, community support for contact tracing and reimbursement of transportation for contacts referred to health facilities. Priority will be given to children under 5 (74,581 in 2024, 97,950 in 2025 and 118,011 in 2026).                                                                                           </t>
  </si>
  <si>
    <t xml:space="preserve">The final gap in relation to the population at risk in the country will reach at least 85% by 2026. Additional resources will be sought from partners by the Congolese government.   </t>
  </si>
  <si>
    <t>These targets will be covered by co-financing as well as by the Government's program budget.</t>
  </si>
  <si>
    <t>PrEP for the PWID population is a new activity in the country. These targets will be covered by co-financing as well as by the Government's program budget.</t>
  </si>
  <si>
    <t>To date, 21 cities in 19 of 26 provinces have been mapped and a KP expansion plan developed. Global Fund funding is supporting 25 out of 92 functional drop-in centers and integrated structures in the country. It should be noted that 50% of the targets are already in the mapped sites. The unmet targets will be found in the planned expansion sites and in the unmapped cities. 
Within the framework of CG7, the improvement of the service offer and the intensification of activities for PWID are proposed in the note to reach a contribution of 25% in 2026 on the NSP targets. Appropriate strategies will be developed to reach PWIDs. Advocacy will be done with the National Assembly for the easing of the legislation. The removal of obstacles and barriers in the communities will be necessary to reach a large number of PWID. A KP identifier and specific data collection tools will be put in place to avoid duplication of data collection due to the mobility of these populations. Data reporting will be done through the DHIS2 for better visibility of the data by all actors.</t>
  </si>
  <si>
    <t>To date, 21 cities in 19 of 26 provinces have been mapped and a KP expansion plan developed. Global Fund funding is supporting 25 out of 92 functional drop-in centers and integrated structures in the country. It should be noted that 70% of the targets are already in the mapped sites. The unmet targets will be found in the planned expansion sites and in the unmapped cities. 
Within the framework of CG7, the improvement of the service offer and the intensification of activities for sew workers are proposed in the note to reach a contribution of 45% in 2026 on the NSP targets. The offer of services will be focused in the integrated sites in view of the current results instead of the drop-in centers. In-depth work must be done to remove obstacles and barriers in the health care environment with the implementation of catalytic funds planned in the Gender and Human Rights module.
A KP identifier and specific data collection tools will be put in place to avoid duplication of data collection due to the mobility of these populations. Data reporting will be done through the DHIS2 for a better visibility of the data by all actors.</t>
  </si>
  <si>
    <t>To date, 21 cities in 19 of 26 provinces have been mapped and a KP expansion plan developed. Global Fund funding is supporting 25 out of 92 functional drop-in centers and integrated structures in the country. It should be noted that 50% of the targets are already in the mapped sites. The unmet targets will be found in the planned expansion sites and in the unmapped cities. 
Within the framework of CG7, the improvement of the service offer and the intensification of activities for PWID are proposed in the note to reach a contribution of 25% in 2026 on the NSP targets. Appropriate strategies will be developed to reach PWIDs. Advocacy will be done with the National Assembly for the easing of the legislation. The removal of obstacles and barriers in the communities will be necessary to reach a large number of PWID. 
A KP identifier and specific data collection tools will be put in place to avoid duplication of data collection due to the mobility of these populations. Data reporting will be done through the DHIS2 for better visibility of the data by all actors.</t>
  </si>
  <si>
    <t>To date, 21 cities in 19 of 26 provinces have been mapped and a KP expansion plan developed. Global Fund funding is supporting 25 out of 92 functional drop-in centers and integrated structures in the country. It should be noted that 70% of the targets are already in the mapped sites. The unmet targets will be found in the planned expansion sites and in the unmapped cities. 
Within the framework of CG7, the improvement of the service offer and the intensification of activities for sew workers are proposed in the note to reach a contribution of 44% in 2026 on the NSP targets. The offer of services will be focused in the integrated sites in view of the current results instead of the drop-in centers. In-depth work must be done to remove obstacles and barriers in the health care environment with the implementation of catalytic funds planned in the Gender and Human Rights module.
A KP identifier and specific data collection tools will be put in place to avoid duplication of data collection due to the mobility of these populations. Data reporting will be done through the DHIS2 for better visibility of the data by all actors.</t>
  </si>
  <si>
    <t>To date, 21 cities in 19 of 26 provinces have been mapped and a KP expansion plan developed. Global Fund funding is supporting 25 out of 92 functional drop-in centers and integrated structures in the country. It should be noted that 70% of the targets are already in the mapped sites. The unmet targets will be found in the planned expansion sites and in the unmapped cities. 
Within the framework of CG7, the improvement of the service offer and the intensification of activities for sex workers are proposed in the note to reach a contribution of 45% in 2026 on the NSP targets. The offer of services will be focused in the integrated sites in view of the current results instead of the drop-in centers. In-depth work must be done to remove obstacles and barriers in the health care environment with the implementation of catalytic funds planned in the Gender and Human Rights module.
A KP identifier and specific data collection tools will be put in place to avoid duplication of data collection due to the mobility of these populations. Data reporting will be done through the DHIS2 for better visibility of the data by all actors.</t>
  </si>
  <si>
    <t xml:space="preserve"> To date, 21 cities in 19 of 26 provinces have been mapped and a KP expansion plan developed. Global Fund funding is supporting 25 out of 92 functional drop-in centers and integrated structures in the country. It should be noted that 70% of the targets are already in the mapped sites. The unmet targets will be found in the planned expansion sites and in the unmapped cities. 
Within the framework of CG7, the improvement of the service offer and the intensification of activities for sew workers are proposed in the note to reach a contribution of 45% in 2026 on the NSP targets. The offer of services will be focused in the integrated sites in view of the current results instead of the drop-in centers. In-depth work must be done to remove obstacles and barriers in the health care environment with the implementation of catalytic funds planned in the Gender and Human Rights module.
A KP identifier and specific data collection tools will be put in place to avoid duplication of data collection due to the mobility of these populations. Data reporting will be done through the DHIS2 for better visibility of the data by all actors.</t>
  </si>
  <si>
    <t>These targets will be covered by the Government of DRC. Co-financing made it possible to cover the purchase of HIV tests in 9 provinces not covered by the Global Fund during NMF3. The program budget coupled with the government's co-financing will cover these targets in 20 health zones without HIV intervention in addition to the Global Fund's health zones without HIV test coverage as part of the PMTCT scale-up.</t>
  </si>
  <si>
    <t>These targets will be covered by the government. Co-financing coupled with the program budget adopted by the National Assembly will allow the purchase of drugs for TPT in the 20 health zones without any intervention.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</si>
</sst>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00_-;\-* #,##0.00_-;_-* &quot;-&quot;??_-;_-@_-"/>
    <numFmt numFmtId="165" formatCode="_-* #,##0_-;\-* #,##0_-;_-* &quot;-&quot;??_-;_-@_-"/>
  </numFmts>
  <fonts count="62" x14ac:knownFonts="1">
    <font>
      <sz val="11"/>
      <color theme="1"/>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Arial"/>
      <family val="2"/>
    </font>
    <font>
      <sz val="11"/>
      <color theme="1"/>
      <name val="Georgia"/>
      <family val="1"/>
    </font>
    <font>
      <b/>
      <sz val="11"/>
      <color theme="1"/>
      <name val="Arial"/>
      <family val="2"/>
    </font>
    <font>
      <b/>
      <sz val="14"/>
      <name val="Arial"/>
      <family val="2"/>
    </font>
    <font>
      <b/>
      <sz val="14"/>
      <color rgb="FFFF0000"/>
      <name val="Arial"/>
      <family val="2"/>
    </font>
    <font>
      <b/>
      <sz val="10"/>
      <color rgb="FFFF0000"/>
      <name val="Arial"/>
      <family val="2"/>
    </font>
    <font>
      <b/>
      <sz val="11"/>
      <name val="Arial"/>
      <family val="2"/>
    </font>
    <font>
      <b/>
      <u/>
      <sz val="11"/>
      <name val="Arial"/>
      <family val="2"/>
    </font>
    <font>
      <sz val="11"/>
      <name val="Arial"/>
      <family val="2"/>
    </font>
    <font>
      <b/>
      <sz val="11"/>
      <color rgb="FFFF0000"/>
      <name val="Arial"/>
      <family val="2"/>
    </font>
    <font>
      <sz val="9"/>
      <name val="Arial"/>
      <family val="2"/>
    </font>
    <font>
      <sz val="9"/>
      <color rgb="FFFF0000"/>
      <name val="Arial"/>
      <family val="2"/>
    </font>
    <font>
      <b/>
      <i/>
      <sz val="12"/>
      <color rgb="FFFF0000"/>
      <name val="Arial"/>
      <family val="2"/>
    </font>
    <font>
      <i/>
      <sz val="11"/>
      <name val="Arial"/>
      <family val="2"/>
    </font>
    <font>
      <i/>
      <sz val="11"/>
      <color theme="1"/>
      <name val="Arial"/>
      <family val="2"/>
    </font>
    <font>
      <sz val="11"/>
      <color rgb="FFFF0000"/>
      <name val="Arial"/>
      <family val="2"/>
    </font>
    <font>
      <b/>
      <i/>
      <sz val="18"/>
      <color rgb="FFFF0000"/>
      <name val="Arial"/>
      <family val="2"/>
    </font>
    <font>
      <b/>
      <sz val="11"/>
      <color rgb="FF000000"/>
      <name val="Arial"/>
      <family val="2"/>
    </font>
    <font>
      <i/>
      <sz val="11"/>
      <color theme="1"/>
      <name val="Calibri"/>
      <family val="2"/>
      <scheme val="minor"/>
    </font>
    <font>
      <sz val="11"/>
      <color rgb="FFC00000"/>
      <name val="Calibri"/>
      <family val="2"/>
      <scheme val="minor"/>
    </font>
    <font>
      <sz val="11"/>
      <color rgb="FFFF0000"/>
      <name val="Calibri"/>
      <family val="2"/>
      <scheme val="minor"/>
    </font>
    <font>
      <b/>
      <sz val="11"/>
      <color theme="1"/>
      <name val="Calibri"/>
      <family val="2"/>
      <scheme val="minor"/>
    </font>
    <font>
      <sz val="11"/>
      <color rgb="FF7030A0"/>
      <name val="Arial"/>
      <family val="2"/>
    </font>
    <font>
      <sz val="11"/>
      <color theme="9" tint="-0.249977111117893"/>
      <name val="Calibri"/>
      <family val="2"/>
      <scheme val="minor"/>
    </font>
    <font>
      <b/>
      <sz val="11"/>
      <name val="Calibri"/>
      <family val="2"/>
      <scheme val="minor"/>
    </font>
    <font>
      <sz val="11"/>
      <color rgb="FFFFC000"/>
      <name val="Arial"/>
      <family val="2"/>
    </font>
    <font>
      <u/>
      <sz val="11"/>
      <color theme="10"/>
      <name val="Arial"/>
      <family val="2"/>
    </font>
    <font>
      <sz val="11"/>
      <name val="Calibri"/>
      <family val="2"/>
      <scheme val="minor"/>
    </font>
    <font>
      <sz val="11"/>
      <color theme="1"/>
      <name val="Calibri"/>
      <family val="2"/>
    </font>
    <font>
      <b/>
      <sz val="11"/>
      <color theme="1"/>
      <name val="Calibri"/>
      <family val="2"/>
    </font>
    <font>
      <i/>
      <sz val="11"/>
      <color theme="1"/>
      <name val="Calibri"/>
      <family val="2"/>
    </font>
    <font>
      <sz val="11"/>
      <color rgb="FFF79646" tint="-0.249977111117893"/>
      <name val="Calibri"/>
      <family val="2"/>
    </font>
    <font>
      <b/>
      <sz val="11"/>
      <color theme="1"/>
      <name val="Calibri"/>
      <family val="2"/>
      <charset val="204"/>
      <scheme val="minor"/>
    </font>
    <font>
      <i/>
      <sz val="11"/>
      <color theme="1"/>
      <name val="Calibri"/>
      <family val="2"/>
      <charset val="204"/>
    </font>
    <font>
      <b/>
      <sz val="9"/>
      <color indexed="81"/>
      <name val="Tahoma"/>
      <family val="2"/>
    </font>
    <font>
      <sz val="9"/>
      <color indexed="81"/>
      <name val="Tahoma"/>
      <family val="2"/>
    </font>
    <font>
      <sz val="11"/>
      <name val="Calibri"/>
      <family val="2"/>
    </font>
    <font>
      <b/>
      <sz val="18"/>
      <color theme="1"/>
      <name val="Arial"/>
      <family val="2"/>
    </font>
    <font>
      <b/>
      <sz val="11"/>
      <color rgb="FFFF0000"/>
      <name val="Calibri"/>
      <family val="2"/>
      <scheme val="minor"/>
    </font>
    <font>
      <sz val="11"/>
      <color rgb="FFFF0000"/>
      <name val="Calibri"/>
      <family val="2"/>
    </font>
    <font>
      <b/>
      <sz val="11"/>
      <color theme="1"/>
      <name val="Georgia"/>
      <family val="1"/>
    </font>
    <font>
      <b/>
      <sz val="16"/>
      <color theme="1"/>
      <name val="Georgia"/>
      <family val="1"/>
    </font>
    <font>
      <sz val="11"/>
      <color rgb="FF000000"/>
      <name val="Arial"/>
      <family val="2"/>
    </font>
    <font>
      <sz val="8"/>
      <name val="Arial"/>
      <family val="2"/>
    </font>
    <font>
      <b/>
      <sz val="18"/>
      <color theme="0"/>
      <name val="Arial Black"/>
      <family val="2"/>
    </font>
    <font>
      <b/>
      <sz val="11"/>
      <color theme="0"/>
      <name val="Arial"/>
      <family val="2"/>
    </font>
    <font>
      <b/>
      <i/>
      <sz val="11"/>
      <name val="Arial"/>
      <family val="2"/>
    </font>
    <font>
      <b/>
      <i/>
      <sz val="11"/>
      <color rgb="FFFF0000"/>
      <name val="Arial"/>
      <family val="2"/>
    </font>
    <font>
      <sz val="18"/>
      <color theme="0"/>
      <name val="Arial Black"/>
      <family val="2"/>
    </font>
    <font>
      <sz val="11"/>
      <name val="Georgia"/>
      <family val="1"/>
    </font>
    <font>
      <b/>
      <sz val="11"/>
      <name val="Georgia"/>
      <family val="1"/>
    </font>
    <font>
      <sz val="18"/>
      <color theme="0"/>
      <name val="Arial"/>
      <family val="2"/>
    </font>
    <font>
      <u/>
      <sz val="11"/>
      <color rgb="FF0000FF"/>
      <name val="Arial"/>
      <family val="2"/>
    </font>
  </fonts>
  <fills count="35">
    <fill>
      <patternFill patternType="none"/>
    </fill>
    <fill>
      <patternFill patternType="gray125"/>
    </fill>
    <fill>
      <patternFill patternType="solid">
        <fgColor theme="0" tint="-0.14999847407452621"/>
        <bgColor indexed="64"/>
      </patternFill>
    </fill>
    <fill>
      <patternFill patternType="solid">
        <fgColor theme="0" tint="-0.249977111117893"/>
        <bgColor indexed="64"/>
      </patternFill>
    </fill>
    <fill>
      <patternFill patternType="solid">
        <fgColor theme="0"/>
        <bgColor indexed="64"/>
      </patternFill>
    </fill>
    <fill>
      <patternFill patternType="solid">
        <fgColor theme="1"/>
        <bgColor indexed="64"/>
      </patternFill>
    </fill>
    <fill>
      <patternFill patternType="solid">
        <fgColor theme="4" tint="0.59999389629810485"/>
        <bgColor indexed="64"/>
      </patternFill>
    </fill>
    <fill>
      <patternFill patternType="solid">
        <fgColor theme="7" tint="0.79998168889431442"/>
        <bgColor indexed="64"/>
      </patternFill>
    </fill>
    <fill>
      <patternFill patternType="solid">
        <fgColor theme="0"/>
        <bgColor rgb="FF000000"/>
      </patternFill>
    </fill>
    <fill>
      <patternFill patternType="solid">
        <fgColor rgb="FFFF0000"/>
        <bgColor indexed="64"/>
      </patternFill>
    </fill>
    <fill>
      <patternFill patternType="solid">
        <fgColor rgb="FFFFFF00"/>
        <bgColor indexed="64"/>
      </patternFill>
    </fill>
    <fill>
      <patternFill patternType="solid">
        <fgColor rgb="FFFFC000"/>
        <bgColor indexed="64"/>
      </patternFill>
    </fill>
    <fill>
      <patternFill patternType="solid">
        <fgColor theme="0" tint="-0.34998626667073579"/>
        <bgColor indexed="64"/>
      </patternFill>
    </fill>
    <fill>
      <patternFill patternType="solid">
        <fgColor theme="9" tint="0.79998168889431442"/>
        <bgColor indexed="64"/>
      </patternFill>
    </fill>
    <fill>
      <patternFill patternType="solid">
        <fgColor theme="6" tint="0.59999389629810485"/>
        <bgColor indexed="64"/>
      </patternFill>
    </fill>
    <fill>
      <patternFill patternType="solid">
        <fgColor rgb="FFE4DFEC"/>
        <bgColor indexed="64"/>
      </patternFill>
    </fill>
    <fill>
      <patternFill patternType="solid">
        <fgColor rgb="FFB1A0C7"/>
        <bgColor indexed="64"/>
      </patternFill>
    </fill>
    <fill>
      <patternFill patternType="solid">
        <fgColor rgb="FF7030A0"/>
        <bgColor indexed="64"/>
      </patternFill>
    </fill>
    <fill>
      <patternFill patternType="solid">
        <fgColor theme="7" tint="-0.249977111117893"/>
        <bgColor indexed="64"/>
      </patternFill>
    </fill>
    <fill>
      <patternFill patternType="solid">
        <fgColor rgb="FF6E6E6E"/>
        <bgColor indexed="64"/>
      </patternFill>
    </fill>
    <fill>
      <patternFill patternType="solid">
        <fgColor rgb="FF04198F"/>
        <bgColor indexed="64"/>
      </patternFill>
    </fill>
    <fill>
      <patternFill patternType="solid">
        <fgColor rgb="FFA6A6A6"/>
        <bgColor indexed="64"/>
      </patternFill>
    </fill>
    <fill>
      <patternFill patternType="solid">
        <fgColor rgb="FF8294FB"/>
        <bgColor indexed="64"/>
      </patternFill>
    </fill>
    <fill>
      <patternFill patternType="solid">
        <fgColor theme="9" tint="0.39997558519241921"/>
        <bgColor indexed="64"/>
      </patternFill>
    </fill>
    <fill>
      <patternFill patternType="solid">
        <fgColor rgb="FFFF33CC"/>
        <bgColor indexed="64"/>
      </patternFill>
    </fill>
    <fill>
      <patternFill patternType="solid">
        <fgColor theme="1"/>
        <bgColor rgb="FF000000"/>
      </patternFill>
    </fill>
    <fill>
      <patternFill patternType="solid">
        <fgColor rgb="FFA6A6A6"/>
        <bgColor rgb="FF000000"/>
      </patternFill>
    </fill>
    <fill>
      <patternFill patternType="solid">
        <fgColor rgb="FF8294FB"/>
        <bgColor rgb="FF000000"/>
      </patternFill>
    </fill>
    <fill>
      <patternFill patternType="solid">
        <fgColor rgb="FF04198F"/>
        <bgColor rgb="FF000000"/>
      </patternFill>
    </fill>
    <fill>
      <patternFill patternType="solid">
        <fgColor theme="2"/>
        <bgColor indexed="64"/>
      </patternFill>
    </fill>
    <fill>
      <patternFill patternType="solid">
        <fgColor theme="7" tint="0.59999389629810485"/>
        <bgColor indexed="64"/>
      </patternFill>
    </fill>
    <fill>
      <patternFill patternType="solid">
        <fgColor theme="4"/>
        <bgColor indexed="64"/>
      </patternFill>
    </fill>
    <fill>
      <patternFill patternType="solid">
        <fgColor theme="3" tint="0.39997558519241921"/>
        <bgColor indexed="64"/>
      </patternFill>
    </fill>
    <fill>
      <patternFill patternType="solid">
        <fgColor theme="3" tint="0.59999389629810485"/>
        <bgColor indexed="64"/>
      </patternFill>
    </fill>
    <fill>
      <patternFill patternType="solid">
        <fgColor theme="6" tint="0.39997558519241921"/>
        <bgColor indexed="64"/>
      </patternFill>
    </fill>
  </fills>
  <borders count="30">
    <border>
      <left/>
      <right/>
      <top/>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style="thin">
        <color auto="1"/>
      </right>
      <top/>
      <bottom style="thin">
        <color auto="1"/>
      </bottom>
      <diagonal/>
    </border>
    <border>
      <left/>
      <right/>
      <top style="thin">
        <color auto="1"/>
      </top>
      <bottom style="medium">
        <color auto="1"/>
      </bottom>
      <diagonal/>
    </border>
    <border>
      <left style="medium">
        <color auto="1"/>
      </left>
      <right style="thin">
        <color auto="1"/>
      </right>
      <top style="thin">
        <color auto="1"/>
      </top>
      <bottom style="thin">
        <color auto="1"/>
      </bottom>
      <diagonal/>
    </border>
    <border>
      <left style="thin">
        <color auto="1"/>
      </left>
      <right/>
      <top style="thin">
        <color auto="1"/>
      </top>
      <bottom style="medium">
        <color auto="1"/>
      </bottom>
      <diagonal/>
    </border>
    <border>
      <left style="medium">
        <color auto="1"/>
      </left>
      <right/>
      <top style="medium">
        <color auto="1"/>
      </top>
      <bottom/>
      <diagonal/>
    </border>
    <border>
      <left style="thin">
        <color auto="1"/>
      </left>
      <right style="thin">
        <color auto="1"/>
      </right>
      <top style="medium">
        <color auto="1"/>
      </top>
      <bottom style="thin">
        <color auto="1"/>
      </bottom>
      <diagonal/>
    </border>
    <border>
      <left/>
      <right/>
      <top/>
      <bottom style="thin">
        <color auto="1"/>
      </bottom>
      <diagonal/>
    </border>
    <border>
      <left/>
      <right/>
      <top style="medium">
        <color auto="1"/>
      </top>
      <bottom/>
      <diagonal/>
    </border>
    <border>
      <left style="medium">
        <color auto="1"/>
      </left>
      <right style="medium">
        <color auto="1"/>
      </right>
      <top style="medium">
        <color auto="1"/>
      </top>
      <bottom/>
      <diagonal/>
    </border>
    <border>
      <left style="medium">
        <color auto="1"/>
      </left>
      <right style="medium">
        <color auto="1"/>
      </right>
      <top/>
      <bottom/>
      <diagonal/>
    </border>
    <border>
      <left style="thin">
        <color auto="1"/>
      </left>
      <right/>
      <top/>
      <bottom style="thin">
        <color auto="1"/>
      </bottom>
      <diagonal/>
    </border>
    <border>
      <left/>
      <right/>
      <top style="thin">
        <color auto="1"/>
      </top>
      <bottom/>
      <diagonal/>
    </border>
    <border>
      <left/>
      <right/>
      <top/>
      <bottom style="medium">
        <color auto="1"/>
      </bottom>
      <diagonal/>
    </border>
    <border>
      <left style="thin">
        <color auto="1"/>
      </left>
      <right/>
      <top style="thin">
        <color auto="1"/>
      </top>
      <bottom/>
      <diagonal/>
    </border>
    <border>
      <left style="thin">
        <color auto="1"/>
      </left>
      <right style="thin">
        <color auto="1"/>
      </right>
      <top/>
      <bottom/>
      <diagonal/>
    </border>
    <border>
      <left style="thin">
        <color auto="1"/>
      </left>
      <right style="thin">
        <color auto="1"/>
      </right>
      <top style="thin">
        <color auto="1"/>
      </top>
      <bottom/>
      <diagonal/>
    </border>
    <border>
      <left/>
      <right style="thin">
        <color auto="1"/>
      </right>
      <top style="thin">
        <color auto="1"/>
      </top>
      <bottom style="medium">
        <color auto="1"/>
      </bottom>
      <diagonal/>
    </border>
    <border>
      <left/>
      <right style="thin">
        <color auto="1"/>
      </right>
      <top style="thin">
        <color auto="1"/>
      </top>
      <bottom/>
      <diagonal/>
    </border>
    <border>
      <left style="thin">
        <color indexed="64"/>
      </left>
      <right style="thin">
        <color auto="1"/>
      </right>
      <top style="thin">
        <color indexed="64"/>
      </top>
      <bottom style="medium">
        <color indexed="64"/>
      </bottom>
      <diagonal/>
    </border>
    <border>
      <left style="thin">
        <color auto="1"/>
      </left>
      <right/>
      <top/>
      <bottom/>
      <diagonal/>
    </border>
    <border>
      <left/>
      <right style="thin">
        <color auto="1"/>
      </right>
      <top/>
      <bottom/>
      <diagonal/>
    </border>
    <border>
      <left/>
      <right style="medium">
        <color auto="1"/>
      </right>
      <top style="medium">
        <color auto="1"/>
      </top>
      <bottom/>
      <diagonal/>
    </border>
    <border>
      <left style="thin">
        <color auto="1"/>
      </left>
      <right/>
      <top/>
      <bottom style="medium">
        <color auto="1"/>
      </bottom>
      <diagonal/>
    </border>
    <border>
      <left/>
      <right style="thin">
        <color auto="1"/>
      </right>
      <top/>
      <bottom style="medium">
        <color auto="1"/>
      </bottom>
      <diagonal/>
    </border>
  </borders>
  <cellStyleXfs count="6">
    <xf numFmtId="0" fontId="0" fillId="0" borderId="0"/>
    <xf numFmtId="9" fontId="9" fillId="0" borderId="0" applyFont="0" applyFill="0" applyBorder="0" applyAlignment="0" applyProtection="0"/>
    <xf numFmtId="164" fontId="9" fillId="0" borderId="0" applyFont="0" applyFill="0" applyBorder="0" applyAlignment="0" applyProtection="0"/>
    <xf numFmtId="0" fontId="35" fillId="0" borderId="0" applyNumberFormat="0" applyFill="0" applyBorder="0" applyAlignment="0" applyProtection="0"/>
    <xf numFmtId="0" fontId="9" fillId="0" borderId="0"/>
    <xf numFmtId="164" fontId="9" fillId="0" borderId="0" applyFont="0" applyFill="0" applyBorder="0" applyAlignment="0" applyProtection="0"/>
  </cellStyleXfs>
  <cellXfs count="532">
    <xf numFmtId="0" fontId="0" fillId="0" borderId="0" xfId="0"/>
    <xf numFmtId="0" fontId="14" fillId="0" borderId="0" xfId="0" applyFont="1" applyAlignment="1">
      <alignment vertical="center" wrapText="1"/>
    </xf>
    <xf numFmtId="0" fontId="12" fillId="0" borderId="0" xfId="0" applyFont="1" applyAlignment="1">
      <alignment vertical="center" wrapText="1"/>
    </xf>
    <xf numFmtId="0" fontId="13" fillId="0" borderId="0" xfId="0" applyFont="1" applyAlignment="1">
      <alignment horizontal="center" vertical="center" wrapText="1"/>
    </xf>
    <xf numFmtId="0" fontId="0" fillId="0" borderId="0" xfId="0" applyAlignment="1">
      <alignment vertical="top"/>
    </xf>
    <xf numFmtId="0" fontId="0" fillId="2" borderId="2" xfId="0" applyFill="1" applyBorder="1" applyAlignment="1">
      <alignment horizontal="left" vertical="top"/>
    </xf>
    <xf numFmtId="0" fontId="0" fillId="0" borderId="0" xfId="0" applyAlignment="1">
      <alignment horizontal="left" vertical="top"/>
    </xf>
    <xf numFmtId="0" fontId="0" fillId="0" borderId="0" xfId="0" applyAlignment="1">
      <alignment horizontal="center" vertical="top"/>
    </xf>
    <xf numFmtId="0" fontId="0" fillId="2" borderId="5" xfId="0" applyFill="1" applyBorder="1" applyAlignment="1">
      <alignment horizontal="left" vertical="top"/>
    </xf>
    <xf numFmtId="0" fontId="0" fillId="6" borderId="0" xfId="0" applyFill="1" applyAlignment="1">
      <alignment horizontal="left" vertical="top"/>
    </xf>
    <xf numFmtId="0" fontId="0" fillId="6" borderId="0" xfId="0" applyFill="1" applyAlignment="1">
      <alignment vertical="top"/>
    </xf>
    <xf numFmtId="0" fontId="0" fillId="4" borderId="0" xfId="0" applyFill="1" applyAlignment="1">
      <alignment vertical="top"/>
    </xf>
    <xf numFmtId="0" fontId="0" fillId="0" borderId="0" xfId="0" applyAlignment="1">
      <alignment wrapText="1"/>
    </xf>
    <xf numFmtId="0" fontId="8" fillId="0" borderId="0" xfId="0" applyFont="1"/>
    <xf numFmtId="0" fontId="28" fillId="0" borderId="0" xfId="0" applyFont="1"/>
    <xf numFmtId="0" fontId="27" fillId="0" borderId="0" xfId="0" applyFont="1"/>
    <xf numFmtId="0" fontId="30" fillId="0" borderId="0" xfId="0" applyFont="1"/>
    <xf numFmtId="4" fontId="0" fillId="0" borderId="0" xfId="0" applyNumberFormat="1"/>
    <xf numFmtId="0" fontId="17" fillId="4" borderId="2" xfId="0" applyFont="1" applyFill="1" applyBorder="1" applyAlignment="1" applyProtection="1">
      <alignment vertical="center" wrapText="1"/>
      <protection locked="0"/>
    </xf>
    <xf numFmtId="0" fontId="23" fillId="4" borderId="2" xfId="0" applyFont="1" applyFill="1" applyBorder="1" applyAlignment="1" applyProtection="1">
      <alignment horizontal="center" vertical="center" wrapText="1"/>
      <protection locked="0"/>
    </xf>
    <xf numFmtId="3" fontId="17" fillId="4" borderId="2" xfId="0" applyNumberFormat="1" applyFont="1" applyFill="1" applyBorder="1" applyAlignment="1" applyProtection="1">
      <alignment horizontal="right" vertical="center" wrapText="1"/>
      <protection locked="0"/>
    </xf>
    <xf numFmtId="0" fontId="33" fillId="0" borderId="0" xfId="0" applyFont="1"/>
    <xf numFmtId="0" fontId="0" fillId="0" borderId="0" xfId="0" applyAlignment="1">
      <alignment vertical="top" wrapText="1"/>
    </xf>
    <xf numFmtId="0" fontId="34" fillId="4" borderId="0" xfId="0" applyFont="1" applyFill="1" applyAlignment="1">
      <alignment vertical="top" wrapText="1"/>
    </xf>
    <xf numFmtId="3" fontId="17" fillId="8" borderId="2" xfId="0" applyNumberFormat="1" applyFont="1" applyFill="1" applyBorder="1" applyAlignment="1" applyProtection="1">
      <alignment horizontal="right" vertical="center" wrapText="1"/>
      <protection locked="0"/>
    </xf>
    <xf numFmtId="0" fontId="0" fillId="9" borderId="2" xfId="0" applyFill="1" applyBorder="1" applyAlignment="1">
      <alignment horizontal="left" vertical="top"/>
    </xf>
    <xf numFmtId="0" fontId="0" fillId="9" borderId="3" xfId="0" applyFill="1" applyBorder="1" applyAlignment="1">
      <alignment horizontal="left" vertical="top"/>
    </xf>
    <xf numFmtId="0" fontId="0" fillId="12" borderId="0" xfId="0" applyFill="1" applyAlignment="1">
      <alignment vertical="top"/>
    </xf>
    <xf numFmtId="0" fontId="0" fillId="3" borderId="0" xfId="0" applyFill="1" applyAlignment="1">
      <alignment vertical="top"/>
    </xf>
    <xf numFmtId="0" fontId="9" fillId="2" borderId="2" xfId="4" applyFill="1" applyBorder="1" applyAlignment="1">
      <alignment horizontal="left" vertical="top"/>
    </xf>
    <xf numFmtId="0" fontId="9" fillId="2" borderId="3" xfId="4" applyFill="1" applyBorder="1" applyAlignment="1">
      <alignment horizontal="left" vertical="top"/>
    </xf>
    <xf numFmtId="0" fontId="36" fillId="11" borderId="0" xfId="0" applyFont="1" applyFill="1"/>
    <xf numFmtId="0" fontId="0" fillId="2" borderId="2" xfId="4" applyFont="1" applyFill="1" applyBorder="1" applyAlignment="1">
      <alignment horizontal="left" vertical="top"/>
    </xf>
    <xf numFmtId="0" fontId="0" fillId="0" borderId="12" xfId="0" applyBorder="1"/>
    <xf numFmtId="0" fontId="0" fillId="10" borderId="0" xfId="0" applyFill="1" applyAlignment="1">
      <alignment vertical="top"/>
    </xf>
    <xf numFmtId="0" fontId="41" fillId="0" borderId="0" xfId="0" applyFont="1"/>
    <xf numFmtId="0" fontId="0" fillId="13" borderId="0" xfId="0" applyFill="1" applyAlignment="1">
      <alignment vertical="top"/>
    </xf>
    <xf numFmtId="0" fontId="9" fillId="13" borderId="0" xfId="4" applyFill="1" applyAlignment="1">
      <alignment vertical="top"/>
    </xf>
    <xf numFmtId="0" fontId="17" fillId="13" borderId="0" xfId="4" applyFont="1" applyFill="1" applyAlignment="1">
      <alignment vertical="top"/>
    </xf>
    <xf numFmtId="0" fontId="27" fillId="13" borderId="0" xfId="0" applyFont="1" applyFill="1"/>
    <xf numFmtId="0" fontId="42" fillId="13" borderId="0" xfId="0" applyFont="1" applyFill="1"/>
    <xf numFmtId="0" fontId="0" fillId="13" borderId="17" xfId="0" applyFill="1" applyBorder="1"/>
    <xf numFmtId="0" fontId="0" fillId="13" borderId="0" xfId="0" applyFill="1"/>
    <xf numFmtId="0" fontId="0" fillId="14" borderId="0" xfId="0" applyFill="1" applyAlignment="1">
      <alignment vertical="top"/>
    </xf>
    <xf numFmtId="0" fontId="17" fillId="14" borderId="0" xfId="0" applyFont="1" applyFill="1" applyAlignment="1">
      <alignment vertical="top"/>
    </xf>
    <xf numFmtId="0" fontId="0" fillId="4" borderId="0" xfId="0" applyFill="1"/>
    <xf numFmtId="0" fontId="10" fillId="0" borderId="0" xfId="0" applyFont="1" applyAlignment="1">
      <alignment wrapText="1"/>
    </xf>
    <xf numFmtId="0" fontId="0" fillId="0" borderId="0" xfId="0" applyAlignment="1">
      <alignment vertical="center" wrapText="1"/>
    </xf>
    <xf numFmtId="0" fontId="7" fillId="0" borderId="0" xfId="0" applyFont="1"/>
    <xf numFmtId="0" fontId="0" fillId="3" borderId="2" xfId="0" applyFill="1" applyBorder="1" applyAlignment="1">
      <alignment horizontal="left" vertical="top"/>
    </xf>
    <xf numFmtId="0" fontId="0" fillId="3" borderId="5" xfId="0" applyFill="1" applyBorder="1" applyAlignment="1">
      <alignment horizontal="left" vertical="top"/>
    </xf>
    <xf numFmtId="0" fontId="0" fillId="13" borderId="0" xfId="0" applyFill="1" applyAlignment="1">
      <alignment vertical="center"/>
    </xf>
    <xf numFmtId="4" fontId="24" fillId="0" borderId="0" xfId="0" applyNumberFormat="1" applyFont="1"/>
    <xf numFmtId="0" fontId="0" fillId="10" borderId="0" xfId="0" applyFill="1" applyAlignment="1">
      <alignment vertical="top" wrapText="1"/>
    </xf>
    <xf numFmtId="0" fontId="17" fillId="0" borderId="0" xfId="0" applyFont="1" applyAlignment="1">
      <alignment vertical="top"/>
    </xf>
    <xf numFmtId="0" fontId="45" fillId="0" borderId="0" xfId="0" applyFont="1" applyAlignment="1">
      <alignment vertical="top"/>
    </xf>
    <xf numFmtId="0" fontId="9" fillId="0" borderId="3" xfId="4" applyBorder="1" applyAlignment="1">
      <alignment horizontal="left" vertical="top"/>
    </xf>
    <xf numFmtId="0" fontId="17" fillId="10" borderId="0" xfId="0" applyFont="1" applyFill="1" applyAlignment="1">
      <alignment vertical="top"/>
    </xf>
    <xf numFmtId="0" fontId="17" fillId="0" borderId="0" xfId="0" applyFont="1"/>
    <xf numFmtId="0" fontId="36" fillId="0" borderId="0" xfId="0" applyFont="1"/>
    <xf numFmtId="0" fontId="45" fillId="0" borderId="0" xfId="0" applyFont="1"/>
    <xf numFmtId="0" fontId="36" fillId="10" borderId="0" xfId="0" applyFont="1" applyFill="1"/>
    <xf numFmtId="0" fontId="33" fillId="10" borderId="0" xfId="0" applyFont="1" applyFill="1"/>
    <xf numFmtId="0" fontId="37" fillId="13" borderId="0" xfId="0" applyFont="1" applyFill="1" applyAlignment="1">
      <alignment vertical="top"/>
    </xf>
    <xf numFmtId="0" fontId="17" fillId="0" borderId="0" xfId="0" applyFont="1" applyAlignment="1">
      <alignment vertical="top" wrapText="1"/>
    </xf>
    <xf numFmtId="0" fontId="37" fillId="13" borderId="0" xfId="0" applyFont="1" applyFill="1" applyAlignment="1">
      <alignment vertical="top" wrapText="1"/>
    </xf>
    <xf numFmtId="0" fontId="46" fillId="4" borderId="0" xfId="0" applyFont="1" applyFill="1"/>
    <xf numFmtId="4" fontId="0" fillId="0" borderId="0" xfId="0" applyNumberFormat="1" applyAlignment="1">
      <alignment vertical="top" wrapText="1"/>
    </xf>
    <xf numFmtId="0" fontId="45" fillId="0" borderId="0" xfId="0" applyFont="1" applyAlignment="1">
      <alignment vertical="top" wrapText="1"/>
    </xf>
    <xf numFmtId="0" fontId="35" fillId="0" borderId="0" xfId="3" applyFill="1" applyAlignment="1">
      <alignment vertical="top" wrapText="1"/>
    </xf>
    <xf numFmtId="0" fontId="29" fillId="0" borderId="0" xfId="0" applyFont="1"/>
    <xf numFmtId="0" fontId="29" fillId="13" borderId="0" xfId="0" applyFont="1" applyFill="1"/>
    <xf numFmtId="0" fontId="47" fillId="0" borderId="0" xfId="0" applyFont="1"/>
    <xf numFmtId="0" fontId="24" fillId="0" borderId="0" xfId="0" applyFont="1" applyAlignment="1">
      <alignment vertical="top"/>
    </xf>
    <xf numFmtId="0" fontId="17" fillId="13" borderId="0" xfId="0" applyFont="1" applyFill="1" applyAlignment="1">
      <alignment vertical="top"/>
    </xf>
    <xf numFmtId="0" fontId="29" fillId="0" borderId="2" xfId="0" applyFont="1" applyBorder="1"/>
    <xf numFmtId="0" fontId="29" fillId="0" borderId="2" xfId="0" applyFont="1" applyBorder="1" applyAlignment="1">
      <alignment wrapText="1"/>
    </xf>
    <xf numFmtId="0" fontId="29" fillId="0" borderId="2" xfId="0" applyFont="1" applyBorder="1" applyAlignment="1">
      <alignment vertical="top"/>
    </xf>
    <xf numFmtId="0" fontId="48" fillId="13" borderId="0" xfId="0" applyFont="1" applyFill="1"/>
    <xf numFmtId="0" fontId="0" fillId="0" borderId="2" xfId="0" applyBorder="1" applyAlignment="1">
      <alignment wrapText="1"/>
    </xf>
    <xf numFmtId="0" fontId="0" fillId="0" borderId="2" xfId="0" applyBorder="1" applyAlignment="1">
      <alignment vertical="top" wrapText="1"/>
    </xf>
    <xf numFmtId="0" fontId="0" fillId="0" borderId="2" xfId="0" applyBorder="1" applyAlignment="1">
      <alignment vertical="top"/>
    </xf>
    <xf numFmtId="0" fontId="24" fillId="0" borderId="2" xfId="0" applyFont="1" applyBorder="1" applyAlignment="1">
      <alignment vertical="top"/>
    </xf>
    <xf numFmtId="0" fontId="38" fillId="0" borderId="0" xfId="0" applyFont="1"/>
    <xf numFmtId="0" fontId="37" fillId="13" borderId="0" xfId="0" applyFont="1" applyFill="1"/>
    <xf numFmtId="0" fontId="47" fillId="0" borderId="2" xfId="0" applyFont="1" applyBorder="1"/>
    <xf numFmtId="3" fontId="17" fillId="4" borderId="2" xfId="0" applyNumberFormat="1" applyFont="1" applyFill="1" applyBorder="1" applyAlignment="1" applyProtection="1">
      <alignment vertical="center" wrapText="1"/>
      <protection locked="0"/>
    </xf>
    <xf numFmtId="10" fontId="17" fillId="4" borderId="2" xfId="0" applyNumberFormat="1" applyFont="1" applyFill="1" applyBorder="1" applyAlignment="1" applyProtection="1">
      <alignment vertical="center" wrapText="1"/>
      <protection locked="0"/>
    </xf>
    <xf numFmtId="0" fontId="50" fillId="10" borderId="0" xfId="0" applyFont="1" applyFill="1" applyAlignment="1">
      <alignment vertical="center" wrapText="1"/>
    </xf>
    <xf numFmtId="0" fontId="0" fillId="0" borderId="0" xfId="0" applyAlignment="1" applyProtection="1">
      <alignment wrapText="1"/>
      <protection locked="0"/>
    </xf>
    <xf numFmtId="0" fontId="0" fillId="0" borderId="0" xfId="0" applyAlignment="1">
      <alignment horizontal="center" vertical="top" wrapText="1"/>
    </xf>
    <xf numFmtId="0" fontId="0" fillId="3" borderId="2" xfId="0" applyFill="1" applyBorder="1" applyAlignment="1">
      <alignment horizontal="left" vertical="top" wrapText="1"/>
    </xf>
    <xf numFmtId="0" fontId="0" fillId="6" borderId="0" xfId="0" applyFill="1" applyAlignment="1">
      <alignment vertical="top" wrapText="1"/>
    </xf>
    <xf numFmtId="0" fontId="0" fillId="16" borderId="0" xfId="0" applyFill="1" applyAlignment="1">
      <alignment vertical="top" wrapText="1"/>
    </xf>
    <xf numFmtId="0" fontId="0" fillId="16" borderId="0" xfId="0" applyFill="1" applyAlignment="1">
      <alignment vertical="top"/>
    </xf>
    <xf numFmtId="0" fontId="36" fillId="17" borderId="0" xfId="0" applyFont="1" applyFill="1"/>
    <xf numFmtId="0" fontId="24" fillId="16" borderId="0" xfId="0" applyFont="1" applyFill="1" applyAlignment="1">
      <alignment vertical="top"/>
    </xf>
    <xf numFmtId="0" fontId="36" fillId="18" borderId="0" xfId="0" applyFont="1" applyFill="1"/>
    <xf numFmtId="0" fontId="17" fillId="16" borderId="0" xfId="0" applyFont="1" applyFill="1" applyAlignment="1">
      <alignment vertical="top"/>
    </xf>
    <xf numFmtId="0" fontId="0" fillId="15" borderId="0" xfId="0" applyFill="1" applyAlignment="1">
      <alignment vertical="top"/>
    </xf>
    <xf numFmtId="0" fontId="0" fillId="15" borderId="0" xfId="0" applyFill="1" applyAlignment="1">
      <alignment vertical="top" wrapText="1"/>
    </xf>
    <xf numFmtId="0" fontId="15" fillId="4" borderId="2" xfId="0" applyFont="1" applyFill="1" applyBorder="1"/>
    <xf numFmtId="0" fontId="18" fillId="0" borderId="0" xfId="0" applyFont="1" applyAlignment="1">
      <alignment horizontal="center" vertical="center" wrapText="1"/>
    </xf>
    <xf numFmtId="0" fontId="23" fillId="4" borderId="2" xfId="0" applyFont="1" applyFill="1" applyBorder="1" applyProtection="1">
      <protection locked="0"/>
    </xf>
    <xf numFmtId="0" fontId="11" fillId="19" borderId="2" xfId="0" applyFont="1" applyFill="1" applyBorder="1"/>
    <xf numFmtId="0" fontId="17" fillId="0" borderId="2" xfId="0" applyFont="1" applyBorder="1" applyAlignment="1">
      <alignment vertical="center" wrapText="1"/>
    </xf>
    <xf numFmtId="0" fontId="17" fillId="0" borderId="2" xfId="0" applyFont="1" applyBorder="1" applyAlignment="1">
      <alignment vertical="top" wrapText="1"/>
    </xf>
    <xf numFmtId="0" fontId="17" fillId="15" borderId="0" xfId="0" applyFont="1" applyFill="1" applyAlignment="1">
      <alignment vertical="top" wrapText="1"/>
    </xf>
    <xf numFmtId="0" fontId="0" fillId="4" borderId="0" xfId="0" applyFill="1" applyAlignment="1">
      <alignment vertical="top" wrapText="1"/>
    </xf>
    <xf numFmtId="0" fontId="0" fillId="23" borderId="0" xfId="0" applyFill="1" applyAlignment="1">
      <alignment vertical="top" wrapText="1"/>
    </xf>
    <xf numFmtId="0" fontId="17" fillId="23" borderId="0" xfId="0" applyFont="1" applyFill="1" applyAlignment="1">
      <alignment vertical="top" wrapText="1"/>
    </xf>
    <xf numFmtId="0" fontId="17" fillId="4" borderId="0" xfId="0" applyFont="1" applyFill="1" applyAlignment="1">
      <alignment vertical="top" wrapText="1"/>
    </xf>
    <xf numFmtId="0" fontId="36" fillId="4" borderId="0" xfId="0" applyFont="1" applyFill="1" applyAlignment="1">
      <alignment vertical="top" wrapText="1"/>
    </xf>
    <xf numFmtId="0" fontId="0" fillId="23" borderId="2" xfId="0" applyFill="1" applyBorder="1" applyAlignment="1">
      <alignment vertical="top" wrapText="1"/>
    </xf>
    <xf numFmtId="0" fontId="0" fillId="4" borderId="2" xfId="0" applyFill="1" applyBorder="1" applyAlignment="1">
      <alignment vertical="top" wrapText="1"/>
    </xf>
    <xf numFmtId="0" fontId="0" fillId="24" borderId="0" xfId="0" applyFill="1" applyAlignment="1">
      <alignment vertical="top" wrapText="1"/>
    </xf>
    <xf numFmtId="0" fontId="19" fillId="6" borderId="2" xfId="0" applyFont="1" applyFill="1" applyBorder="1" applyAlignment="1">
      <alignment horizontal="left" vertical="center" wrapText="1"/>
    </xf>
    <xf numFmtId="0" fontId="20" fillId="6" borderId="2" xfId="0" applyFont="1" applyFill="1" applyBorder="1" applyAlignment="1">
      <alignment horizontal="center" vertical="center" wrapText="1"/>
    </xf>
    <xf numFmtId="3" fontId="17" fillId="8" borderId="1" xfId="0" applyNumberFormat="1" applyFont="1" applyFill="1" applyBorder="1" applyAlignment="1" applyProtection="1">
      <alignment horizontal="right" vertical="center" wrapText="1"/>
      <protection locked="0"/>
    </xf>
    <xf numFmtId="0" fontId="17" fillId="4" borderId="1" xfId="0" applyFont="1" applyFill="1" applyBorder="1" applyAlignment="1" applyProtection="1">
      <alignment vertical="center" wrapText="1"/>
      <protection locked="0"/>
    </xf>
    <xf numFmtId="0" fontId="0" fillId="4" borderId="0" xfId="0" applyFill="1" applyAlignment="1">
      <alignment wrapText="1"/>
    </xf>
    <xf numFmtId="0" fontId="0" fillId="4" borderId="17" xfId="0" applyFill="1" applyBorder="1" applyAlignment="1">
      <alignment wrapText="1"/>
    </xf>
    <xf numFmtId="0" fontId="0" fillId="4" borderId="12" xfId="0" applyFill="1" applyBorder="1" applyAlignment="1">
      <alignment wrapText="1"/>
    </xf>
    <xf numFmtId="0" fontId="18" fillId="0" borderId="0" xfId="0" applyFont="1" applyAlignment="1">
      <alignment vertical="center" wrapText="1"/>
    </xf>
    <xf numFmtId="0" fontId="15" fillId="0" borderId="0" xfId="0" applyFont="1" applyAlignment="1">
      <alignment vertical="center" wrapText="1"/>
    </xf>
    <xf numFmtId="0" fontId="26" fillId="8" borderId="0" xfId="0" applyFont="1" applyFill="1" applyAlignment="1">
      <alignment horizontal="left" vertical="center"/>
    </xf>
    <xf numFmtId="0" fontId="57" fillId="5" borderId="0" xfId="0" applyFont="1" applyFill="1" applyAlignment="1">
      <alignment wrapText="1"/>
    </xf>
    <xf numFmtId="0" fontId="53" fillId="25" borderId="2" xfId="0" applyFont="1" applyFill="1" applyBorder="1" applyAlignment="1">
      <alignment horizontal="left" vertical="center"/>
    </xf>
    <xf numFmtId="0" fontId="57" fillId="25" borderId="2" xfId="0" applyFont="1" applyFill="1" applyBorder="1" applyAlignment="1">
      <alignment horizontal="left" vertical="center"/>
    </xf>
    <xf numFmtId="0" fontId="11" fillId="22" borderId="2" xfId="0" applyFont="1" applyFill="1" applyBorder="1" applyAlignment="1">
      <alignment horizontal="left" vertical="center" wrapText="1"/>
    </xf>
    <xf numFmtId="0" fontId="11" fillId="22" borderId="2" xfId="0" applyFont="1" applyFill="1" applyBorder="1" applyAlignment="1">
      <alignment horizontal="center" vertical="center" wrapText="1"/>
    </xf>
    <xf numFmtId="0" fontId="15" fillId="22" borderId="2" xfId="0" applyFont="1" applyFill="1" applyBorder="1" applyAlignment="1">
      <alignment vertical="center" wrapText="1"/>
    </xf>
    <xf numFmtId="0" fontId="55" fillId="22" borderId="2" xfId="0" applyFont="1" applyFill="1" applyBorder="1" applyAlignment="1">
      <alignment horizontal="center" vertical="center" wrapText="1"/>
    </xf>
    <xf numFmtId="0" fontId="11" fillId="22" borderId="21" xfId="0" applyFont="1" applyFill="1" applyBorder="1" applyAlignment="1">
      <alignment horizontal="left" vertical="center" wrapText="1"/>
    </xf>
    <xf numFmtId="0" fontId="15" fillId="22" borderId="1" xfId="0" applyFont="1" applyFill="1" applyBorder="1" applyAlignment="1">
      <alignment vertical="center" wrapText="1"/>
    </xf>
    <xf numFmtId="0" fontId="15" fillId="22" borderId="1" xfId="0" applyFont="1" applyFill="1" applyBorder="1" applyAlignment="1">
      <alignment horizontal="center" vertical="center" wrapText="1"/>
    </xf>
    <xf numFmtId="0" fontId="54" fillId="20" borderId="2" xfId="0" applyFont="1" applyFill="1" applyBorder="1" applyAlignment="1">
      <alignment horizontal="left" vertical="center"/>
    </xf>
    <xf numFmtId="0" fontId="54" fillId="28" borderId="2" xfId="0" applyFont="1" applyFill="1" applyBorder="1" applyAlignment="1">
      <alignment horizontal="left" vertical="center"/>
    </xf>
    <xf numFmtId="0" fontId="15" fillId="22" borderId="2" xfId="0" applyFont="1" applyFill="1" applyBorder="1" applyAlignment="1">
      <alignment horizontal="left" vertical="center" wrapText="1"/>
    </xf>
    <xf numFmtId="3" fontId="0" fillId="4" borderId="2" xfId="0" applyNumberFormat="1" applyFill="1" applyBorder="1" applyAlignment="1" applyProtection="1">
      <alignment horizontal="right" vertical="center" wrapText="1"/>
      <protection locked="0"/>
    </xf>
    <xf numFmtId="0" fontId="22" fillId="4" borderId="2" xfId="0" applyFont="1" applyFill="1" applyBorder="1" applyAlignment="1" applyProtection="1">
      <alignment horizontal="center" vertical="center" wrapText="1"/>
      <protection locked="0"/>
    </xf>
    <xf numFmtId="0" fontId="17" fillId="4" borderId="0" xfId="0" applyFont="1" applyFill="1" applyAlignment="1">
      <alignment wrapText="1"/>
    </xf>
    <xf numFmtId="0" fontId="58" fillId="0" borderId="0" xfId="0" applyFont="1" applyAlignment="1">
      <alignment wrapText="1"/>
    </xf>
    <xf numFmtId="0" fontId="17" fillId="13" borderId="0" xfId="0" applyFont="1" applyFill="1" applyAlignment="1">
      <alignment vertical="top" wrapText="1"/>
    </xf>
    <xf numFmtId="0" fontId="15" fillId="4" borderId="0" xfId="0" applyFont="1" applyFill="1" applyAlignment="1">
      <alignment wrapText="1"/>
    </xf>
    <xf numFmtId="0" fontId="0" fillId="0" borderId="0" xfId="0" applyAlignment="1" applyProtection="1">
      <alignment vertical="center" wrapText="1"/>
      <protection locked="0"/>
    </xf>
    <xf numFmtId="0" fontId="53" fillId="5" borderId="3" xfId="0" applyFont="1" applyFill="1" applyBorder="1" applyAlignment="1">
      <alignment horizontal="left" vertical="center"/>
    </xf>
    <xf numFmtId="0" fontId="57" fillId="5" borderId="4" xfId="0" applyFont="1" applyFill="1" applyBorder="1" applyAlignment="1">
      <alignment horizontal="left" vertical="center"/>
    </xf>
    <xf numFmtId="0" fontId="57" fillId="5" borderId="5" xfId="0" applyFont="1" applyFill="1" applyBorder="1" applyAlignment="1">
      <alignment horizontal="left" vertical="center"/>
    </xf>
    <xf numFmtId="0" fontId="11" fillId="22" borderId="11" xfId="0" applyFont="1" applyFill="1" applyBorder="1" applyAlignment="1">
      <alignment horizontal="center" vertical="center" wrapText="1"/>
    </xf>
    <xf numFmtId="0" fontId="54" fillId="20" borderId="4" xfId="0" applyFont="1" applyFill="1" applyBorder="1" applyAlignment="1">
      <alignment horizontal="center" vertical="center"/>
    </xf>
    <xf numFmtId="0" fontId="15" fillId="22" borderId="11" xfId="0" applyFont="1" applyFill="1" applyBorder="1" applyAlignment="1">
      <alignment horizontal="center" vertical="center" wrapText="1"/>
    </xf>
    <xf numFmtId="9" fontId="17" fillId="21" borderId="2" xfId="1" applyFont="1" applyFill="1" applyBorder="1" applyAlignment="1" applyProtection="1">
      <alignment horizontal="center" vertical="center" wrapText="1"/>
    </xf>
    <xf numFmtId="0" fontId="15" fillId="22" borderId="3" xfId="0" applyFont="1" applyFill="1" applyBorder="1" applyAlignment="1">
      <alignment horizontal="center" vertical="center" wrapText="1"/>
    </xf>
    <xf numFmtId="0" fontId="54" fillId="20" borderId="4" xfId="0" applyFont="1" applyFill="1" applyBorder="1" applyAlignment="1" applyProtection="1">
      <alignment horizontal="left" vertical="center"/>
      <protection locked="0"/>
    </xf>
    <xf numFmtId="0" fontId="15" fillId="22" borderId="2" xfId="0" applyFont="1" applyFill="1" applyBorder="1" applyAlignment="1">
      <alignment horizontal="center" vertical="center" wrapText="1"/>
    </xf>
    <xf numFmtId="0" fontId="6" fillId="0" borderId="0" xfId="0" applyFont="1"/>
    <xf numFmtId="0" fontId="6" fillId="3" borderId="0" xfId="0" applyFont="1" applyFill="1"/>
    <xf numFmtId="0" fontId="6" fillId="17" borderId="0" xfId="0" applyFont="1" applyFill="1"/>
    <xf numFmtId="0" fontId="6" fillId="16" borderId="0" xfId="0" applyFont="1" applyFill="1"/>
    <xf numFmtId="0" fontId="36" fillId="7" borderId="0" xfId="0" applyFont="1" applyFill="1"/>
    <xf numFmtId="0" fontId="6" fillId="10" borderId="0" xfId="0" applyFont="1" applyFill="1"/>
    <xf numFmtId="0" fontId="6" fillId="7" borderId="0" xfId="0" applyFont="1" applyFill="1"/>
    <xf numFmtId="0" fontId="36" fillId="29" borderId="2" xfId="0" applyFont="1" applyFill="1" applyBorder="1"/>
    <xf numFmtId="0" fontId="36" fillId="29" borderId="0" xfId="0" applyFont="1" applyFill="1"/>
    <xf numFmtId="0" fontId="6" fillId="30" borderId="0" xfId="0" applyFont="1" applyFill="1"/>
    <xf numFmtId="0" fontId="6" fillId="13" borderId="0" xfId="0" applyFont="1" applyFill="1"/>
    <xf numFmtId="0" fontId="6" fillId="0" borderId="0" xfId="0" quotePrefix="1" applyFont="1"/>
    <xf numFmtId="0" fontId="6" fillId="18" borderId="0" xfId="0" applyFont="1" applyFill="1"/>
    <xf numFmtId="0" fontId="6" fillId="9" borderId="0" xfId="0" applyFont="1" applyFill="1"/>
    <xf numFmtId="3" fontId="17" fillId="4" borderId="2" xfId="0" applyNumberFormat="1" applyFont="1" applyFill="1" applyBorder="1" applyAlignment="1" applyProtection="1">
      <alignment horizontal="center" vertical="center" wrapText="1"/>
      <protection locked="0"/>
    </xf>
    <xf numFmtId="3" fontId="17" fillId="21" borderId="2" xfId="0" applyNumberFormat="1" applyFont="1" applyFill="1" applyBorder="1" applyAlignment="1">
      <alignment horizontal="center" vertical="center" wrapText="1"/>
    </xf>
    <xf numFmtId="0" fontId="17" fillId="4" borderId="0" xfId="0" applyFont="1" applyFill="1" applyAlignment="1">
      <alignment horizontal="center" wrapText="1"/>
    </xf>
    <xf numFmtId="0" fontId="10" fillId="0" borderId="0" xfId="0" applyFont="1" applyAlignment="1">
      <alignment horizontal="center" wrapText="1"/>
    </xf>
    <xf numFmtId="3" fontId="17" fillId="8" borderId="2" xfId="0" applyNumberFormat="1" applyFont="1" applyFill="1" applyBorder="1" applyAlignment="1" applyProtection="1">
      <alignment horizontal="center" vertical="center" wrapText="1"/>
      <protection locked="0"/>
    </xf>
    <xf numFmtId="9" fontId="17" fillId="26" borderId="2" xfId="1" applyFont="1" applyFill="1" applyBorder="1" applyAlignment="1" applyProtection="1">
      <alignment horizontal="center" vertical="center" wrapText="1"/>
    </xf>
    <xf numFmtId="3" fontId="17" fillId="8" borderId="2" xfId="1" applyNumberFormat="1" applyFont="1" applyFill="1" applyBorder="1" applyAlignment="1" applyProtection="1">
      <alignment horizontal="center" vertical="center" wrapText="1"/>
      <protection locked="0"/>
    </xf>
    <xf numFmtId="3" fontId="17" fillId="26" borderId="2" xfId="1" applyNumberFormat="1" applyFont="1" applyFill="1" applyBorder="1" applyAlignment="1" applyProtection="1">
      <alignment horizontal="center" vertical="center" wrapText="1"/>
    </xf>
    <xf numFmtId="3" fontId="17" fillId="26" borderId="2" xfId="0" applyNumberFormat="1" applyFont="1" applyFill="1" applyBorder="1" applyAlignment="1">
      <alignment horizontal="center" vertical="center" wrapText="1"/>
    </xf>
    <xf numFmtId="0" fontId="0" fillId="0" borderId="0" xfId="0" applyAlignment="1">
      <alignment horizontal="center" wrapText="1"/>
    </xf>
    <xf numFmtId="0" fontId="0" fillId="4" borderId="0" xfId="0" applyFill="1" applyAlignment="1">
      <alignment horizontal="center" wrapText="1"/>
    </xf>
    <xf numFmtId="0" fontId="26" fillId="8" borderId="0" xfId="0" applyFont="1" applyFill="1" applyAlignment="1">
      <alignment horizontal="center" vertical="center"/>
    </xf>
    <xf numFmtId="0" fontId="0" fillId="4" borderId="17" xfId="0" applyFill="1" applyBorder="1" applyAlignment="1">
      <alignment horizontal="center" wrapText="1"/>
    </xf>
    <xf numFmtId="0" fontId="0" fillId="4" borderId="12" xfId="0" applyFill="1" applyBorder="1" applyAlignment="1">
      <alignment horizontal="center" wrapText="1"/>
    </xf>
    <xf numFmtId="0" fontId="57" fillId="25" borderId="2" xfId="0" applyFont="1" applyFill="1" applyBorder="1" applyAlignment="1">
      <alignment horizontal="center" vertical="center"/>
    </xf>
    <xf numFmtId="0" fontId="54" fillId="28" borderId="2" xfId="0" applyFont="1" applyFill="1" applyBorder="1" applyAlignment="1">
      <alignment horizontal="center" vertical="center"/>
    </xf>
    <xf numFmtId="0" fontId="57" fillId="5" borderId="4" xfId="0" applyFont="1" applyFill="1" applyBorder="1" applyAlignment="1">
      <alignment horizontal="center" vertical="center"/>
    </xf>
    <xf numFmtId="0" fontId="58" fillId="0" borderId="0" xfId="0" applyFont="1" applyAlignment="1">
      <alignment horizontal="center" wrapText="1"/>
    </xf>
    <xf numFmtId="3" fontId="17" fillId="4" borderId="2" xfId="2" applyNumberFormat="1" applyFont="1" applyFill="1" applyBorder="1" applyAlignment="1" applyProtection="1">
      <alignment horizontal="center" vertical="center" wrapText="1"/>
      <protection locked="0"/>
    </xf>
    <xf numFmtId="3" fontId="0" fillId="21" borderId="2" xfId="0" applyNumberFormat="1" applyFill="1" applyBorder="1" applyAlignment="1">
      <alignment horizontal="center" vertical="center" wrapText="1"/>
    </xf>
    <xf numFmtId="9" fontId="0" fillId="21" borderId="2" xfId="1" applyFont="1" applyFill="1" applyBorder="1" applyAlignment="1" applyProtection="1">
      <alignment horizontal="center" vertical="center" wrapText="1"/>
    </xf>
    <xf numFmtId="0" fontId="11" fillId="22" borderId="5" xfId="0" applyFont="1" applyFill="1" applyBorder="1" applyAlignment="1">
      <alignment horizontal="center" vertical="center" wrapText="1"/>
    </xf>
    <xf numFmtId="0" fontId="23" fillId="4" borderId="5" xfId="0" applyFont="1" applyFill="1" applyBorder="1" applyAlignment="1" applyProtection="1">
      <alignment horizontal="center" vertical="center" wrapText="1"/>
      <protection locked="0"/>
    </xf>
    <xf numFmtId="0" fontId="11" fillId="19" borderId="19" xfId="0" applyFont="1" applyFill="1" applyBorder="1" applyAlignment="1">
      <alignment vertical="center" wrapText="1"/>
    </xf>
    <xf numFmtId="0" fontId="11" fillId="19" borderId="16" xfId="0" applyFont="1" applyFill="1" applyBorder="1" applyAlignment="1">
      <alignment vertical="center" wrapText="1"/>
    </xf>
    <xf numFmtId="0" fontId="17" fillId="26" borderId="2" xfId="0" applyFont="1" applyFill="1" applyBorder="1" applyAlignment="1">
      <alignment horizontal="center" vertical="center" wrapText="1"/>
    </xf>
    <xf numFmtId="0" fontId="17" fillId="26" borderId="21" xfId="0" applyFont="1" applyFill="1" applyBorder="1" applyAlignment="1">
      <alignment horizontal="center" vertical="center" wrapText="1"/>
    </xf>
    <xf numFmtId="0" fontId="15" fillId="19" borderId="19" xfId="0" applyFont="1" applyFill="1" applyBorder="1" applyAlignment="1">
      <alignment vertical="center" wrapText="1"/>
    </xf>
    <xf numFmtId="0" fontId="15" fillId="19" borderId="16" xfId="0" applyFont="1" applyFill="1" applyBorder="1" applyAlignment="1">
      <alignment vertical="center" wrapText="1"/>
    </xf>
    <xf numFmtId="0" fontId="17" fillId="21" borderId="2" xfId="0" applyFont="1" applyFill="1" applyBorder="1" applyAlignment="1">
      <alignment horizontal="center" vertical="center" wrapText="1"/>
    </xf>
    <xf numFmtId="0" fontId="17" fillId="21" borderId="5" xfId="0" applyFont="1" applyFill="1" applyBorder="1" applyAlignment="1">
      <alignment horizontal="center" vertical="center" wrapText="1"/>
    </xf>
    <xf numFmtId="0" fontId="17" fillId="26" borderId="5" xfId="0" applyFont="1" applyFill="1" applyBorder="1" applyAlignment="1">
      <alignment horizontal="center" vertical="center" wrapText="1"/>
    </xf>
    <xf numFmtId="0" fontId="17" fillId="26" borderId="1" xfId="0" applyFont="1" applyFill="1" applyBorder="1" applyAlignment="1">
      <alignment horizontal="center" vertical="center" wrapText="1"/>
    </xf>
    <xf numFmtId="0" fontId="17" fillId="26" borderId="6" xfId="0" applyFont="1" applyFill="1" applyBorder="1" applyAlignment="1">
      <alignment horizontal="center" vertical="center" wrapText="1"/>
    </xf>
    <xf numFmtId="0" fontId="0" fillId="21" borderId="2" xfId="0" applyFill="1" applyBorder="1" applyAlignment="1" applyProtection="1">
      <alignment horizontal="center" vertical="center" wrapText="1"/>
      <protection locked="0"/>
    </xf>
    <xf numFmtId="0" fontId="0" fillId="21" borderId="5" xfId="0" applyFill="1" applyBorder="1" applyAlignment="1" applyProtection="1">
      <alignment horizontal="center" vertical="center" wrapText="1"/>
      <protection locked="0"/>
    </xf>
    <xf numFmtId="0" fontId="9" fillId="0" borderId="0" xfId="4" applyAlignment="1">
      <alignment vertical="top"/>
    </xf>
    <xf numFmtId="0" fontId="9" fillId="0" borderId="0" xfId="4" applyAlignment="1">
      <alignment vertical="top" wrapText="1"/>
    </xf>
    <xf numFmtId="0" fontId="17" fillId="6" borderId="0" xfId="0" applyFont="1" applyFill="1" applyAlignment="1">
      <alignment vertical="top" wrapText="1"/>
    </xf>
    <xf numFmtId="0" fontId="24" fillId="6" borderId="0" xfId="0" applyFont="1" applyFill="1" applyAlignment="1">
      <alignment vertical="top" wrapText="1"/>
    </xf>
    <xf numFmtId="0" fontId="15" fillId="4" borderId="2" xfId="0" applyFont="1" applyFill="1" applyBorder="1" applyAlignment="1" applyProtection="1">
      <alignment horizontal="center" vertical="center" wrapText="1"/>
      <protection locked="0"/>
    </xf>
    <xf numFmtId="0" fontId="54" fillId="20" borderId="3" xfId="0" applyFont="1" applyFill="1" applyBorder="1" applyAlignment="1">
      <alignment horizontal="left" vertical="center"/>
    </xf>
    <xf numFmtId="0" fontId="54" fillId="20" borderId="4" xfId="0" applyFont="1" applyFill="1" applyBorder="1" applyAlignment="1">
      <alignment horizontal="left" vertical="center"/>
    </xf>
    <xf numFmtId="0" fontId="54" fillId="20" borderId="5" xfId="0" applyFont="1" applyFill="1" applyBorder="1" applyAlignment="1">
      <alignment horizontal="left" vertical="center"/>
    </xf>
    <xf numFmtId="0" fontId="54" fillId="20" borderId="12" xfId="0" applyFont="1" applyFill="1" applyBorder="1" applyAlignment="1">
      <alignment horizontal="left" vertical="center"/>
    </xf>
    <xf numFmtId="0" fontId="17" fillId="4" borderId="2" xfId="0" applyFont="1" applyFill="1" applyBorder="1" applyAlignment="1" applyProtection="1">
      <alignment horizontal="center" vertical="center" wrapText="1"/>
      <protection locked="0"/>
    </xf>
    <xf numFmtId="0" fontId="17" fillId="4" borderId="2" xfId="0" applyFont="1" applyFill="1" applyBorder="1" applyAlignment="1" applyProtection="1">
      <alignment horizontal="left" vertical="center" wrapText="1"/>
      <protection locked="0"/>
    </xf>
    <xf numFmtId="0" fontId="15" fillId="22" borderId="1" xfId="0" applyFont="1" applyFill="1" applyBorder="1" applyAlignment="1">
      <alignment horizontal="left" vertical="center" wrapText="1"/>
    </xf>
    <xf numFmtId="0" fontId="11" fillId="21" borderId="21" xfId="0" applyFont="1" applyFill="1" applyBorder="1" applyAlignment="1">
      <alignment vertical="center" wrapText="1"/>
    </xf>
    <xf numFmtId="0" fontId="11" fillId="21" borderId="1" xfId="0" applyFont="1" applyFill="1" applyBorder="1" applyAlignment="1">
      <alignment vertical="center" wrapText="1"/>
    </xf>
    <xf numFmtId="0" fontId="11" fillId="21" borderId="21" xfId="0" applyFont="1" applyFill="1" applyBorder="1" applyAlignment="1">
      <alignment horizontal="center" vertical="center" wrapText="1"/>
    </xf>
    <xf numFmtId="0" fontId="11" fillId="21" borderId="1" xfId="0" applyFont="1" applyFill="1" applyBorder="1" applyAlignment="1">
      <alignment horizontal="center" vertical="center" wrapText="1"/>
    </xf>
    <xf numFmtId="10" fontId="17" fillId="4" borderId="3" xfId="0" applyNumberFormat="1" applyFont="1" applyFill="1" applyBorder="1" applyAlignment="1" applyProtection="1">
      <alignment vertical="center" wrapText="1"/>
      <protection locked="0"/>
    </xf>
    <xf numFmtId="0" fontId="15" fillId="21" borderId="21" xfId="0" applyFont="1" applyFill="1" applyBorder="1" applyAlignment="1">
      <alignment vertical="center" wrapText="1"/>
    </xf>
    <xf numFmtId="0" fontId="15" fillId="21" borderId="1" xfId="0" applyFont="1" applyFill="1" applyBorder="1" applyAlignment="1">
      <alignment vertical="center" wrapText="1"/>
    </xf>
    <xf numFmtId="0" fontId="53" fillId="5" borderId="24" xfId="0" applyFont="1" applyFill="1" applyBorder="1" applyAlignment="1">
      <alignment horizontal="left" vertical="center"/>
    </xf>
    <xf numFmtId="0" fontId="60" fillId="5" borderId="24" xfId="0" applyFont="1" applyFill="1" applyBorder="1" applyAlignment="1">
      <alignment horizontal="left" vertical="center"/>
    </xf>
    <xf numFmtId="0" fontId="60" fillId="5" borderId="9" xfId="0" applyFont="1" applyFill="1" applyBorder="1" applyAlignment="1">
      <alignment horizontal="center" vertical="center"/>
    </xf>
    <xf numFmtId="0" fontId="60" fillId="5" borderId="7" xfId="0" applyFont="1" applyFill="1" applyBorder="1" applyAlignment="1">
      <alignment horizontal="center" vertical="center"/>
    </xf>
    <xf numFmtId="0" fontId="60" fillId="5" borderId="22" xfId="0" applyFont="1" applyFill="1" applyBorder="1" applyAlignment="1">
      <alignment horizontal="left" vertical="center"/>
    </xf>
    <xf numFmtId="0" fontId="15" fillId="22" borderId="19" xfId="0" applyFont="1" applyFill="1" applyBorder="1" applyAlignment="1">
      <alignment horizontal="left" vertical="center" wrapText="1"/>
    </xf>
    <xf numFmtId="0" fontId="15" fillId="22" borderId="3" xfId="0" applyFont="1" applyFill="1" applyBorder="1" applyAlignment="1">
      <alignment vertical="center" wrapText="1"/>
    </xf>
    <xf numFmtId="0" fontId="17" fillId="4" borderId="6" xfId="0" applyFont="1" applyFill="1" applyBorder="1" applyAlignment="1" applyProtection="1">
      <alignment horizontal="left" vertical="center" wrapText="1"/>
      <protection locked="0"/>
    </xf>
    <xf numFmtId="0" fontId="17" fillId="4" borderId="21" xfId="0" applyFont="1" applyFill="1" applyBorder="1" applyAlignment="1" applyProtection="1">
      <alignment vertical="center" wrapText="1"/>
      <protection locked="0"/>
    </xf>
    <xf numFmtId="0" fontId="54" fillId="20" borderId="17" xfId="0" applyFont="1" applyFill="1" applyBorder="1" applyAlignment="1">
      <alignment horizontal="center" vertical="center"/>
    </xf>
    <xf numFmtId="0" fontId="11" fillId="19" borderId="19" xfId="0" applyFont="1" applyFill="1" applyBorder="1" applyAlignment="1">
      <alignment horizontal="center" vertical="center" wrapText="1"/>
    </xf>
    <xf numFmtId="0" fontId="11" fillId="19" borderId="16" xfId="0" applyFont="1" applyFill="1" applyBorder="1" applyAlignment="1">
      <alignment horizontal="center" vertical="center" wrapText="1"/>
    </xf>
    <xf numFmtId="0" fontId="15" fillId="22" borderId="21" xfId="0" applyFont="1" applyFill="1" applyBorder="1" applyAlignment="1">
      <alignment vertical="center" wrapText="1"/>
    </xf>
    <xf numFmtId="0" fontId="22" fillId="4" borderId="5" xfId="0" applyFont="1" applyFill="1" applyBorder="1" applyAlignment="1" applyProtection="1">
      <alignment horizontal="center" vertical="center" wrapText="1"/>
      <protection locked="0"/>
    </xf>
    <xf numFmtId="0" fontId="17" fillId="21" borderId="23" xfId="0" applyFont="1" applyFill="1" applyBorder="1" applyAlignment="1">
      <alignment horizontal="center" vertical="center" wrapText="1"/>
    </xf>
    <xf numFmtId="0" fontId="53" fillId="5" borderId="2" xfId="0" applyFont="1" applyFill="1" applyBorder="1" applyAlignment="1">
      <alignment horizontal="left" vertical="center"/>
    </xf>
    <xf numFmtId="0" fontId="60" fillId="5" borderId="2" xfId="0" applyFont="1" applyFill="1" applyBorder="1" applyAlignment="1">
      <alignment horizontal="left" vertical="center"/>
    </xf>
    <xf numFmtId="0" fontId="60" fillId="5" borderId="2" xfId="0" applyFont="1" applyFill="1" applyBorder="1" applyAlignment="1">
      <alignment horizontal="center" vertical="center"/>
    </xf>
    <xf numFmtId="0" fontId="60" fillId="5" borderId="3" xfId="0" applyFont="1" applyFill="1" applyBorder="1" applyAlignment="1">
      <alignment horizontal="center" vertical="center"/>
    </xf>
    <xf numFmtId="0" fontId="60" fillId="5" borderId="5" xfId="0" applyFont="1" applyFill="1" applyBorder="1" applyAlignment="1">
      <alignment horizontal="left" vertical="center"/>
    </xf>
    <xf numFmtId="9" fontId="0" fillId="21" borderId="21" xfId="1" applyFont="1" applyFill="1" applyBorder="1" applyAlignment="1" applyProtection="1">
      <alignment horizontal="center" vertical="center" wrapText="1"/>
    </xf>
    <xf numFmtId="0" fontId="15" fillId="22" borderId="5" xfId="0" applyFont="1" applyFill="1" applyBorder="1" applyAlignment="1">
      <alignment horizontal="center" vertical="center" wrapText="1"/>
    </xf>
    <xf numFmtId="0" fontId="53" fillId="5" borderId="9" xfId="0" applyFont="1" applyFill="1" applyBorder="1" applyAlignment="1">
      <alignment horizontal="left" vertical="center"/>
    </xf>
    <xf numFmtId="0" fontId="60" fillId="5" borderId="7" xfId="0" applyFont="1" applyFill="1" applyBorder="1" applyAlignment="1">
      <alignment horizontal="left" vertical="center"/>
    </xf>
    <xf numFmtId="0" fontId="17" fillId="4" borderId="21" xfId="0" applyFont="1" applyFill="1" applyBorder="1" applyAlignment="1" applyProtection="1">
      <alignment horizontal="left" vertical="center" wrapText="1"/>
      <protection locked="0"/>
    </xf>
    <xf numFmtId="0" fontId="17" fillId="4" borderId="6" xfId="0" applyFont="1" applyFill="1" applyBorder="1" applyAlignment="1" applyProtection="1">
      <alignment horizontal="center" vertical="center" wrapText="1"/>
      <protection locked="0"/>
    </xf>
    <xf numFmtId="0" fontId="35" fillId="21" borderId="2" xfId="3" applyFill="1" applyBorder="1" applyAlignment="1" applyProtection="1">
      <alignment vertical="center" wrapText="1"/>
      <protection locked="0"/>
    </xf>
    <xf numFmtId="0" fontId="15" fillId="27" borderId="3" xfId="0" applyFont="1" applyFill="1" applyBorder="1" applyAlignment="1">
      <alignment vertical="center" wrapText="1"/>
    </xf>
    <xf numFmtId="0" fontId="15" fillId="27" borderId="2" xfId="0" applyFont="1" applyFill="1" applyBorder="1" applyAlignment="1">
      <alignment vertical="center" wrapText="1"/>
    </xf>
    <xf numFmtId="0" fontId="54" fillId="20" borderId="8" xfId="0" applyFont="1" applyFill="1" applyBorder="1" applyAlignment="1">
      <alignment horizontal="left" vertical="center"/>
    </xf>
    <xf numFmtId="0" fontId="17" fillId="4" borderId="26" xfId="0" applyFont="1" applyFill="1" applyBorder="1" applyAlignment="1" applyProtection="1">
      <alignment horizontal="center" vertical="center" wrapText="1"/>
      <protection locked="0"/>
    </xf>
    <xf numFmtId="0" fontId="35" fillId="21" borderId="2" xfId="3" applyFill="1" applyBorder="1" applyAlignment="1" applyProtection="1">
      <alignment vertical="center" wrapText="1"/>
    </xf>
    <xf numFmtId="0" fontId="17" fillId="26" borderId="23" xfId="0" applyFont="1" applyFill="1" applyBorder="1" applyAlignment="1">
      <alignment horizontal="center" vertical="center" wrapText="1"/>
    </xf>
    <xf numFmtId="0" fontId="54" fillId="20" borderId="5" xfId="0" applyFont="1" applyFill="1" applyBorder="1" applyAlignment="1" applyProtection="1">
      <alignment horizontal="left" vertical="center"/>
      <protection locked="0"/>
    </xf>
    <xf numFmtId="0" fontId="54" fillId="20" borderId="3" xfId="0" applyFont="1" applyFill="1" applyBorder="1" applyAlignment="1" applyProtection="1">
      <alignment horizontal="left" vertical="center"/>
      <protection locked="0"/>
    </xf>
    <xf numFmtId="0" fontId="0" fillId="4" borderId="6" xfId="0" applyFill="1" applyBorder="1" applyAlignment="1" applyProtection="1">
      <alignment horizontal="left" vertical="center" wrapText="1"/>
      <protection locked="0"/>
    </xf>
    <xf numFmtId="0" fontId="0" fillId="10" borderId="2" xfId="0" applyFill="1" applyBorder="1" applyAlignment="1">
      <alignment vertical="top" wrapText="1"/>
    </xf>
    <xf numFmtId="0" fontId="17" fillId="10" borderId="0" xfId="0" applyFont="1" applyFill="1" applyAlignment="1">
      <alignment vertical="top" wrapText="1"/>
    </xf>
    <xf numFmtId="0" fontId="17" fillId="10" borderId="2" xfId="0" applyFont="1" applyFill="1" applyBorder="1" applyAlignment="1">
      <alignment vertical="center" wrapText="1"/>
    </xf>
    <xf numFmtId="0" fontId="17" fillId="10" borderId="0" xfId="0" applyFont="1" applyFill="1" applyAlignment="1">
      <alignment horizontal="left" vertical="top" wrapText="1"/>
    </xf>
    <xf numFmtId="0" fontId="0" fillId="31" borderId="0" xfId="0" applyFill="1" applyAlignment="1">
      <alignment vertical="top"/>
    </xf>
    <xf numFmtId="0" fontId="45" fillId="31" borderId="0" xfId="0" applyFont="1" applyFill="1" applyAlignment="1">
      <alignment vertical="top"/>
    </xf>
    <xf numFmtId="0" fontId="17" fillId="31" borderId="0" xfId="0" applyFont="1" applyFill="1" applyAlignment="1">
      <alignment vertical="top"/>
    </xf>
    <xf numFmtId="0" fontId="17" fillId="31" borderId="2" xfId="0" applyFont="1" applyFill="1" applyBorder="1" applyAlignment="1">
      <alignment vertical="top" wrapText="1"/>
    </xf>
    <xf numFmtId="0" fontId="17" fillId="31" borderId="0" xfId="0" applyFont="1" applyFill="1" applyAlignment="1">
      <alignment vertical="top" wrapText="1"/>
    </xf>
    <xf numFmtId="0" fontId="0" fillId="31" borderId="2" xfId="0" applyFill="1" applyBorder="1" applyAlignment="1">
      <alignment vertical="top" wrapText="1"/>
    </xf>
    <xf numFmtId="0" fontId="0" fillId="10" borderId="2" xfId="0" applyFill="1" applyBorder="1" applyAlignment="1">
      <alignment wrapText="1"/>
    </xf>
    <xf numFmtId="0" fontId="24" fillId="10" borderId="0" xfId="0" applyFont="1" applyFill="1" applyAlignment="1">
      <alignment vertical="top" wrapText="1"/>
    </xf>
    <xf numFmtId="0" fontId="17" fillId="14" borderId="0" xfId="0" applyFont="1" applyFill="1" applyAlignment="1">
      <alignment horizontal="left" vertical="top" wrapText="1"/>
    </xf>
    <xf numFmtId="0" fontId="0" fillId="0" borderId="0" xfId="0" applyAlignment="1">
      <alignment horizontal="left" vertical="top" wrapText="1"/>
    </xf>
    <xf numFmtId="0" fontId="24" fillId="10" borderId="15" xfId="0" applyFont="1" applyFill="1" applyBorder="1" applyAlignment="1">
      <alignment vertical="top" wrapText="1"/>
    </xf>
    <xf numFmtId="0" fontId="24" fillId="10" borderId="5" xfId="0" applyFont="1" applyFill="1" applyBorder="1" applyAlignment="1">
      <alignment vertical="top" wrapText="1"/>
    </xf>
    <xf numFmtId="0" fontId="0" fillId="10" borderId="15" xfId="0" applyFill="1" applyBorder="1" applyAlignment="1">
      <alignment vertical="top" wrapText="1"/>
    </xf>
    <xf numFmtId="0" fontId="10" fillId="4" borderId="0" xfId="0" applyFont="1" applyFill="1" applyAlignment="1">
      <alignment wrapText="1"/>
    </xf>
    <xf numFmtId="0" fontId="10" fillId="4" borderId="0" xfId="0" applyFont="1" applyFill="1" applyAlignment="1">
      <alignment horizontal="center" wrapText="1"/>
    </xf>
    <xf numFmtId="0" fontId="61" fillId="21" borderId="2" xfId="3" applyFont="1" applyFill="1" applyBorder="1" applyAlignment="1" applyProtection="1">
      <alignment vertical="center" wrapText="1"/>
    </xf>
    <xf numFmtId="0" fontId="17" fillId="4" borderId="23" xfId="0" applyFont="1" applyFill="1" applyBorder="1" applyAlignment="1" applyProtection="1">
      <alignment horizontal="center" vertical="center" wrapText="1"/>
      <protection locked="0"/>
    </xf>
    <xf numFmtId="0" fontId="17" fillId="4" borderId="0" xfId="0" applyFont="1" applyFill="1" applyAlignment="1">
      <alignment horizontal="left" vertical="center" wrapText="1"/>
    </xf>
    <xf numFmtId="0" fontId="5" fillId="18" borderId="0" xfId="0" applyFont="1" applyFill="1"/>
    <xf numFmtId="0" fontId="5" fillId="16" borderId="0" xfId="0" applyFont="1" applyFill="1"/>
    <xf numFmtId="0" fontId="5" fillId="0" borderId="0" xfId="0" applyFont="1"/>
    <xf numFmtId="0" fontId="5" fillId="10" borderId="0" xfId="0" applyFont="1" applyFill="1"/>
    <xf numFmtId="0" fontId="45" fillId="10" borderId="0" xfId="0" applyFont="1" applyFill="1"/>
    <xf numFmtId="0" fontId="37" fillId="0" borderId="0" xfId="0" applyFont="1"/>
    <xf numFmtId="2" fontId="6" fillId="10" borderId="0" xfId="1" applyNumberFormat="1" applyFont="1" applyFill="1"/>
    <xf numFmtId="0" fontId="4" fillId="0" borderId="0" xfId="0" applyFont="1"/>
    <xf numFmtId="0" fontId="36" fillId="32" borderId="0" xfId="0" applyFont="1" applyFill="1"/>
    <xf numFmtId="0" fontId="45" fillId="32" borderId="0" xfId="0" applyFont="1" applyFill="1"/>
    <xf numFmtId="0" fontId="4" fillId="17" borderId="0" xfId="0" applyFont="1" applyFill="1"/>
    <xf numFmtId="0" fontId="4" fillId="32" borderId="0" xfId="0" applyFont="1" applyFill="1"/>
    <xf numFmtId="0" fontId="4" fillId="16" borderId="0" xfId="0" applyFont="1" applyFill="1"/>
    <xf numFmtId="0" fontId="3" fillId="0" borderId="0" xfId="0" applyFont="1"/>
    <xf numFmtId="0" fontId="6" fillId="31" borderId="0" xfId="0" applyFont="1" applyFill="1"/>
    <xf numFmtId="0" fontId="3" fillId="31" borderId="0" xfId="0" applyFont="1" applyFill="1"/>
    <xf numFmtId="0" fontId="5" fillId="31" borderId="0" xfId="0" applyFont="1" applyFill="1"/>
    <xf numFmtId="0" fontId="45" fillId="31" borderId="0" xfId="0" applyFont="1" applyFill="1"/>
    <xf numFmtId="0" fontId="36" fillId="31" borderId="0" xfId="0" applyFont="1" applyFill="1"/>
    <xf numFmtId="0" fontId="0" fillId="33" borderId="0" xfId="0" applyFill="1" applyAlignment="1">
      <alignment vertical="top" wrapText="1"/>
    </xf>
    <xf numFmtId="0" fontId="3" fillId="32" borderId="0" xfId="0" applyFont="1" applyFill="1"/>
    <xf numFmtId="0" fontId="0" fillId="31" borderId="0" xfId="0" applyFill="1" applyAlignment="1">
      <alignment vertical="top" wrapText="1"/>
    </xf>
    <xf numFmtId="0" fontId="37" fillId="0" borderId="0" xfId="0" applyFont="1" applyAlignment="1">
      <alignment vertical="top"/>
    </xf>
    <xf numFmtId="0" fontId="17" fillId="4" borderId="21" xfId="0" applyFont="1" applyFill="1" applyBorder="1" applyAlignment="1" applyProtection="1">
      <alignment horizontal="center" vertical="center" wrapText="1"/>
      <protection locked="0"/>
    </xf>
    <xf numFmtId="0" fontId="17" fillId="4" borderId="1" xfId="0" applyFont="1" applyFill="1" applyBorder="1" applyAlignment="1" applyProtection="1">
      <alignment horizontal="left" vertical="center" wrapText="1"/>
      <protection locked="0"/>
    </xf>
    <xf numFmtId="0" fontId="17" fillId="4" borderId="1" xfId="0" applyFont="1" applyFill="1" applyBorder="1" applyAlignment="1" applyProtection="1">
      <alignment horizontal="center" vertical="center" wrapText="1"/>
      <protection locked="0"/>
    </xf>
    <xf numFmtId="3" fontId="17" fillId="8" borderId="2" xfId="2" applyNumberFormat="1" applyFont="1" applyFill="1" applyBorder="1" applyAlignment="1" applyProtection="1">
      <alignment horizontal="center" vertical="center" wrapText="1"/>
      <protection locked="0"/>
    </xf>
    <xf numFmtId="0" fontId="37" fillId="13" borderId="0" xfId="0" applyFont="1" applyFill="1" applyAlignment="1">
      <alignment horizontal="left" vertical="top" wrapText="1"/>
    </xf>
    <xf numFmtId="0" fontId="0" fillId="4" borderId="2" xfId="0" applyFill="1" applyBorder="1" applyAlignment="1" applyProtection="1">
      <alignment horizontal="left" vertical="center" wrapText="1"/>
      <protection locked="0"/>
    </xf>
    <xf numFmtId="0" fontId="0" fillId="5" borderId="0" xfId="0" applyFill="1" applyAlignment="1" applyProtection="1">
      <alignment wrapText="1"/>
      <protection locked="0"/>
    </xf>
    <xf numFmtId="0" fontId="15" fillId="22" borderId="2" xfId="0" applyFont="1" applyFill="1" applyBorder="1" applyAlignment="1" applyProtection="1">
      <alignment horizontal="center" vertical="center" wrapText="1"/>
      <protection locked="0"/>
    </xf>
    <xf numFmtId="0" fontId="11" fillId="22" borderId="2" xfId="0" applyFont="1" applyFill="1" applyBorder="1" applyAlignment="1" applyProtection="1">
      <alignment horizontal="center" vertical="center" wrapText="1"/>
      <protection locked="0"/>
    </xf>
    <xf numFmtId="9" fontId="0" fillId="21" borderId="2" xfId="1" applyFont="1" applyFill="1" applyBorder="1" applyAlignment="1" applyProtection="1">
      <alignment horizontal="right" vertical="center" wrapText="1"/>
      <protection locked="0"/>
    </xf>
    <xf numFmtId="0" fontId="0" fillId="21" borderId="2" xfId="1" applyNumberFormat="1" applyFont="1" applyFill="1" applyBorder="1" applyAlignment="1" applyProtection="1">
      <alignment horizontal="right" vertical="center" wrapText="1"/>
      <protection locked="0"/>
    </xf>
    <xf numFmtId="3" fontId="0" fillId="21" borderId="2" xfId="0" applyNumberFormat="1" applyFill="1" applyBorder="1" applyAlignment="1" applyProtection="1">
      <alignment horizontal="right" vertical="center" wrapText="1"/>
      <protection locked="0"/>
    </xf>
    <xf numFmtId="3" fontId="17" fillId="21" borderId="2" xfId="0" applyNumberFormat="1" applyFont="1" applyFill="1" applyBorder="1" applyAlignment="1" applyProtection="1">
      <alignment horizontal="right" vertical="center" wrapText="1"/>
      <protection locked="0"/>
    </xf>
    <xf numFmtId="9" fontId="17" fillId="26" borderId="2" xfId="1" applyFont="1" applyFill="1" applyBorder="1" applyAlignment="1" applyProtection="1">
      <alignment horizontal="right" vertical="center" wrapText="1"/>
      <protection locked="0"/>
    </xf>
    <xf numFmtId="0" fontId="11" fillId="22" borderId="2" xfId="0" applyFont="1" applyFill="1" applyBorder="1" applyAlignment="1" applyProtection="1">
      <alignment horizontal="left" vertical="center" wrapText="1"/>
      <protection locked="0"/>
    </xf>
    <xf numFmtId="0" fontId="11" fillId="22" borderId="1" xfId="0" applyFont="1" applyFill="1" applyBorder="1" applyAlignment="1" applyProtection="1">
      <alignment horizontal="left" vertical="center" wrapText="1"/>
      <protection locked="0"/>
    </xf>
    <xf numFmtId="0" fontId="15" fillId="22" borderId="2" xfId="0" applyFont="1" applyFill="1" applyBorder="1" applyAlignment="1" applyProtection="1">
      <alignment horizontal="left" vertical="center" wrapText="1"/>
      <protection locked="0"/>
    </xf>
    <xf numFmtId="0" fontId="15" fillId="22" borderId="2" xfId="0" applyFont="1" applyFill="1" applyBorder="1" applyAlignment="1" applyProtection="1">
      <alignment vertical="center" wrapText="1"/>
      <protection locked="0"/>
    </xf>
    <xf numFmtId="0" fontId="11" fillId="22" borderId="19" xfId="0" applyFont="1" applyFill="1" applyBorder="1" applyAlignment="1" applyProtection="1">
      <alignment horizontal="left" vertical="center" wrapText="1"/>
      <protection locked="0"/>
    </xf>
    <xf numFmtId="0" fontId="11" fillId="22" borderId="3" xfId="0" applyFont="1" applyFill="1" applyBorder="1" applyAlignment="1" applyProtection="1">
      <alignment vertical="center" wrapText="1"/>
      <protection locked="0"/>
    </xf>
    <xf numFmtId="3" fontId="0" fillId="4" borderId="21" xfId="0" applyNumberFormat="1" applyFill="1" applyBorder="1" applyAlignment="1" applyProtection="1">
      <alignment horizontal="center" vertical="center" wrapText="1"/>
      <protection locked="0"/>
    </xf>
    <xf numFmtId="9" fontId="11" fillId="21" borderId="2" xfId="1" applyFont="1" applyFill="1" applyBorder="1" applyAlignment="1" applyProtection="1">
      <alignment horizontal="center" vertical="center" wrapText="1"/>
    </xf>
    <xf numFmtId="3" fontId="0" fillId="4" borderId="2" xfId="0" applyNumberFormat="1" applyFill="1" applyBorder="1" applyAlignment="1" applyProtection="1">
      <alignment horizontal="center" vertical="center" wrapText="1"/>
      <protection locked="0"/>
    </xf>
    <xf numFmtId="1" fontId="0" fillId="4" borderId="2" xfId="1" applyNumberFormat="1" applyFont="1" applyFill="1" applyBorder="1" applyAlignment="1" applyProtection="1">
      <alignment horizontal="center" vertical="center" wrapText="1"/>
      <protection locked="0"/>
    </xf>
    <xf numFmtId="165" fontId="0" fillId="21" borderId="2" xfId="2" applyNumberFormat="1" applyFont="1" applyFill="1" applyBorder="1" applyAlignment="1" applyProtection="1">
      <alignment horizontal="center" vertical="center" wrapText="1"/>
    </xf>
    <xf numFmtId="0" fontId="11" fillId="20" borderId="4" xfId="0" applyFont="1" applyFill="1" applyBorder="1" applyAlignment="1">
      <alignment horizontal="left" vertical="center"/>
    </xf>
    <xf numFmtId="3" fontId="0" fillId="21" borderId="2" xfId="0" quotePrefix="1" applyNumberFormat="1" applyFill="1" applyBorder="1" applyAlignment="1">
      <alignment horizontal="center" vertical="center" wrapText="1"/>
    </xf>
    <xf numFmtId="9" fontId="0" fillId="21" borderId="2" xfId="1" applyFont="1" applyFill="1" applyBorder="1" applyAlignment="1" applyProtection="1">
      <alignment horizontal="right" vertical="center" wrapText="1"/>
    </xf>
    <xf numFmtId="1" fontId="0" fillId="4" borderId="2" xfId="1" applyNumberFormat="1" applyFont="1" applyFill="1" applyBorder="1" applyAlignment="1" applyProtection="1">
      <alignment horizontal="right" vertical="center" wrapText="1"/>
      <protection locked="0"/>
    </xf>
    <xf numFmtId="165" fontId="0" fillId="21" borderId="2" xfId="2" applyNumberFormat="1" applyFont="1" applyFill="1" applyBorder="1" applyAlignment="1" applyProtection="1">
      <alignment horizontal="right" vertical="center" wrapText="1"/>
    </xf>
    <xf numFmtId="3" fontId="0" fillId="21" borderId="2" xfId="0" applyNumberFormat="1" applyFill="1" applyBorder="1" applyAlignment="1">
      <alignment horizontal="right" vertical="center" wrapText="1"/>
    </xf>
    <xf numFmtId="165" fontId="17" fillId="8" borderId="2" xfId="2" applyNumberFormat="1" applyFont="1" applyFill="1" applyBorder="1" applyAlignment="1" applyProtection="1">
      <alignment horizontal="right" vertical="center" wrapText="1"/>
      <protection locked="0"/>
    </xf>
    <xf numFmtId="165" fontId="17" fillId="26" borderId="2" xfId="2" applyNumberFormat="1" applyFont="1" applyFill="1" applyBorder="1" applyAlignment="1" applyProtection="1">
      <alignment horizontal="right" vertical="center" wrapText="1"/>
    </xf>
    <xf numFmtId="0" fontId="15" fillId="28" borderId="4" xfId="0" applyFont="1" applyFill="1" applyBorder="1" applyAlignment="1">
      <alignment horizontal="left" vertical="center"/>
    </xf>
    <xf numFmtId="9" fontId="17" fillId="26" borderId="2" xfId="1" applyFont="1" applyFill="1" applyBorder="1" applyAlignment="1" applyProtection="1">
      <alignment horizontal="right" vertical="center" wrapText="1"/>
    </xf>
    <xf numFmtId="3" fontId="17" fillId="26" borderId="2" xfId="0" applyNumberFormat="1" applyFont="1" applyFill="1" applyBorder="1" applyAlignment="1">
      <alignment horizontal="right" vertical="center" wrapText="1"/>
    </xf>
    <xf numFmtId="0" fontId="54" fillId="28" borderId="12" xfId="0" applyFont="1" applyFill="1" applyBorder="1" applyAlignment="1">
      <alignment horizontal="left" vertical="center"/>
    </xf>
    <xf numFmtId="0" fontId="17" fillId="26" borderId="2" xfId="1" applyNumberFormat="1" applyFont="1" applyFill="1" applyBorder="1" applyAlignment="1" applyProtection="1">
      <alignment horizontal="right" vertical="center" wrapText="1"/>
    </xf>
    <xf numFmtId="0" fontId="54" fillId="28" borderId="4" xfId="0" applyFont="1" applyFill="1" applyBorder="1" applyAlignment="1">
      <alignment horizontal="left" vertical="center" wrapText="1"/>
    </xf>
    <xf numFmtId="3" fontId="17" fillId="26" borderId="1" xfId="0" applyNumberFormat="1" applyFont="1" applyFill="1" applyBorder="1" applyAlignment="1">
      <alignment horizontal="right" vertical="center" wrapText="1"/>
    </xf>
    <xf numFmtId="9" fontId="17" fillId="26" borderId="21" xfId="1" applyFont="1" applyFill="1" applyBorder="1" applyAlignment="1" applyProtection="1">
      <alignment horizontal="right" vertical="center" wrapText="1"/>
    </xf>
    <xf numFmtId="0" fontId="53" fillId="5" borderId="28" xfId="0" applyFont="1" applyFill="1" applyBorder="1" applyAlignment="1">
      <alignment horizontal="left" vertical="center"/>
    </xf>
    <xf numFmtId="0" fontId="60" fillId="5" borderId="18" xfId="0" applyFont="1" applyFill="1" applyBorder="1" applyAlignment="1">
      <alignment horizontal="left" vertical="center"/>
    </xf>
    <xf numFmtId="0" fontId="60" fillId="5" borderId="18" xfId="0" applyFont="1" applyFill="1" applyBorder="1" applyAlignment="1">
      <alignment horizontal="center" vertical="center"/>
    </xf>
    <xf numFmtId="0" fontId="60" fillId="5" borderId="29" xfId="0" applyFont="1" applyFill="1" applyBorder="1" applyAlignment="1">
      <alignment horizontal="left" vertical="center"/>
    </xf>
    <xf numFmtId="0" fontId="54" fillId="20" borderId="3" xfId="0" applyFont="1" applyFill="1" applyBorder="1" applyAlignment="1">
      <alignment vertical="center"/>
    </xf>
    <xf numFmtId="0" fontId="54" fillId="20" borderId="4" xfId="0" applyFont="1" applyFill="1" applyBorder="1" applyAlignment="1">
      <alignment vertical="center"/>
    </xf>
    <xf numFmtId="0" fontId="54" fillId="20" borderId="16" xfId="0" applyFont="1" applyFill="1" applyBorder="1" applyAlignment="1">
      <alignment vertical="center"/>
    </xf>
    <xf numFmtId="0" fontId="54" fillId="20" borderId="12" xfId="0" applyFont="1" applyFill="1" applyBorder="1" applyAlignment="1">
      <alignment vertical="center"/>
    </xf>
    <xf numFmtId="9" fontId="17" fillId="4" borderId="2" xfId="0" applyNumberFormat="1" applyFont="1" applyFill="1" applyBorder="1" applyAlignment="1" applyProtection="1">
      <alignment vertical="center" wrapText="1"/>
      <protection locked="0"/>
    </xf>
    <xf numFmtId="10" fontId="0" fillId="0" borderId="0" xfId="0" applyNumberFormat="1" applyProtection="1">
      <protection locked="0"/>
    </xf>
    <xf numFmtId="0" fontId="2" fillId="34" borderId="0" xfId="0" applyFont="1" applyFill="1"/>
    <xf numFmtId="0" fontId="36" fillId="34" borderId="0" xfId="0" applyFont="1" applyFill="1"/>
    <xf numFmtId="0" fontId="0" fillId="4" borderId="0" xfId="0" applyFill="1" applyAlignment="1">
      <alignment horizontal="left" wrapText="1"/>
    </xf>
    <xf numFmtId="0" fontId="54" fillId="20" borderId="6" xfId="0" applyFont="1" applyFill="1" applyBorder="1" applyAlignment="1">
      <alignment horizontal="left" vertical="center"/>
    </xf>
    <xf numFmtId="0" fontId="0" fillId="4" borderId="17" xfId="0" applyFill="1" applyBorder="1" applyAlignment="1">
      <alignment horizontal="left" wrapText="1"/>
    </xf>
    <xf numFmtId="0" fontId="0" fillId="4" borderId="12" xfId="0" applyFill="1" applyBorder="1" applyAlignment="1">
      <alignment horizontal="left" wrapText="1"/>
    </xf>
    <xf numFmtId="0" fontId="0" fillId="0" borderId="0" xfId="0" applyAlignment="1">
      <alignment horizontal="left" wrapText="1"/>
    </xf>
    <xf numFmtId="0" fontId="17" fillId="4" borderId="0" xfId="0" applyFont="1" applyFill="1" applyAlignment="1">
      <alignment horizontal="left" vertical="top" wrapText="1"/>
    </xf>
    <xf numFmtId="0" fontId="35" fillId="4" borderId="2" xfId="3" applyFill="1" applyBorder="1" applyAlignment="1">
      <alignment horizontal="left" vertical="center" wrapText="1"/>
    </xf>
    <xf numFmtId="0" fontId="17" fillId="4" borderId="2" xfId="0" applyFont="1" applyFill="1" applyBorder="1" applyAlignment="1">
      <alignment horizontal="left" vertical="center" wrapText="1"/>
    </xf>
    <xf numFmtId="0" fontId="17" fillId="4" borderId="0" xfId="0" applyFont="1" applyFill="1" applyAlignment="1">
      <alignment horizontal="left" vertical="center" wrapText="1"/>
    </xf>
    <xf numFmtId="0" fontId="17" fillId="0" borderId="2" xfId="0" applyFont="1" applyBorder="1" applyAlignment="1">
      <alignment horizontal="left" vertical="center" wrapText="1"/>
    </xf>
    <xf numFmtId="0" fontId="17" fillId="8" borderId="2" xfId="0" applyFont="1" applyFill="1" applyBorder="1" applyAlignment="1">
      <alignment horizontal="left" vertical="center" wrapText="1"/>
    </xf>
    <xf numFmtId="4" fontId="17" fillId="0" borderId="2" xfId="0" applyNumberFormat="1" applyFont="1" applyBorder="1" applyAlignment="1">
      <alignment horizontal="left" vertical="center" wrapText="1"/>
    </xf>
    <xf numFmtId="0" fontId="19" fillId="19" borderId="2" xfId="0" applyFont="1" applyFill="1" applyBorder="1" applyAlignment="1">
      <alignment horizontal="center" vertical="center" wrapText="1"/>
    </xf>
    <xf numFmtId="0" fontId="54" fillId="20" borderId="2" xfId="0" applyFont="1" applyFill="1" applyBorder="1" applyAlignment="1">
      <alignment horizontal="left" vertical="center" wrapText="1"/>
    </xf>
    <xf numFmtId="0" fontId="15" fillId="21" borderId="2" xfId="0" applyFont="1" applyFill="1" applyBorder="1" applyAlignment="1">
      <alignment horizontal="left" vertical="center" wrapText="1"/>
    </xf>
    <xf numFmtId="4" fontId="17" fillId="0" borderId="2" xfId="0" applyNumberFormat="1" applyFont="1" applyBorder="1" applyAlignment="1">
      <alignment vertical="center" wrapText="1"/>
    </xf>
    <xf numFmtId="4" fontId="35" fillId="0" borderId="2" xfId="3" applyNumberFormat="1" applyBorder="1" applyAlignment="1" applyProtection="1">
      <alignment vertical="center" wrapText="1"/>
    </xf>
    <xf numFmtId="0" fontId="35" fillId="0" borderId="2" xfId="3" applyBorder="1" applyAlignment="1" applyProtection="1">
      <alignment horizontal="left" vertical="center" wrapText="1"/>
    </xf>
    <xf numFmtId="4" fontId="15" fillId="4" borderId="2" xfId="0" applyNumberFormat="1" applyFont="1" applyFill="1" applyBorder="1" applyAlignment="1">
      <alignment horizontal="left" vertical="center" wrapText="1"/>
    </xf>
    <xf numFmtId="0" fontId="15" fillId="4" borderId="2" xfId="0" applyFont="1" applyFill="1" applyBorder="1" applyAlignment="1" applyProtection="1">
      <alignment horizontal="center" vertical="center" wrapText="1"/>
      <protection locked="0"/>
    </xf>
    <xf numFmtId="4" fontId="53" fillId="5" borderId="2" xfId="0" applyNumberFormat="1" applyFont="1" applyFill="1" applyBorder="1" applyAlignment="1">
      <alignment horizontal="left" vertical="center" wrapText="1"/>
    </xf>
    <xf numFmtId="4" fontId="54" fillId="20" borderId="2" xfId="0" applyNumberFormat="1" applyFont="1" applyFill="1" applyBorder="1" applyAlignment="1">
      <alignment horizontal="left" vertical="center"/>
    </xf>
    <xf numFmtId="0" fontId="51" fillId="4" borderId="2" xfId="0" applyFont="1" applyFill="1" applyBorder="1" applyAlignment="1">
      <alignment vertical="center" wrapText="1"/>
    </xf>
    <xf numFmtId="0" fontId="18" fillId="0" borderId="2" xfId="0" applyFont="1" applyBorder="1" applyAlignment="1">
      <alignment horizontal="center" vertical="center" wrapText="1"/>
    </xf>
    <xf numFmtId="4" fontId="17" fillId="4" borderId="2" xfId="0" applyNumberFormat="1" applyFont="1" applyFill="1" applyBorder="1" applyAlignment="1">
      <alignment horizontal="left" vertical="center" wrapText="1"/>
    </xf>
    <xf numFmtId="4" fontId="35" fillId="4" borderId="2" xfId="3" applyNumberFormat="1" applyFill="1" applyBorder="1" applyAlignment="1" applyProtection="1">
      <alignment horizontal="left" vertical="center" wrapText="1"/>
    </xf>
    <xf numFmtId="4" fontId="25" fillId="0" borderId="2" xfId="0" applyNumberFormat="1" applyFont="1" applyBorder="1" applyAlignment="1">
      <alignment horizontal="center" vertical="center" wrapText="1"/>
    </xf>
    <xf numFmtId="4" fontId="15" fillId="21" borderId="2" xfId="0" applyNumberFormat="1" applyFont="1" applyFill="1" applyBorder="1" applyAlignment="1">
      <alignment horizontal="left" vertical="center"/>
    </xf>
    <xf numFmtId="4" fontId="17" fillId="4" borderId="2" xfId="0" applyNumberFormat="1" applyFont="1" applyFill="1" applyBorder="1" applyAlignment="1">
      <alignment vertical="center" wrapText="1"/>
    </xf>
    <xf numFmtId="4" fontId="15" fillId="21" borderId="2" xfId="0" applyNumberFormat="1" applyFont="1" applyFill="1" applyBorder="1" applyAlignment="1">
      <alignment horizontal="left" vertical="center" wrapText="1"/>
    </xf>
    <xf numFmtId="0" fontId="53" fillId="25" borderId="3" xfId="0" applyFont="1" applyFill="1" applyBorder="1" applyAlignment="1">
      <alignment horizontal="left" vertical="center"/>
    </xf>
    <xf numFmtId="0" fontId="53" fillId="25" borderId="4" xfId="0" applyFont="1" applyFill="1" applyBorder="1" applyAlignment="1">
      <alignment horizontal="left" vertical="center"/>
    </xf>
    <xf numFmtId="0" fontId="53" fillId="25" borderId="5" xfId="0" applyFont="1" applyFill="1" applyBorder="1" applyAlignment="1">
      <alignment horizontal="left" vertical="center"/>
    </xf>
    <xf numFmtId="0" fontId="0" fillId="0" borderId="19" xfId="0" applyBorder="1" applyAlignment="1">
      <alignment horizontal="center" wrapText="1"/>
    </xf>
    <xf numFmtId="0" fontId="0" fillId="0" borderId="17" xfId="0" applyBorder="1" applyAlignment="1">
      <alignment horizontal="center" wrapText="1"/>
    </xf>
    <xf numFmtId="0" fontId="0" fillId="0" borderId="23" xfId="0" applyBorder="1" applyAlignment="1">
      <alignment horizontal="center" wrapText="1"/>
    </xf>
    <xf numFmtId="0" fontId="0" fillId="0" borderId="16" xfId="0" applyBorder="1" applyAlignment="1">
      <alignment horizontal="center" wrapText="1"/>
    </xf>
    <xf numFmtId="0" fontId="0" fillId="0" borderId="12" xfId="0" applyBorder="1" applyAlignment="1">
      <alignment horizontal="center" wrapText="1"/>
    </xf>
    <xf numFmtId="0" fontId="0" fillId="0" borderId="6" xfId="0" applyBorder="1" applyAlignment="1">
      <alignment horizontal="center" wrapText="1"/>
    </xf>
    <xf numFmtId="0" fontId="15" fillId="4" borderId="2" xfId="0" applyFont="1" applyFill="1" applyBorder="1" applyAlignment="1" applyProtection="1">
      <alignment horizontal="left" vertical="center" wrapText="1"/>
      <protection locked="0"/>
    </xf>
    <xf numFmtId="0" fontId="0" fillId="4" borderId="21" xfId="0" applyFill="1" applyBorder="1" applyAlignment="1" applyProtection="1">
      <alignment horizontal="left" vertical="center" wrapText="1"/>
      <protection locked="0"/>
    </xf>
    <xf numFmtId="0" fontId="0" fillId="4" borderId="2" xfId="0" applyFill="1" applyBorder="1" applyAlignment="1" applyProtection="1">
      <alignment horizontal="left" vertical="center" wrapText="1"/>
      <protection locked="0"/>
    </xf>
    <xf numFmtId="0" fontId="15" fillId="22" borderId="2" xfId="0" applyFont="1" applyFill="1" applyBorder="1" applyAlignment="1">
      <alignment horizontal="center" vertical="center" wrapText="1"/>
    </xf>
    <xf numFmtId="0" fontId="15" fillId="22" borderId="2" xfId="0" applyFont="1" applyFill="1" applyBorder="1" applyAlignment="1">
      <alignment horizontal="left" vertical="center" wrapText="1"/>
    </xf>
    <xf numFmtId="0" fontId="17" fillId="4" borderId="2" xfId="0" applyFont="1" applyFill="1" applyBorder="1" applyAlignment="1" applyProtection="1">
      <alignment horizontal="left" vertical="center" wrapText="1"/>
      <protection locked="0"/>
    </xf>
    <xf numFmtId="0" fontId="15" fillId="27" borderId="2" xfId="0" applyFont="1" applyFill="1" applyBorder="1" applyAlignment="1">
      <alignment horizontal="left" vertical="center" wrapText="1"/>
    </xf>
    <xf numFmtId="0" fontId="11" fillId="22" borderId="2" xfId="0" applyFont="1" applyFill="1" applyBorder="1" applyAlignment="1">
      <alignment horizontal="left" vertical="center" wrapText="1"/>
    </xf>
    <xf numFmtId="0" fontId="11" fillId="21" borderId="21" xfId="0" applyFont="1" applyFill="1" applyBorder="1" applyAlignment="1">
      <alignment horizontal="center" vertical="center" wrapText="1"/>
    </xf>
    <xf numFmtId="0" fontId="11" fillId="21" borderId="1" xfId="0" applyFont="1" applyFill="1" applyBorder="1" applyAlignment="1">
      <alignment horizontal="center" vertical="center" wrapText="1"/>
    </xf>
    <xf numFmtId="0" fontId="53" fillId="25" borderId="16" xfId="0" applyFont="1" applyFill="1" applyBorder="1" applyAlignment="1">
      <alignment horizontal="left" vertical="center"/>
    </xf>
    <xf numFmtId="0" fontId="53" fillId="25" borderId="12" xfId="0" applyFont="1" applyFill="1" applyBorder="1" applyAlignment="1">
      <alignment horizontal="left" vertical="center"/>
    </xf>
    <xf numFmtId="0" fontId="53" fillId="25" borderId="6" xfId="0" applyFont="1" applyFill="1" applyBorder="1" applyAlignment="1">
      <alignment horizontal="left" vertical="center"/>
    </xf>
    <xf numFmtId="0" fontId="54" fillId="20" borderId="3" xfId="0" applyFont="1" applyFill="1" applyBorder="1" applyAlignment="1">
      <alignment horizontal="left" vertical="center"/>
    </xf>
    <xf numFmtId="0" fontId="54" fillId="20" borderId="4" xfId="0" applyFont="1" applyFill="1" applyBorder="1" applyAlignment="1">
      <alignment horizontal="left" vertical="center"/>
    </xf>
    <xf numFmtId="0" fontId="54" fillId="20" borderId="5" xfId="0" applyFont="1" applyFill="1" applyBorder="1" applyAlignment="1">
      <alignment horizontal="left" vertical="center"/>
    </xf>
    <xf numFmtId="0" fontId="54" fillId="20" borderId="16" xfId="0" applyFont="1" applyFill="1" applyBorder="1" applyAlignment="1">
      <alignment horizontal="left" vertical="center"/>
    </xf>
    <xf numFmtId="0" fontId="54" fillId="20" borderId="12" xfId="0" applyFont="1" applyFill="1" applyBorder="1" applyAlignment="1">
      <alignment horizontal="left" vertical="center"/>
    </xf>
    <xf numFmtId="0" fontId="15" fillId="21" borderId="3" xfId="0" applyFont="1" applyFill="1" applyBorder="1" applyAlignment="1">
      <alignment horizontal="left" vertical="center" wrapText="1"/>
    </xf>
    <xf numFmtId="0" fontId="15" fillId="21" borderId="4" xfId="0" applyFont="1" applyFill="1" applyBorder="1" applyAlignment="1">
      <alignment horizontal="left" vertical="center" wrapText="1"/>
    </xf>
    <xf numFmtId="0" fontId="15" fillId="21" borderId="5" xfId="0" applyFont="1" applyFill="1" applyBorder="1" applyAlignment="1">
      <alignment horizontal="left" vertical="center" wrapText="1"/>
    </xf>
    <xf numFmtId="0" fontId="15" fillId="22" borderId="21" xfId="0" applyFont="1" applyFill="1" applyBorder="1" applyAlignment="1">
      <alignment horizontal="left" vertical="center" wrapText="1"/>
    </xf>
    <xf numFmtId="0" fontId="17" fillId="4" borderId="21" xfId="0" applyFont="1" applyFill="1" applyBorder="1" applyAlignment="1" applyProtection="1">
      <alignment horizontal="left" vertical="center" wrapText="1"/>
      <protection locked="0"/>
    </xf>
    <xf numFmtId="0" fontId="15" fillId="4" borderId="2" xfId="0" applyFont="1" applyFill="1" applyBorder="1" applyAlignment="1">
      <alignment horizontal="left" vertical="center" wrapText="1"/>
    </xf>
    <xf numFmtId="0" fontId="56" fillId="0" borderId="2" xfId="0" applyFont="1" applyBorder="1" applyAlignment="1">
      <alignment horizontal="center" vertical="center" wrapText="1"/>
    </xf>
    <xf numFmtId="0" fontId="15" fillId="21" borderId="21" xfId="0" applyFont="1" applyFill="1" applyBorder="1" applyAlignment="1">
      <alignment horizontal="left" vertical="center" wrapText="1"/>
    </xf>
    <xf numFmtId="0" fontId="11" fillId="4" borderId="2" xfId="0" applyFont="1" applyFill="1" applyBorder="1" applyAlignment="1" applyProtection="1">
      <alignment horizontal="left" vertical="top" wrapText="1"/>
      <protection locked="0"/>
    </xf>
    <xf numFmtId="0" fontId="15" fillId="22" borderId="1" xfId="0" applyFont="1" applyFill="1" applyBorder="1" applyAlignment="1">
      <alignment horizontal="left" vertical="center" wrapText="1"/>
    </xf>
    <xf numFmtId="0" fontId="17" fillId="4" borderId="1" xfId="0" applyFont="1" applyFill="1" applyBorder="1" applyAlignment="1" applyProtection="1">
      <alignment horizontal="left" vertical="center" wrapText="1"/>
      <protection locked="0"/>
    </xf>
    <xf numFmtId="0" fontId="15" fillId="0" borderId="19" xfId="0" applyFont="1" applyBorder="1" applyAlignment="1" applyProtection="1">
      <alignment horizontal="left" vertical="top" wrapText="1"/>
      <protection locked="0"/>
    </xf>
    <xf numFmtId="0" fontId="15" fillId="0" borderId="17" xfId="0" applyFont="1" applyBorder="1" applyAlignment="1" applyProtection="1">
      <alignment horizontal="left" vertical="top" wrapText="1"/>
      <protection locked="0"/>
    </xf>
    <xf numFmtId="0" fontId="15" fillId="0" borderId="23" xfId="0" applyFont="1" applyBorder="1" applyAlignment="1" applyProtection="1">
      <alignment horizontal="left" vertical="top" wrapText="1"/>
      <protection locked="0"/>
    </xf>
    <xf numFmtId="0" fontId="15" fillId="0" borderId="25" xfId="0" applyFont="1" applyBorder="1" applyAlignment="1" applyProtection="1">
      <alignment horizontal="left" vertical="top" wrapText="1"/>
      <protection locked="0"/>
    </xf>
    <xf numFmtId="0" fontId="15" fillId="0" borderId="0" xfId="0" applyFont="1" applyAlignment="1" applyProtection="1">
      <alignment horizontal="left" vertical="top" wrapText="1"/>
      <protection locked="0"/>
    </xf>
    <xf numFmtId="0" fontId="15" fillId="0" borderId="26" xfId="0" applyFont="1" applyBorder="1" applyAlignment="1" applyProtection="1">
      <alignment horizontal="left" vertical="top" wrapText="1"/>
      <protection locked="0"/>
    </xf>
    <xf numFmtId="0" fontId="15" fillId="0" borderId="16" xfId="0" applyFont="1" applyBorder="1" applyAlignment="1" applyProtection="1">
      <alignment horizontal="left" vertical="top" wrapText="1"/>
      <protection locked="0"/>
    </xf>
    <xf numFmtId="0" fontId="15" fillId="0" borderId="12" xfId="0" applyFont="1" applyBorder="1" applyAlignment="1" applyProtection="1">
      <alignment horizontal="left" vertical="top" wrapText="1"/>
      <protection locked="0"/>
    </xf>
    <xf numFmtId="0" fontId="15" fillId="0" borderId="6" xfId="0" applyFont="1" applyBorder="1" applyAlignment="1" applyProtection="1">
      <alignment horizontal="left" vertical="top" wrapText="1"/>
      <protection locked="0"/>
    </xf>
    <xf numFmtId="0" fontId="56" fillId="0" borderId="21" xfId="0" applyFont="1" applyBorder="1" applyAlignment="1">
      <alignment horizontal="center" vertical="center" wrapText="1"/>
    </xf>
    <xf numFmtId="0" fontId="17" fillId="4" borderId="19" xfId="0" applyFont="1" applyFill="1" applyBorder="1" applyAlignment="1" applyProtection="1">
      <alignment horizontal="left" vertical="center" wrapText="1"/>
      <protection locked="0"/>
    </xf>
    <xf numFmtId="0" fontId="17" fillId="4" borderId="0" xfId="0" applyFont="1" applyFill="1" applyAlignment="1" applyProtection="1">
      <alignment horizontal="left" vertical="center" wrapText="1"/>
      <protection locked="0"/>
    </xf>
    <xf numFmtId="0" fontId="17" fillId="4" borderId="23" xfId="0" applyFont="1" applyFill="1" applyBorder="1" applyAlignment="1" applyProtection="1">
      <alignment horizontal="left" vertical="center" wrapText="1"/>
      <protection locked="0"/>
    </xf>
    <xf numFmtId="0" fontId="15" fillId="21" borderId="16" xfId="0" applyFont="1" applyFill="1" applyBorder="1" applyAlignment="1">
      <alignment horizontal="left" vertical="center" wrapText="1"/>
    </xf>
    <xf numFmtId="0" fontId="15" fillId="21" borderId="12" xfId="0" applyFont="1" applyFill="1" applyBorder="1" applyAlignment="1">
      <alignment horizontal="left" vertical="center" wrapText="1"/>
    </xf>
    <xf numFmtId="0" fontId="15" fillId="21" borderId="6" xfId="0" applyFont="1" applyFill="1" applyBorder="1" applyAlignment="1">
      <alignment horizontal="left" vertical="center" wrapText="1"/>
    </xf>
    <xf numFmtId="0" fontId="18" fillId="0" borderId="21" xfId="0" applyFont="1" applyBorder="1" applyAlignment="1">
      <alignment horizontal="center" vertical="center" wrapText="1"/>
    </xf>
    <xf numFmtId="0" fontId="18" fillId="0" borderId="20" xfId="0" applyFont="1" applyBorder="1" applyAlignment="1">
      <alignment horizontal="center" vertical="center" wrapText="1"/>
    </xf>
    <xf numFmtId="0" fontId="18" fillId="0" borderId="1" xfId="0" applyFont="1" applyBorder="1" applyAlignment="1">
      <alignment horizontal="center" vertical="center" wrapText="1"/>
    </xf>
    <xf numFmtId="0" fontId="15" fillId="4" borderId="3" xfId="0" applyFont="1" applyFill="1" applyBorder="1" applyAlignment="1" applyProtection="1">
      <alignment horizontal="left" vertical="center" wrapText="1"/>
      <protection locked="0"/>
    </xf>
    <xf numFmtId="0" fontId="15" fillId="4" borderId="4" xfId="0" applyFont="1" applyFill="1" applyBorder="1" applyAlignment="1" applyProtection="1">
      <alignment horizontal="left" vertical="center" wrapText="1"/>
      <protection locked="0"/>
    </xf>
    <xf numFmtId="0" fontId="15" fillId="4" borderId="5" xfId="0" applyFont="1" applyFill="1" applyBorder="1" applyAlignment="1" applyProtection="1">
      <alignment horizontal="left" vertical="center" wrapText="1"/>
      <protection locked="0"/>
    </xf>
    <xf numFmtId="0" fontId="15" fillId="22" borderId="20" xfId="0" applyFont="1" applyFill="1" applyBorder="1" applyAlignment="1">
      <alignment horizontal="left" vertical="center" wrapText="1"/>
    </xf>
    <xf numFmtId="0" fontId="17" fillId="4" borderId="20" xfId="0" applyFont="1" applyFill="1" applyBorder="1" applyAlignment="1" applyProtection="1">
      <alignment horizontal="left" vertical="center" wrapText="1"/>
      <protection locked="0"/>
    </xf>
    <xf numFmtId="0" fontId="17" fillId="4" borderId="17" xfId="0" applyFont="1" applyFill="1" applyBorder="1" applyAlignment="1" applyProtection="1">
      <alignment horizontal="left" vertical="center" wrapText="1"/>
      <protection locked="0"/>
    </xf>
    <xf numFmtId="0" fontId="15" fillId="22" borderId="21" xfId="0" applyFont="1" applyFill="1" applyBorder="1" applyAlignment="1">
      <alignment horizontal="center" vertical="center" wrapText="1"/>
    </xf>
    <xf numFmtId="0" fontId="15" fillId="22" borderId="1" xfId="0" applyFont="1" applyFill="1" applyBorder="1" applyAlignment="1">
      <alignment horizontal="center" vertical="center" wrapText="1"/>
    </xf>
    <xf numFmtId="0" fontId="11" fillId="0" borderId="19" xfId="0" applyFont="1" applyBorder="1" applyAlignment="1" applyProtection="1">
      <alignment horizontal="left" vertical="top" wrapText="1"/>
      <protection locked="0"/>
    </xf>
    <xf numFmtId="0" fontId="49" fillId="0" borderId="17" xfId="0" applyFont="1" applyBorder="1" applyAlignment="1" applyProtection="1">
      <alignment horizontal="left" vertical="top" wrapText="1"/>
      <protection locked="0"/>
    </xf>
    <xf numFmtId="0" fontId="49" fillId="0" borderId="23" xfId="0" applyFont="1" applyBorder="1" applyAlignment="1" applyProtection="1">
      <alignment horizontal="left" vertical="top" wrapText="1"/>
      <protection locked="0"/>
    </xf>
    <xf numFmtId="0" fontId="49" fillId="0" borderId="25" xfId="0" applyFont="1" applyBorder="1" applyAlignment="1" applyProtection="1">
      <alignment horizontal="left" vertical="top" wrapText="1"/>
      <protection locked="0"/>
    </xf>
    <xf numFmtId="0" fontId="49" fillId="0" borderId="0" xfId="0" applyFont="1" applyAlignment="1" applyProtection="1">
      <alignment horizontal="left" vertical="top" wrapText="1"/>
      <protection locked="0"/>
    </xf>
    <xf numFmtId="0" fontId="49" fillId="0" borderId="26" xfId="0" applyFont="1" applyBorder="1" applyAlignment="1" applyProtection="1">
      <alignment horizontal="left" vertical="top" wrapText="1"/>
      <protection locked="0"/>
    </xf>
    <xf numFmtId="0" fontId="49" fillId="0" borderId="16" xfId="0" applyFont="1" applyBorder="1" applyAlignment="1" applyProtection="1">
      <alignment horizontal="left" vertical="top" wrapText="1"/>
      <protection locked="0"/>
    </xf>
    <xf numFmtId="0" fontId="49" fillId="0" borderId="12" xfId="0" applyFont="1" applyBorder="1" applyAlignment="1" applyProtection="1">
      <alignment horizontal="left" vertical="top" wrapText="1"/>
      <protection locked="0"/>
    </xf>
    <xf numFmtId="0" fontId="49" fillId="0" borderId="6" xfId="0" applyFont="1" applyBorder="1" applyAlignment="1" applyProtection="1">
      <alignment horizontal="left" vertical="top" wrapText="1"/>
      <protection locked="0"/>
    </xf>
    <xf numFmtId="0" fontId="11" fillId="19" borderId="19" xfId="0" applyFont="1" applyFill="1" applyBorder="1" applyAlignment="1">
      <alignment horizontal="center" vertical="center" wrapText="1"/>
    </xf>
    <xf numFmtId="0" fontId="11" fillId="19" borderId="16" xfId="0" applyFont="1" applyFill="1" applyBorder="1" applyAlignment="1">
      <alignment horizontal="center" vertical="center" wrapText="1"/>
    </xf>
    <xf numFmtId="0" fontId="17" fillId="21" borderId="21" xfId="0" applyFont="1" applyFill="1" applyBorder="1" applyAlignment="1">
      <alignment horizontal="center" vertical="center" wrapText="1"/>
    </xf>
    <xf numFmtId="0" fontId="17" fillId="21" borderId="1" xfId="0" applyFont="1" applyFill="1" applyBorder="1" applyAlignment="1">
      <alignment horizontal="center" vertical="center" wrapText="1"/>
    </xf>
    <xf numFmtId="0" fontId="15" fillId="0" borderId="3" xfId="0" applyFont="1" applyBorder="1" applyAlignment="1" applyProtection="1">
      <alignment horizontal="left" vertical="center" wrapText="1"/>
      <protection locked="0"/>
    </xf>
    <xf numFmtId="0" fontId="15" fillId="0" borderId="4" xfId="0" applyFont="1" applyBorder="1" applyAlignment="1" applyProtection="1">
      <alignment horizontal="left" vertical="center" wrapText="1"/>
      <protection locked="0"/>
    </xf>
    <xf numFmtId="0" fontId="15" fillId="0" borderId="5" xfId="0" applyFont="1" applyBorder="1" applyAlignment="1" applyProtection="1">
      <alignment horizontal="left" vertical="center" wrapText="1"/>
      <protection locked="0"/>
    </xf>
    <xf numFmtId="0" fontId="17" fillId="4" borderId="21" xfId="0" applyFont="1" applyFill="1" applyBorder="1" applyAlignment="1" applyProtection="1">
      <alignment horizontal="center" vertical="center" wrapText="1"/>
      <protection locked="0"/>
    </xf>
    <xf numFmtId="0" fontId="17" fillId="4" borderId="1" xfId="0" applyFont="1" applyFill="1" applyBorder="1" applyAlignment="1" applyProtection="1">
      <alignment horizontal="center" vertical="center" wrapText="1"/>
      <protection locked="0"/>
    </xf>
    <xf numFmtId="0" fontId="18" fillId="0" borderId="13" xfId="0" applyFont="1" applyBorder="1" applyAlignment="1">
      <alignment horizontal="center" vertical="center" wrapText="1"/>
    </xf>
    <xf numFmtId="0" fontId="18" fillId="0" borderId="0" xfId="0" applyFont="1" applyAlignment="1">
      <alignment horizontal="center" vertical="center" wrapText="1"/>
    </xf>
    <xf numFmtId="0" fontId="18" fillId="0" borderId="18" xfId="0" applyFont="1" applyBorder="1" applyAlignment="1">
      <alignment horizontal="center" vertical="center" wrapText="1"/>
    </xf>
    <xf numFmtId="0" fontId="15" fillId="4" borderId="14" xfId="0" applyFont="1" applyFill="1" applyBorder="1" applyAlignment="1">
      <alignment horizontal="left" vertical="center" wrapText="1"/>
    </xf>
    <xf numFmtId="0" fontId="15" fillId="4" borderId="15" xfId="0" applyFont="1" applyFill="1" applyBorder="1" applyAlignment="1">
      <alignment horizontal="left" vertical="center" wrapText="1"/>
    </xf>
    <xf numFmtId="0" fontId="21" fillId="0" borderId="10" xfId="0" applyFont="1" applyBorder="1" applyAlignment="1">
      <alignment horizontal="center" vertical="center" wrapText="1"/>
    </xf>
    <xf numFmtId="0" fontId="21" fillId="0" borderId="13" xfId="0" applyFont="1" applyBorder="1" applyAlignment="1">
      <alignment horizontal="center" vertical="center" wrapText="1"/>
    </xf>
    <xf numFmtId="0" fontId="21" fillId="0" borderId="27" xfId="0" applyFont="1" applyBorder="1" applyAlignment="1">
      <alignment horizontal="center" vertical="center" wrapText="1"/>
    </xf>
    <xf numFmtId="0" fontId="15" fillId="19" borderId="19" xfId="0" applyFont="1" applyFill="1" applyBorder="1" applyAlignment="1">
      <alignment horizontal="center" vertical="center" wrapText="1"/>
    </xf>
    <xf numFmtId="0" fontId="15" fillId="19" borderId="16" xfId="0" applyFont="1" applyFill="1" applyBorder="1" applyAlignment="1">
      <alignment horizontal="center" vertical="center" wrapText="1"/>
    </xf>
    <xf numFmtId="0" fontId="15" fillId="4" borderId="19" xfId="0" applyFont="1" applyFill="1" applyBorder="1" applyAlignment="1" applyProtection="1">
      <alignment horizontal="left" vertical="top" wrapText="1"/>
      <protection locked="0"/>
    </xf>
    <xf numFmtId="0" fontId="59" fillId="4" borderId="17" xfId="0" applyFont="1" applyFill="1" applyBorder="1" applyAlignment="1" applyProtection="1">
      <alignment horizontal="left" vertical="top" wrapText="1"/>
      <protection locked="0"/>
    </xf>
    <xf numFmtId="0" fontId="59" fillId="4" borderId="23" xfId="0" applyFont="1" applyFill="1" applyBorder="1" applyAlignment="1" applyProtection="1">
      <alignment horizontal="left" vertical="top" wrapText="1"/>
      <protection locked="0"/>
    </xf>
    <xf numFmtId="0" fontId="59" fillId="4" borderId="25" xfId="0" applyFont="1" applyFill="1" applyBorder="1" applyAlignment="1" applyProtection="1">
      <alignment horizontal="left" vertical="top" wrapText="1"/>
      <protection locked="0"/>
    </xf>
    <xf numFmtId="0" fontId="59" fillId="4" borderId="0" xfId="0" applyFont="1" applyFill="1" applyAlignment="1" applyProtection="1">
      <alignment horizontal="left" vertical="top" wrapText="1"/>
      <protection locked="0"/>
    </xf>
    <xf numFmtId="0" fontId="59" fillId="4" borderId="26" xfId="0" applyFont="1" applyFill="1" applyBorder="1" applyAlignment="1" applyProtection="1">
      <alignment horizontal="left" vertical="top" wrapText="1"/>
      <protection locked="0"/>
    </xf>
    <xf numFmtId="0" fontId="59" fillId="4" borderId="16" xfId="0" applyFont="1" applyFill="1" applyBorder="1" applyAlignment="1" applyProtection="1">
      <alignment horizontal="left" vertical="top" wrapText="1"/>
      <protection locked="0"/>
    </xf>
    <xf numFmtId="0" fontId="59" fillId="4" borderId="12" xfId="0" applyFont="1" applyFill="1" applyBorder="1" applyAlignment="1" applyProtection="1">
      <alignment horizontal="left" vertical="top" wrapText="1"/>
      <protection locked="0"/>
    </xf>
    <xf numFmtId="0" fontId="59" fillId="4" borderId="6" xfId="0" applyFont="1" applyFill="1" applyBorder="1" applyAlignment="1" applyProtection="1">
      <alignment horizontal="left" vertical="top" wrapText="1"/>
      <protection locked="0"/>
    </xf>
    <xf numFmtId="0" fontId="17" fillId="4" borderId="20" xfId="0" applyFont="1" applyFill="1" applyBorder="1" applyAlignment="1" applyProtection="1">
      <alignment horizontal="center" vertical="center" wrapText="1"/>
      <protection locked="0"/>
    </xf>
    <xf numFmtId="0" fontId="15" fillId="4" borderId="3" xfId="0" applyFont="1" applyFill="1" applyBorder="1" applyAlignment="1" applyProtection="1">
      <alignment horizontal="left" vertical="center"/>
      <protection locked="0"/>
    </xf>
    <xf numFmtId="0" fontId="15" fillId="4" borderId="4" xfId="0" applyFont="1" applyFill="1" applyBorder="1" applyAlignment="1" applyProtection="1">
      <alignment horizontal="left" vertical="center"/>
      <protection locked="0"/>
    </xf>
    <xf numFmtId="0" fontId="15" fillId="4" borderId="5" xfId="0" applyFont="1" applyFill="1" applyBorder="1" applyAlignment="1" applyProtection="1">
      <alignment horizontal="left" vertical="center"/>
      <protection locked="0"/>
    </xf>
    <xf numFmtId="0" fontId="15" fillId="27" borderId="21" xfId="0" applyFont="1" applyFill="1" applyBorder="1" applyAlignment="1">
      <alignment horizontal="left" vertical="center" wrapText="1"/>
    </xf>
    <xf numFmtId="0" fontId="15" fillId="27" borderId="1" xfId="0" applyFont="1" applyFill="1" applyBorder="1" applyAlignment="1">
      <alignment horizontal="left" vertical="center" wrapText="1"/>
    </xf>
    <xf numFmtId="0" fontId="56" fillId="0" borderId="13" xfId="0" applyFont="1" applyBorder="1" applyAlignment="1">
      <alignment horizontal="center" vertical="center" wrapText="1"/>
    </xf>
    <xf numFmtId="0" fontId="22" fillId="4" borderId="19" xfId="0" applyFont="1" applyFill="1" applyBorder="1" applyAlignment="1" applyProtection="1">
      <alignment horizontal="left" vertical="center" wrapText="1"/>
      <protection locked="0"/>
    </xf>
    <xf numFmtId="0" fontId="22" fillId="4" borderId="17" xfId="0" applyFont="1" applyFill="1" applyBorder="1" applyAlignment="1" applyProtection="1">
      <alignment horizontal="left" vertical="center" wrapText="1"/>
      <protection locked="0"/>
    </xf>
    <xf numFmtId="0" fontId="22" fillId="4" borderId="23" xfId="0" applyFont="1" applyFill="1" applyBorder="1" applyAlignment="1" applyProtection="1">
      <alignment horizontal="left" vertical="center" wrapText="1"/>
      <protection locked="0"/>
    </xf>
    <xf numFmtId="0" fontId="15" fillId="27" borderId="20" xfId="0" applyFont="1" applyFill="1" applyBorder="1" applyAlignment="1">
      <alignment horizontal="left" vertical="center" wrapText="1"/>
    </xf>
    <xf numFmtId="0" fontId="15" fillId="4" borderId="21" xfId="0" applyFont="1" applyFill="1" applyBorder="1" applyAlignment="1">
      <alignment horizontal="left" vertical="center" wrapText="1"/>
    </xf>
    <xf numFmtId="0" fontId="56" fillId="0" borderId="3" xfId="0" applyFont="1" applyBorder="1" applyAlignment="1">
      <alignment horizontal="center" vertical="center" wrapText="1"/>
    </xf>
    <xf numFmtId="0" fontId="56" fillId="0" borderId="4" xfId="0" applyFont="1" applyBorder="1" applyAlignment="1">
      <alignment horizontal="center" vertical="center" wrapText="1"/>
    </xf>
    <xf numFmtId="0" fontId="56" fillId="0" borderId="5" xfId="0" applyFont="1" applyBorder="1" applyAlignment="1">
      <alignment horizontal="center" vertical="center" wrapText="1"/>
    </xf>
    <xf numFmtId="0" fontId="56" fillId="4" borderId="19" xfId="0" applyFont="1" applyFill="1" applyBorder="1" applyAlignment="1" applyProtection="1">
      <alignment horizontal="left" vertical="center" wrapText="1"/>
      <protection locked="0"/>
    </xf>
    <xf numFmtId="0" fontId="56" fillId="4" borderId="17" xfId="0" applyFont="1" applyFill="1" applyBorder="1" applyAlignment="1" applyProtection="1">
      <alignment horizontal="left" vertical="center" wrapText="1"/>
      <protection locked="0"/>
    </xf>
    <xf numFmtId="0" fontId="56" fillId="4" borderId="23" xfId="0" applyFont="1" applyFill="1" applyBorder="1" applyAlignment="1" applyProtection="1">
      <alignment horizontal="left" vertical="center" wrapText="1"/>
      <protection locked="0"/>
    </xf>
    <xf numFmtId="0" fontId="15" fillId="22" borderId="21" xfId="0" applyFont="1" applyFill="1" applyBorder="1" applyAlignment="1" applyProtection="1">
      <alignment horizontal="left" vertical="center" wrapText="1"/>
      <protection locked="0"/>
    </xf>
    <xf numFmtId="0" fontId="15" fillId="22" borderId="1" xfId="0" applyFont="1" applyFill="1" applyBorder="1" applyAlignment="1" applyProtection="1">
      <alignment horizontal="left" vertical="center" wrapText="1"/>
      <protection locked="0"/>
    </xf>
    <xf numFmtId="0" fontId="0" fillId="4" borderId="1" xfId="0" applyFill="1" applyBorder="1" applyAlignment="1" applyProtection="1">
      <alignment horizontal="left" vertical="center" wrapText="1"/>
      <protection locked="0"/>
    </xf>
    <xf numFmtId="0" fontId="11" fillId="22" borderId="21" xfId="0" applyFont="1" applyFill="1" applyBorder="1" applyAlignment="1" applyProtection="1">
      <alignment horizontal="left" vertical="center" wrapText="1"/>
      <protection locked="0"/>
    </xf>
    <xf numFmtId="0" fontId="11" fillId="22" borderId="1" xfId="0" applyFont="1" applyFill="1" applyBorder="1" applyAlignment="1" applyProtection="1">
      <alignment horizontal="left" vertical="center" wrapText="1"/>
      <protection locked="0"/>
    </xf>
    <xf numFmtId="0" fontId="31" fillId="4" borderId="3" xfId="0" applyFont="1" applyFill="1" applyBorder="1" applyAlignment="1" applyProtection="1">
      <alignment horizontal="left" vertical="center" wrapText="1"/>
      <protection locked="0"/>
    </xf>
    <xf numFmtId="0" fontId="31" fillId="4" borderId="4" xfId="0" applyFont="1" applyFill="1" applyBorder="1" applyAlignment="1" applyProtection="1">
      <alignment horizontal="left" vertical="center" wrapText="1"/>
      <protection locked="0"/>
    </xf>
    <xf numFmtId="0" fontId="31" fillId="4" borderId="5" xfId="0" applyFont="1" applyFill="1" applyBorder="1" applyAlignment="1" applyProtection="1">
      <alignment horizontal="left" vertical="center" wrapText="1"/>
      <protection locked="0"/>
    </xf>
    <xf numFmtId="0" fontId="31" fillId="4" borderId="16" xfId="0" applyFont="1" applyFill="1" applyBorder="1" applyAlignment="1" applyProtection="1">
      <alignment horizontal="left" vertical="center" wrapText="1"/>
      <protection locked="0"/>
    </xf>
    <xf numFmtId="0" fontId="31" fillId="4" borderId="12" xfId="0" applyFont="1" applyFill="1" applyBorder="1" applyAlignment="1" applyProtection="1">
      <alignment horizontal="left" vertical="center" wrapText="1"/>
      <protection locked="0"/>
    </xf>
    <xf numFmtId="0" fontId="31" fillId="4" borderId="6" xfId="0" applyFont="1" applyFill="1" applyBorder="1" applyAlignment="1" applyProtection="1">
      <alignment horizontal="left" vertical="center" wrapText="1"/>
      <protection locked="0"/>
    </xf>
    <xf numFmtId="0" fontId="31" fillId="4" borderId="3" xfId="0" applyFont="1" applyFill="1" applyBorder="1" applyAlignment="1" applyProtection="1">
      <alignment vertical="center" wrapText="1"/>
      <protection locked="0"/>
    </xf>
    <xf numFmtId="0" fontId="31" fillId="4" borderId="4" xfId="0" applyFont="1" applyFill="1" applyBorder="1" applyAlignment="1" applyProtection="1">
      <alignment vertical="center" wrapText="1"/>
      <protection locked="0"/>
    </xf>
    <xf numFmtId="0" fontId="31" fillId="4" borderId="5" xfId="0" applyFont="1" applyFill="1" applyBorder="1" applyAlignment="1" applyProtection="1">
      <alignment vertical="center" wrapText="1"/>
      <protection locked="0"/>
    </xf>
    <xf numFmtId="0" fontId="31" fillId="4" borderId="19" xfId="0" applyFont="1" applyFill="1" applyBorder="1" applyAlignment="1" applyProtection="1">
      <alignment vertical="center" wrapText="1"/>
      <protection locked="0"/>
    </xf>
    <xf numFmtId="0" fontId="31" fillId="4" borderId="17" xfId="0" applyFont="1" applyFill="1" applyBorder="1" applyAlignment="1" applyProtection="1">
      <alignment vertical="center" wrapText="1"/>
      <protection locked="0"/>
    </xf>
    <xf numFmtId="0" fontId="31" fillId="4" borderId="23" xfId="0" applyFont="1" applyFill="1" applyBorder="1" applyAlignment="1" applyProtection="1">
      <alignment vertical="center" wrapText="1"/>
      <protection locked="0"/>
    </xf>
    <xf numFmtId="0" fontId="11" fillId="22" borderId="21" xfId="0" applyFont="1" applyFill="1" applyBorder="1" applyAlignment="1" applyProtection="1">
      <alignment horizontal="center" vertical="center" wrapText="1"/>
      <protection locked="0"/>
    </xf>
    <xf numFmtId="0" fontId="11" fillId="22" borderId="1" xfId="0" applyFont="1" applyFill="1" applyBorder="1" applyAlignment="1" applyProtection="1">
      <alignment horizontal="center" vertical="center" wrapText="1"/>
      <protection locked="0"/>
    </xf>
    <xf numFmtId="0" fontId="11" fillId="19" borderId="19" xfId="0" applyFont="1" applyFill="1" applyBorder="1" applyAlignment="1" applyProtection="1">
      <alignment horizontal="center" vertical="center"/>
      <protection locked="0"/>
    </xf>
    <xf numFmtId="0" fontId="11" fillId="19" borderId="16" xfId="0" applyFont="1" applyFill="1" applyBorder="1" applyAlignment="1" applyProtection="1">
      <alignment horizontal="center" vertical="center"/>
      <protection locked="0"/>
    </xf>
    <xf numFmtId="0" fontId="0" fillId="21" borderId="21" xfId="0" applyFill="1" applyBorder="1" applyAlignment="1" applyProtection="1">
      <alignment horizontal="center" vertical="center" wrapText="1"/>
      <protection locked="0"/>
    </xf>
    <xf numFmtId="0" fontId="0" fillId="21" borderId="1" xfId="0" applyFill="1" applyBorder="1" applyAlignment="1" applyProtection="1">
      <alignment horizontal="center" vertical="center" wrapText="1"/>
      <protection locked="0"/>
    </xf>
  </cellXfs>
  <cellStyles count="6">
    <cellStyle name="Comma" xfId="2" builtinId="3"/>
    <cellStyle name="Comma 2" xfId="5" xr:uid="{00000000-0005-0000-0000-000032000000}"/>
    <cellStyle name="Hyperlink" xfId="3" builtinId="8"/>
    <cellStyle name="Normal" xfId="0" builtinId="0"/>
    <cellStyle name="Normal 2" xfId="4" xr:uid="{00000000-0005-0000-0000-000003000000}"/>
    <cellStyle name="Percent" xfId="1" builtinId="5"/>
  </cellStyles>
  <dxfs count="0"/>
  <tableStyles count="0" defaultTableStyle="TableStyleMedium2" defaultPivotStyle="PivotStyleLight16"/>
  <colors>
    <mruColors>
      <color rgb="FFA6A6A6"/>
      <color rgb="FF8294FB"/>
      <color rgb="FF6E6E6E"/>
      <color rgb="FFD9D9D9"/>
      <color rgb="FFE4DFEC"/>
      <color rgb="FFE8D4F7"/>
      <color rgb="FF04198F"/>
      <color rgb="FFB1A0C7"/>
      <color rgb="FFFF5050"/>
      <color rgb="FF1F497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5" Type="http://schemas.openxmlformats.org/officeDocument/2006/relationships/customXml" Target="../customXml/item5.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28575</xdr:colOff>
      <xdr:row>0</xdr:row>
      <xdr:rowOff>66675</xdr:rowOff>
    </xdr:from>
    <xdr:to>
      <xdr:col>1</xdr:col>
      <xdr:colOff>257175</xdr:colOff>
      <xdr:row>3</xdr:row>
      <xdr:rowOff>63776</xdr:rowOff>
    </xdr:to>
    <xdr:pic>
      <xdr:nvPicPr>
        <xdr:cNvPr id="3" name="Picture 2">
          <a:extLst>
            <a:ext uri="{FF2B5EF4-FFF2-40B4-BE49-F238E27FC236}">
              <a16:creationId xmlns:a16="http://schemas.microsoft.com/office/drawing/2014/main" id="{1C73C052-3430-4448-BFB0-E639B064550D}"/>
            </a:ext>
          </a:extLst>
        </xdr:cNvPr>
        <xdr:cNvPicPr>
          <a:picLocks noChangeAspect="1"/>
        </xdr:cNvPicPr>
      </xdr:nvPicPr>
      <xdr:blipFill>
        <a:blip xmlns:r="http://schemas.openxmlformats.org/officeDocument/2006/relationships" r:embed="rId1"/>
        <a:stretch>
          <a:fillRect/>
        </a:stretch>
      </xdr:blipFill>
      <xdr:spPr>
        <a:xfrm>
          <a:off x="28575" y="66675"/>
          <a:ext cx="1530350" cy="657501"/>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prodmeteorfs.gf.theglobalfund.org/UserDocuments/CBrewer/Documents/Offline%20Templates/Modifications/Modular%20Template/ModularTemplate_20141203_CB.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cept Note"/>
      <sheetName val="Instructiones ES"/>
      <sheetName val="Instructions  FR"/>
      <sheetName val="Instructions EN"/>
      <sheetName val="инструкции RU"/>
      <sheetName val="Chg log"/>
      <sheetName val="Instructions"/>
      <sheetName val="Framework"/>
      <sheetName val="Summary budget"/>
      <sheetName val="Target assumptions - optional"/>
      <sheetName val="Cost assumptions - optional"/>
      <sheetName val="CatCmp"/>
      <sheetName val="CatModules"/>
      <sheetName val="CatInt"/>
      <sheetName val="CatImpact"/>
      <sheetName val="CatOutcome"/>
      <sheetName val="CatCoverage"/>
      <sheetName val="CatDataSrc"/>
      <sheetName val="Ctry-notMulti"/>
      <sheetName val="Definitions"/>
      <sheetName val="Translations"/>
      <sheetName val="$Ranges$"/>
      <sheetName val="$Meta$"/>
      <sheetName val="ModInCmp"/>
      <sheetName val="ImpactInCmp"/>
      <sheetName val="DataSrcInCmp"/>
      <sheetName val="OutcomeInCmp"/>
      <sheetName val="Cover Sheet"/>
      <sheetName val="TB Tables"/>
      <sheetName val="HIV Tables"/>
      <sheetName val="NSP gap table"/>
      <sheetName val="PrEP gap table"/>
      <sheetName val="Condom gap table"/>
      <sheetName val="Male Circumcision Gap Table"/>
      <sheetName val="Blank table (only if needed)"/>
      <sheetName val="TB drop-down"/>
      <sheetName val="TranslationsTB"/>
      <sheetName val="HIV dropdown"/>
    </sheetNames>
    <sheetDataSet>
      <sheetData sheetId="0">
        <row r="10">
          <cell r="C10" t="str">
            <v>HIV/AIDS</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sheetData sheetId="28"/>
      <sheetData sheetId="29"/>
      <sheetData sheetId="30"/>
      <sheetData sheetId="31"/>
      <sheetData sheetId="32"/>
      <sheetData sheetId="33"/>
      <sheetData sheetId="34"/>
      <sheetData sheetId="35"/>
      <sheetData sheetId="36"/>
      <sheetData sheetId="3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hyperlink" Target="https://jointsiwg.unaids.org/publications/" TargetMode="External"/><Relationship Id="rId2" Type="http://schemas.openxmlformats.org/officeDocument/2006/relationships/hyperlink" Target="https://jointsiwg.unaids.org/publications/" TargetMode="External"/><Relationship Id="rId1" Type="http://schemas.openxmlformats.org/officeDocument/2006/relationships/hyperlink" Target="https://jointsiwg.unaids.org/publications/" TargetMode="External"/><Relationship Id="rId4"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hyperlink" Target="https://hivpreventioncoalition.unaids.org/resource/condom-needs-and-resource-requirement-estimation-tool/" TargetMode="External"/><Relationship Id="rId2" Type="http://schemas.openxmlformats.org/officeDocument/2006/relationships/hyperlink" Target="https://hivpreventioncoalition.unaids.org/resource/condom-needs-and-resource-requirement-estimation-tool/" TargetMode="External"/><Relationship Id="rId1" Type="http://schemas.openxmlformats.org/officeDocument/2006/relationships/hyperlink" Target="https://hivpreventioncoalition.unaids.org/resource/condom-needs-and-resource-requirement-estimation-tool/" TargetMode="External"/><Relationship Id="rId4"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8" Type="http://schemas.openxmlformats.org/officeDocument/2006/relationships/hyperlink" Target="https://www.theglobalfund.org/media/4765/core_hiv_infonote_en.pdf" TargetMode="External"/><Relationship Id="rId3" Type="http://schemas.openxmlformats.org/officeDocument/2006/relationships/hyperlink" Target="https://jointsiwg.unaids.org/publications/" TargetMode="External"/><Relationship Id="rId7" Type="http://schemas.openxmlformats.org/officeDocument/2006/relationships/hyperlink" Target="https://www.theglobalfund.org/media/4765/core_hiv_infonote_en.pdf" TargetMode="External"/><Relationship Id="rId2" Type="http://schemas.openxmlformats.org/officeDocument/2006/relationships/hyperlink" Target="https://www.unaids.org/en/resources/documents/2021/2021-2026-global-AIDS-strategy" TargetMode="External"/><Relationship Id="rId1" Type="http://schemas.openxmlformats.org/officeDocument/2006/relationships/hyperlink" Target="https://www.who.int/publications/i/item/WHO-UCN-TB-2021.8" TargetMode="External"/><Relationship Id="rId6" Type="http://schemas.openxmlformats.org/officeDocument/2006/relationships/hyperlink" Target="https://www.theglobalfund.org/media/4309/fundingmodel_modularframework_handbook_en.pdf" TargetMode="External"/><Relationship Id="rId5" Type="http://schemas.openxmlformats.org/officeDocument/2006/relationships/hyperlink" Target="https://www.theglobalfund.org/media/4762/core_tuberculosis_infonote_en.pdf" TargetMode="External"/><Relationship Id="rId4" Type="http://schemas.openxmlformats.org/officeDocument/2006/relationships/hyperlink" Target="https://hivpreventioncoalition.unaids.org/resource/condom-needs-and-resource-requirement-estimation-tool/" TargetMode="External"/><Relationship Id="rId9"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B1A0C7"/>
  </sheetPr>
  <dimension ref="A2:H10"/>
  <sheetViews>
    <sheetView tabSelected="1" zoomScale="90" zoomScaleNormal="90" workbookViewId="0">
      <selection activeCell="B10" sqref="B10"/>
    </sheetView>
  </sheetViews>
  <sheetFormatPr defaultColWidth="8.58203125" defaultRowHeight="14" x14ac:dyDescent="0.3"/>
  <cols>
    <col min="1" max="1" width="17.08203125" style="45" customWidth="1"/>
    <col min="2" max="2" width="27.08203125" style="45" customWidth="1"/>
    <col min="3" max="16384" width="8.58203125" style="45"/>
  </cols>
  <sheetData>
    <row r="2" spans="1:8" ht="23" x14ac:dyDescent="0.5">
      <c r="C2" s="66" t="s">
        <v>0</v>
      </c>
      <c r="H2" s="66" t="str">
        <f ca="1">TranslationsHIV!$G$118</f>
        <v>Latest version updated: 13 March 2023</v>
      </c>
    </row>
    <row r="5" spans="1:8" ht="34.5" customHeight="1" x14ac:dyDescent="0.3">
      <c r="A5" s="364" t="str">
        <f ca="1">TranslationsHIV!G108</f>
        <v>Please read the Instructions sheet carefully before completing the programmatic gap tables.</v>
      </c>
      <c r="B5" s="364"/>
      <c r="C5" s="364"/>
    </row>
    <row r="6" spans="1:8" ht="35.25" customHeight="1" x14ac:dyDescent="0.3">
      <c r="A6" s="364" t="str">
        <f ca="1">TranslationsHIV!G109</f>
        <v>To complete this cover sheet, select from the drop-down lists the Geography and Applicant Type.</v>
      </c>
      <c r="B6" s="364"/>
      <c r="C6" s="364"/>
    </row>
    <row r="8" spans="1:8" ht="14.5" x14ac:dyDescent="0.35">
      <c r="A8" s="101" t="str">
        <f ca="1">TranslationsHIV!G110</f>
        <v>Applicant</v>
      </c>
      <c r="B8" s="103" t="s">
        <v>630</v>
      </c>
    </row>
    <row r="9" spans="1:8" x14ac:dyDescent="0.3">
      <c r="A9" s="101" t="str">
        <f ca="1">TranslationsHIV!G111</f>
        <v>Component</v>
      </c>
      <c r="B9" s="104" t="str">
        <f ca="1">TranslationsHIV!A3</f>
        <v>TB/HIV</v>
      </c>
    </row>
    <row r="10" spans="1:8" ht="14.5" x14ac:dyDescent="0.35">
      <c r="A10" s="101" t="str">
        <f ca="1">TranslationsHIV!G112</f>
        <v>Applicant Type</v>
      </c>
      <c r="B10" s="103" t="s">
        <v>521</v>
      </c>
    </row>
  </sheetData>
  <sheetProtection algorithmName="SHA-512" hashValue="mFhZEAoTz6JfIq0S34Z4NAhQp6S7iRj/kU2l48wjH1lxDynGVv5fQtkuiYhzPS3rLOCNqg/ObokUCsy1k0vlPQ==" saltValue="1FT0wEkKd1MSOZcjCzUOgQ==" spinCount="100000" sheet="1" objects="1" scenarios="1"/>
  <mergeCells count="2">
    <mergeCell ref="A5:C5"/>
    <mergeCell ref="A6:C6"/>
  </mergeCells>
  <dataValidations count="1">
    <dataValidation type="list" allowBlank="1" showInputMessage="1" showErrorMessage="1" sqref="B10" xr:uid="{00000000-0002-0000-0100-000001000000}">
      <formula1>ApplicantType</formula1>
    </dataValidation>
  </dataValidations>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100-000000000000}">
          <x14:formula1>
            <xm:f>'HIV dropdown'!$Q$3:$Q$210</xm:f>
          </x14:formula1>
          <xm:sqref>B8</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A814C5-6544-4080-AEB9-531C62DA8CEB}">
  <sheetPr codeName="Sheet10">
    <tabColor rgb="FFFF5050"/>
    <pageSetUpPr fitToPage="1"/>
  </sheetPr>
  <dimension ref="A1:U112"/>
  <sheetViews>
    <sheetView view="pageBreakPreview" topLeftCell="A22" zoomScale="80" zoomScaleNormal="80" zoomScaleSheetLayoutView="80" zoomScalePageLayoutView="80" workbookViewId="0">
      <selection activeCell="F30" sqref="F30:F31"/>
    </sheetView>
  </sheetViews>
  <sheetFormatPr defaultColWidth="9" defaultRowHeight="14.5" x14ac:dyDescent="0.35"/>
  <cols>
    <col min="1" max="1" width="30.58203125" style="46" customWidth="1"/>
    <col min="2" max="2" width="11.58203125" style="46" customWidth="1"/>
    <col min="3" max="5" width="11.58203125" style="173" customWidth="1"/>
    <col min="6" max="6" width="68.33203125" style="46" customWidth="1"/>
    <col min="7" max="7" width="21.58203125" style="46" customWidth="1"/>
    <col min="8" max="8" width="9" style="46"/>
    <col min="9" max="9" width="10.08203125" style="46" customWidth="1"/>
    <col min="10" max="10" width="10.58203125" style="46" customWidth="1"/>
    <col min="11" max="11" width="12.08203125" style="46" customWidth="1"/>
    <col min="12" max="16384" width="9" style="46"/>
  </cols>
  <sheetData>
    <row r="1" spans="1:21" s="12" customFormat="1" ht="22" customHeight="1" x14ac:dyDescent="0.3">
      <c r="A1" s="421" t="s">
        <v>3</v>
      </c>
      <c r="B1" s="421"/>
      <c r="C1" s="421"/>
      <c r="D1" s="421"/>
      <c r="E1" s="421"/>
      <c r="F1" s="443" t="str">
        <f ca="1">TranslationsHIV!$G$118</f>
        <v>Latest version updated: 13 March 2023</v>
      </c>
      <c r="G1" s="3"/>
      <c r="H1" s="1"/>
      <c r="I1" s="1"/>
      <c r="J1" s="1"/>
      <c r="K1" s="1"/>
      <c r="L1" s="1"/>
      <c r="M1" s="1"/>
      <c r="N1" s="2"/>
      <c r="O1" s="2"/>
      <c r="P1" s="2"/>
      <c r="Q1" s="2"/>
      <c r="R1" s="2"/>
      <c r="S1" s="2"/>
      <c r="T1" s="2"/>
      <c r="U1" s="2"/>
    </row>
    <row r="2" spans="1:21" s="12" customFormat="1" ht="22" customHeight="1" x14ac:dyDescent="0.3">
      <c r="A2" s="421" t="s">
        <v>4</v>
      </c>
      <c r="B2" s="421"/>
      <c r="C2" s="421"/>
      <c r="D2" s="421"/>
      <c r="E2" s="421"/>
      <c r="F2" s="444"/>
      <c r="G2" s="3"/>
      <c r="H2" s="1"/>
      <c r="I2" s="1"/>
      <c r="J2" s="1"/>
      <c r="K2" s="1"/>
      <c r="L2" s="1"/>
      <c r="M2" s="1"/>
      <c r="N2" s="2"/>
      <c r="O2" s="2"/>
      <c r="P2" s="2"/>
      <c r="Q2" s="2"/>
      <c r="R2" s="2"/>
      <c r="S2" s="2"/>
      <c r="T2" s="2"/>
      <c r="U2" s="2"/>
    </row>
    <row r="3" spans="1:21" s="12" customFormat="1" ht="22" customHeight="1" x14ac:dyDescent="0.3">
      <c r="A3" s="421" t="s">
        <v>5</v>
      </c>
      <c r="B3" s="421"/>
      <c r="C3" s="421"/>
      <c r="D3" s="421"/>
      <c r="E3" s="421"/>
      <c r="F3" s="445"/>
      <c r="G3" s="3"/>
      <c r="H3" s="1"/>
      <c r="I3" s="1"/>
      <c r="J3" s="1"/>
      <c r="K3" s="1"/>
      <c r="L3" s="1"/>
      <c r="M3" s="1"/>
      <c r="N3" s="2"/>
      <c r="O3" s="2"/>
      <c r="P3" s="2"/>
      <c r="Q3" s="2"/>
      <c r="R3" s="2"/>
      <c r="S3" s="2"/>
      <c r="T3" s="2"/>
      <c r="U3" s="2"/>
    </row>
    <row r="4" spans="1:21" ht="46.5" customHeight="1" x14ac:dyDescent="0.35">
      <c r="A4" s="436" t="str">
        <f ca="1">TranslationsHIV!$G$116</f>
        <v xml:space="preserve">Carefully read the instructions in the "Instructions" tab before completing the programmatic gap analysis table. 
The instructions have been tailored to each specific module/intervention. </v>
      </c>
      <c r="B4" s="436"/>
      <c r="C4" s="436"/>
      <c r="D4" s="436"/>
      <c r="E4" s="436"/>
      <c r="F4" s="436"/>
      <c r="G4" s="88"/>
    </row>
    <row r="5" spans="1:21" ht="30" customHeight="1" thickBot="1" x14ac:dyDescent="0.4">
      <c r="A5" s="225" t="str">
        <f ca="1">TranslationsHIV!$A$135</f>
        <v>HIV Testing Programmatic Gap Table 1</v>
      </c>
      <c r="B5" s="226"/>
      <c r="C5" s="227"/>
      <c r="D5" s="228"/>
      <c r="E5" s="228"/>
      <c r="F5" s="229"/>
    </row>
    <row r="6" spans="1:21" ht="45" customHeight="1" x14ac:dyDescent="0.35">
      <c r="A6" s="217" t="str">
        <f ca="1">TranslationsHIV!$A$21</f>
        <v>Priority Module</v>
      </c>
      <c r="B6" s="440" t="str">
        <f ca="1">'HIV dropdown'!$A$14</f>
        <v>Differentiated HIV Testing Services</v>
      </c>
      <c r="C6" s="441"/>
      <c r="D6" s="441"/>
      <c r="E6" s="441"/>
      <c r="F6" s="442"/>
    </row>
    <row r="7" spans="1:21" ht="45" customHeight="1" x14ac:dyDescent="0.35">
      <c r="A7" s="138" t="str">
        <f ca="1">TranslationsHIV!$A$22</f>
        <v>Selected coverage indicator</v>
      </c>
      <c r="B7" s="446" t="s">
        <v>1137</v>
      </c>
      <c r="C7" s="447"/>
      <c r="D7" s="447"/>
      <c r="E7" s="447"/>
      <c r="F7" s="448"/>
    </row>
    <row r="8" spans="1:21" ht="17.5" customHeight="1" x14ac:dyDescent="0.35">
      <c r="A8" s="211" t="str">
        <f ca="1">TranslationsHIV!$A$24</f>
        <v>Current national coverage</v>
      </c>
      <c r="B8" s="212"/>
      <c r="C8" s="234"/>
      <c r="D8" s="234"/>
      <c r="E8" s="234"/>
      <c r="F8" s="213"/>
    </row>
    <row r="9" spans="1:21" ht="45" customHeight="1" x14ac:dyDescent="0.35">
      <c r="A9" s="131" t="str">
        <f ca="1">TranslationsHIV!$A$25</f>
        <v>Insert latest results</v>
      </c>
      <c r="B9" s="222">
        <f>65961/306251.700680272</f>
        <v>0.21538166107643447</v>
      </c>
      <c r="C9" s="155" t="str">
        <f ca="1">TranslationsHIV!$A$26</f>
        <v>Year</v>
      </c>
      <c r="D9" s="215">
        <v>2021</v>
      </c>
      <c r="E9" s="155" t="str">
        <f ca="1">TranslationsHIV!$A$27</f>
        <v>Data source</v>
      </c>
      <c r="F9" s="18" t="s">
        <v>1723</v>
      </c>
    </row>
    <row r="10" spans="1:21" ht="45" customHeight="1" x14ac:dyDescent="0.35">
      <c r="A10" s="230" t="str">
        <f ca="1">TranslationsHIV!$A$28</f>
        <v>Comments</v>
      </c>
      <c r="B10" s="437" t="s">
        <v>1739</v>
      </c>
      <c r="C10" s="451"/>
      <c r="D10" s="451"/>
      <c r="E10" s="451"/>
      <c r="F10" s="439"/>
    </row>
    <row r="11" spans="1:21" ht="45" customHeight="1" x14ac:dyDescent="0.35">
      <c r="A11" s="463"/>
      <c r="B11" s="465"/>
      <c r="C11" s="155" t="str">
        <f ca="1">TranslationsHIV!$A$29</f>
        <v>Year 1</v>
      </c>
      <c r="D11" s="155" t="str">
        <f ca="1">TranslationsHIV!$A$30</f>
        <v>Year 2</v>
      </c>
      <c r="E11" s="155" t="str">
        <f ca="1">TranslationsHIV!$A$31</f>
        <v>Year 3</v>
      </c>
      <c r="F11" s="452" t="str">
        <f ca="1">TranslationsHIV!$A$34</f>
        <v>Comments / Assumptions</v>
      </c>
    </row>
    <row r="12" spans="1:21" ht="45" customHeight="1" x14ac:dyDescent="0.35">
      <c r="A12" s="464"/>
      <c r="B12" s="466"/>
      <c r="C12" s="238">
        <v>2024</v>
      </c>
      <c r="D12" s="140">
        <v>2025</v>
      </c>
      <c r="E12" s="140">
        <v>2026</v>
      </c>
      <c r="F12" s="453"/>
    </row>
    <row r="13" spans="1:21" ht="17.5" customHeight="1" x14ac:dyDescent="0.35">
      <c r="A13" s="211" t="str">
        <f ca="1">TranslationsHIV!$A$35</f>
        <v>Current estimated country need</v>
      </c>
      <c r="B13" s="212"/>
      <c r="C13" s="150"/>
      <c r="D13" s="150"/>
      <c r="E13" s="150"/>
      <c r="F13" s="213"/>
    </row>
    <row r="14" spans="1:21" ht="45" customHeight="1" x14ac:dyDescent="0.35">
      <c r="A14" s="231" t="str">
        <f ca="1">TranslationsHIV!$A$138</f>
        <v>A. Total estimated number of people in the specified key and vulnerable population</v>
      </c>
      <c r="B14" s="199" t="s">
        <v>8</v>
      </c>
      <c r="C14" s="328">
        <v>333676</v>
      </c>
      <c r="D14" s="328">
        <v>343352</v>
      </c>
      <c r="E14" s="328">
        <v>353310</v>
      </c>
      <c r="F14" s="216" t="s">
        <v>1726</v>
      </c>
    </row>
    <row r="15" spans="1:21" ht="45" customHeight="1" x14ac:dyDescent="0.35">
      <c r="A15" s="402" t="str">
        <f ca="1">TranslationsHIV!$A$109</f>
        <v>B1. Global targets as per the Global AIDS Strategy</v>
      </c>
      <c r="B15" s="200" t="s">
        <v>8</v>
      </c>
      <c r="C15" s="332">
        <f>IF(C14="","",(C16*C14))</f>
        <v>316992.2</v>
      </c>
      <c r="D15" s="332">
        <f t="shared" ref="D15:E15" si="0">IF(D14="","",(D16*D14))</f>
        <v>326184.39999999997</v>
      </c>
      <c r="E15" s="332">
        <f t="shared" si="0"/>
        <v>335644.5</v>
      </c>
      <c r="F15" s="420"/>
    </row>
    <row r="16" spans="1:21" ht="45" customHeight="1" x14ac:dyDescent="0.35">
      <c r="A16" s="402"/>
      <c r="B16" s="200" t="s">
        <v>9</v>
      </c>
      <c r="C16" s="327">
        <f>95/100</f>
        <v>0.95</v>
      </c>
      <c r="D16" s="327">
        <f t="shared" ref="D16:E16" si="1">95/100</f>
        <v>0.95</v>
      </c>
      <c r="E16" s="327">
        <f t="shared" si="1"/>
        <v>0.95</v>
      </c>
      <c r="F16" s="426"/>
    </row>
    <row r="17" spans="1:6" ht="45" customHeight="1" x14ac:dyDescent="0.35">
      <c r="A17" s="419" t="str">
        <f ca="1">TranslationsHIV!$A$122</f>
        <v>B2. Country targets</v>
      </c>
      <c r="B17" s="200" t="s">
        <v>8</v>
      </c>
      <c r="C17" s="328">
        <v>300308</v>
      </c>
      <c r="D17" s="328">
        <v>319318</v>
      </c>
      <c r="E17" s="328">
        <v>335644</v>
      </c>
      <c r="F17" s="232" t="s">
        <v>1727</v>
      </c>
    </row>
    <row r="18" spans="1:6" ht="45" customHeight="1" x14ac:dyDescent="0.35">
      <c r="A18" s="425"/>
      <c r="B18" s="200" t="s">
        <v>9</v>
      </c>
      <c r="C18" s="190">
        <f>IF(C17=0,"",+C17/C14)</f>
        <v>0.89999880123233311</v>
      </c>
      <c r="D18" s="190">
        <f>IF(D17=0,"",+D17/D14)</f>
        <v>0.93000186397632745</v>
      </c>
      <c r="E18" s="190">
        <f>IF(E17=0,"",+E17/E14)</f>
        <v>0.94999858481220456</v>
      </c>
      <c r="F18" s="232"/>
    </row>
    <row r="19" spans="1:6" ht="17.5" customHeight="1" x14ac:dyDescent="0.35">
      <c r="A19" s="211" t="str">
        <f ca="1">TranslationsHIV!$A$38</f>
        <v>Country need to meet global targets already covered</v>
      </c>
      <c r="B19" s="212"/>
      <c r="C19" s="150"/>
      <c r="D19" s="150"/>
      <c r="E19" s="150"/>
      <c r="F19" s="213"/>
    </row>
    <row r="20" spans="1:6" ht="45" customHeight="1" x14ac:dyDescent="0.35">
      <c r="A20" s="419" t="str">
        <f ca="1">TranslationsHIV!$A$39</f>
        <v>C1. Global target planned to be covered by domestic resources</v>
      </c>
      <c r="B20" s="199" t="s">
        <v>8</v>
      </c>
      <c r="C20" s="328">
        <v>6674</v>
      </c>
      <c r="D20" s="328">
        <v>10301</v>
      </c>
      <c r="E20" s="328">
        <v>17665</v>
      </c>
      <c r="F20" s="420" t="s">
        <v>1728</v>
      </c>
    </row>
    <row r="21" spans="1:6" ht="45" customHeight="1" x14ac:dyDescent="0.35">
      <c r="A21" s="425"/>
      <c r="B21" s="199" t="s">
        <v>9</v>
      </c>
      <c r="C21" s="190">
        <f>IF(C20=0,"",+C20/C15)</f>
        <v>2.1054145811789691E-2</v>
      </c>
      <c r="D21" s="190">
        <f t="shared" ref="D21:E21" si="2">IF(D20=0,"",+D20/D15)</f>
        <v>3.1580296298658064E-2</v>
      </c>
      <c r="E21" s="190">
        <f t="shared" si="2"/>
        <v>5.2630089276004821E-2</v>
      </c>
      <c r="F21" s="426"/>
    </row>
    <row r="22" spans="1:6" ht="45" customHeight="1" x14ac:dyDescent="0.35">
      <c r="A22" s="419" t="str">
        <f ca="1">TranslationsHIV!$A$40</f>
        <v>C2. Global target planned to be covered by external resources</v>
      </c>
      <c r="B22" s="199" t="s">
        <v>8</v>
      </c>
      <c r="C22" s="329">
        <v>76443.141631305029</v>
      </c>
      <c r="D22" s="329">
        <v>97071.930510361883</v>
      </c>
      <c r="E22" s="329">
        <v>118532.1651859729</v>
      </c>
      <c r="F22" s="233" t="s">
        <v>1740</v>
      </c>
    </row>
    <row r="23" spans="1:6" ht="45" customHeight="1" x14ac:dyDescent="0.35">
      <c r="A23" s="425"/>
      <c r="B23" s="199" t="s">
        <v>9</v>
      </c>
      <c r="C23" s="190">
        <f>IF(C22=0,"",+C22/C15)</f>
        <v>0.24115149089253624</v>
      </c>
      <c r="D23" s="190">
        <f t="shared" ref="D23:E23" si="3">IF(D22=0,"",+D22/D15)</f>
        <v>0.29759832325016738</v>
      </c>
      <c r="E23" s="190">
        <f t="shared" si="3"/>
        <v>0.35314794428621027</v>
      </c>
      <c r="F23" s="119"/>
    </row>
    <row r="24" spans="1:6" ht="45" customHeight="1" x14ac:dyDescent="0.35">
      <c r="A24" s="419" t="str">
        <f ca="1">TranslationsHIV!$A$41</f>
        <v>C3. Total global target already covered</v>
      </c>
      <c r="B24" s="199" t="s">
        <v>8</v>
      </c>
      <c r="C24" s="330">
        <f>C20+C22</f>
        <v>83117.141631305029</v>
      </c>
      <c r="D24" s="330">
        <f t="shared" ref="D24:E24" si="4">D20+D22</f>
        <v>107372.93051036188</v>
      </c>
      <c r="E24" s="330">
        <f t="shared" si="4"/>
        <v>136197.1651859729</v>
      </c>
      <c r="F24" s="232"/>
    </row>
    <row r="25" spans="1:6" ht="45" customHeight="1" x14ac:dyDescent="0.35">
      <c r="A25" s="425"/>
      <c r="B25" s="199" t="s">
        <v>9</v>
      </c>
      <c r="C25" s="190">
        <f>IF(C24=0,"",C24/C15)</f>
        <v>0.26220563670432595</v>
      </c>
      <c r="D25" s="190">
        <f t="shared" ref="D25:E25" si="5">IF(D24=0,"",D24/D15)</f>
        <v>0.32917861954882544</v>
      </c>
      <c r="E25" s="190">
        <f t="shared" si="5"/>
        <v>0.40577803356221509</v>
      </c>
      <c r="F25" s="232"/>
    </row>
    <row r="26" spans="1:6" ht="17.5" customHeight="1" x14ac:dyDescent="0.35">
      <c r="A26" s="211" t="str">
        <f ca="1">TranslationsHIV!$A$42</f>
        <v>Programmatic gap</v>
      </c>
      <c r="B26" s="212"/>
      <c r="C26" s="150"/>
      <c r="D26" s="150"/>
      <c r="E26" s="150"/>
      <c r="F26" s="213"/>
    </row>
    <row r="27" spans="1:6" ht="45" customHeight="1" x14ac:dyDescent="0.35">
      <c r="A27" s="419" t="str">
        <f ca="1">TranslationsHIV!$A$43</f>
        <v>D. Expected annual gap in meeting the need: B1 - C3</v>
      </c>
      <c r="B27" s="199" t="s">
        <v>8</v>
      </c>
      <c r="C27" s="189">
        <f>IF(C24=0,C15,C15-(C24))</f>
        <v>233875.05836869497</v>
      </c>
      <c r="D27" s="189">
        <f t="shared" ref="D27:E27" si="6">IF(D24=0,D15,D15-(D24))</f>
        <v>218811.46948963808</v>
      </c>
      <c r="E27" s="189">
        <f t="shared" si="6"/>
        <v>199447.3348140271</v>
      </c>
      <c r="F27" s="420"/>
    </row>
    <row r="28" spans="1:6" ht="45" customHeight="1" x14ac:dyDescent="0.35">
      <c r="A28" s="425"/>
      <c r="B28" s="199" t="s">
        <v>9</v>
      </c>
      <c r="C28" s="190">
        <f>IF(C27="","",+C27/C15)</f>
        <v>0.73779436329567405</v>
      </c>
      <c r="D28" s="190">
        <f t="shared" ref="D28:E28" si="7">IF(D27="","",+D27/D15)</f>
        <v>0.67082138045117456</v>
      </c>
      <c r="E28" s="190">
        <f t="shared" si="7"/>
        <v>0.59422196643778491</v>
      </c>
      <c r="F28" s="426"/>
    </row>
    <row r="29" spans="1:6" ht="17.5" customHeight="1" x14ac:dyDescent="0.35">
      <c r="A29" s="211" t="str">
        <f ca="1">TranslationsHIV!$A$44</f>
        <v>Country need to meet global targets covered with the allocation amount</v>
      </c>
      <c r="B29" s="212"/>
      <c r="C29" s="150"/>
      <c r="D29" s="150"/>
      <c r="E29" s="150"/>
      <c r="F29" s="213"/>
    </row>
    <row r="30" spans="1:6" ht="45" customHeight="1" x14ac:dyDescent="0.35">
      <c r="A30" s="419" t="str">
        <f ca="1">TranslationsHIV!$A$45</f>
        <v>E. Targets to be financed by allocation amount</v>
      </c>
      <c r="B30" s="200" t="s">
        <v>8</v>
      </c>
      <c r="C30" s="328">
        <v>103741.85836869497</v>
      </c>
      <c r="D30" s="328">
        <v>126450.06948963812</v>
      </c>
      <c r="E30" s="328">
        <v>149982.8348140271</v>
      </c>
      <c r="F30" s="420" t="s">
        <v>1804</v>
      </c>
    </row>
    <row r="31" spans="1:6" ht="45" customHeight="1" x14ac:dyDescent="0.35">
      <c r="A31" s="425"/>
      <c r="B31" s="200" t="s">
        <v>9</v>
      </c>
      <c r="C31" s="190">
        <f>IF(C30=0,"",+C30/C15)</f>
        <v>0.3272694355529725</v>
      </c>
      <c r="D31" s="190">
        <f t="shared" ref="D31:E31" si="8">IF(D30=0,"",+D30/D15)</f>
        <v>0.38766436865048765</v>
      </c>
      <c r="E31" s="190">
        <f t="shared" si="8"/>
        <v>0.44685026810815343</v>
      </c>
      <c r="F31" s="426"/>
    </row>
    <row r="32" spans="1:6" ht="45" customHeight="1" x14ac:dyDescent="0.35">
      <c r="A32" s="419" t="str">
        <f ca="1">TranslationsHIV!$A$46</f>
        <v>F. Coverage from allocation amount and other resources: E + C3</v>
      </c>
      <c r="B32" s="200" t="s">
        <v>8</v>
      </c>
      <c r="C32" s="189">
        <f>IF(C24="",C30,C30+C24)</f>
        <v>186859</v>
      </c>
      <c r="D32" s="189">
        <f t="shared" ref="D32:E32" si="9">IF(D24="",D30,D30+D24)</f>
        <v>233823</v>
      </c>
      <c r="E32" s="189">
        <f t="shared" si="9"/>
        <v>286180</v>
      </c>
      <c r="F32" s="420"/>
    </row>
    <row r="33" spans="1:6" ht="45" customHeight="1" x14ac:dyDescent="0.35">
      <c r="A33" s="425"/>
      <c r="B33" s="200" t="s">
        <v>9</v>
      </c>
      <c r="C33" s="190">
        <f>IF(C32=0,"",+C32/C15)</f>
        <v>0.58947507225729845</v>
      </c>
      <c r="D33" s="190">
        <f t="shared" ref="D33:E33" si="10">IF(D32=0,"",+D32/D15)</f>
        <v>0.71684298819931314</v>
      </c>
      <c r="E33" s="190">
        <f t="shared" si="10"/>
        <v>0.85262830167036852</v>
      </c>
      <c r="F33" s="426"/>
    </row>
    <row r="34" spans="1:6" ht="45" customHeight="1" x14ac:dyDescent="0.35">
      <c r="A34" s="419" t="str">
        <f ca="1">TranslationsHIV!$A$47</f>
        <v xml:space="preserve">G. Remaining gap: B1 - F </v>
      </c>
      <c r="B34" s="200" t="s">
        <v>8</v>
      </c>
      <c r="C34" s="189">
        <f>IF(C32=0,"",C15-(C32))</f>
        <v>130133.20000000001</v>
      </c>
      <c r="D34" s="189">
        <f t="shared" ref="D34:E34" si="11">IF(D32=0,"",D15-(D32))</f>
        <v>92361.399999999965</v>
      </c>
      <c r="E34" s="189">
        <f t="shared" si="11"/>
        <v>49464.5</v>
      </c>
      <c r="F34" s="420"/>
    </row>
    <row r="35" spans="1:6" ht="45" customHeight="1" x14ac:dyDescent="0.35">
      <c r="A35" s="425"/>
      <c r="B35" s="200" t="s">
        <v>9</v>
      </c>
      <c r="C35" s="190">
        <f>IF(C34="","",C34/C15)</f>
        <v>0.41052492774270155</v>
      </c>
      <c r="D35" s="190">
        <f t="shared" ref="D35:E35" si="12">IF(D34="","",D34/D15)</f>
        <v>0.28315701180068692</v>
      </c>
      <c r="E35" s="190">
        <f t="shared" si="12"/>
        <v>0.14737169832963151</v>
      </c>
      <c r="F35" s="426"/>
    </row>
    <row r="36" spans="1:6" x14ac:dyDescent="0.35">
      <c r="A36" s="141"/>
      <c r="B36" s="141"/>
      <c r="C36" s="172"/>
      <c r="D36" s="172"/>
      <c r="E36" s="172"/>
      <c r="F36" s="141"/>
    </row>
    <row r="37" spans="1:6" x14ac:dyDescent="0.35">
      <c r="A37" s="141"/>
      <c r="B37" s="141"/>
      <c r="C37" s="172"/>
      <c r="D37" s="172"/>
      <c r="E37" s="172"/>
      <c r="F37" s="141"/>
    </row>
    <row r="38" spans="1:6" ht="30" customHeight="1" thickBot="1" x14ac:dyDescent="0.4">
      <c r="A38" s="225" t="str">
        <f ca="1">TranslationsHIV!$A$136</f>
        <v>HIV Testing Programmatic Gap Table 2</v>
      </c>
      <c r="B38" s="226"/>
      <c r="C38" s="227"/>
      <c r="D38" s="228"/>
      <c r="E38" s="228"/>
      <c r="F38" s="229"/>
    </row>
    <row r="39" spans="1:6" ht="45" customHeight="1" x14ac:dyDescent="0.35">
      <c r="A39" s="217" t="str">
        <f ca="1">TranslationsHIV!$A$21</f>
        <v>Priority Module</v>
      </c>
      <c r="B39" s="440" t="str">
        <f ca="1">'HIV dropdown'!$A$14</f>
        <v>Differentiated HIV Testing Services</v>
      </c>
      <c r="C39" s="441"/>
      <c r="D39" s="441"/>
      <c r="E39" s="441"/>
      <c r="F39" s="442"/>
    </row>
    <row r="40" spans="1:6" ht="45" customHeight="1" x14ac:dyDescent="0.35">
      <c r="A40" s="138" t="str">
        <f ca="1">TranslationsHIV!$A$22</f>
        <v>Selected coverage indicator</v>
      </c>
      <c r="B40" s="446" t="s">
        <v>1135</v>
      </c>
      <c r="C40" s="447"/>
      <c r="D40" s="447"/>
      <c r="E40" s="447"/>
      <c r="F40" s="448"/>
    </row>
    <row r="41" spans="1:6" ht="17.5" customHeight="1" thickBot="1" x14ac:dyDescent="0.4">
      <c r="A41" s="211" t="str">
        <f ca="1">TranslationsHIV!$A$24</f>
        <v>Current national coverage</v>
      </c>
      <c r="B41" s="212"/>
      <c r="C41" s="150"/>
      <c r="D41" s="150"/>
      <c r="E41" s="150"/>
      <c r="F41" s="213"/>
    </row>
    <row r="42" spans="1:6" ht="45" customHeight="1" x14ac:dyDescent="0.35">
      <c r="A42" s="131" t="str">
        <f ca="1">TranslationsHIV!$A$25</f>
        <v>Insert latest results</v>
      </c>
      <c r="B42" s="87">
        <f>32538/120556.851311953</f>
        <v>0.26989755991390857</v>
      </c>
      <c r="C42" s="151" t="str">
        <f ca="1">TranslationsHIV!$A$26</f>
        <v>Year</v>
      </c>
      <c r="D42" s="215">
        <v>2021</v>
      </c>
      <c r="E42" s="151" t="str">
        <f ca="1">TranslationsHIV!$A$27</f>
        <v>Data source</v>
      </c>
      <c r="F42" s="18" t="s">
        <v>1723</v>
      </c>
    </row>
    <row r="43" spans="1:6" ht="45" customHeight="1" x14ac:dyDescent="0.35">
      <c r="A43" s="230" t="str">
        <f ca="1">TranslationsHIV!$A$28</f>
        <v>Comments</v>
      </c>
      <c r="B43" s="437" t="s">
        <v>1741</v>
      </c>
      <c r="C43" s="451"/>
      <c r="D43" s="451"/>
      <c r="E43" s="451"/>
      <c r="F43" s="439"/>
    </row>
    <row r="44" spans="1:6" ht="45" customHeight="1" x14ac:dyDescent="0.35">
      <c r="A44" s="463"/>
      <c r="B44" s="465"/>
      <c r="C44" s="155" t="str">
        <f ca="1">TranslationsHIV!$A$29</f>
        <v>Year 1</v>
      </c>
      <c r="D44" s="155" t="str">
        <f ca="1">TranslationsHIV!$A$30</f>
        <v>Year 2</v>
      </c>
      <c r="E44" s="155" t="str">
        <f ca="1">TranslationsHIV!$A$31</f>
        <v>Year 3</v>
      </c>
      <c r="F44" s="452" t="str">
        <f ca="1">TranslationsHIV!$A$34</f>
        <v>Comments / Assumptions</v>
      </c>
    </row>
    <row r="45" spans="1:6" ht="45" customHeight="1" x14ac:dyDescent="0.35">
      <c r="A45" s="464"/>
      <c r="B45" s="466"/>
      <c r="C45" s="238">
        <v>2024</v>
      </c>
      <c r="D45" s="140">
        <v>2025</v>
      </c>
      <c r="E45" s="140">
        <v>2026</v>
      </c>
      <c r="F45" s="453"/>
    </row>
    <row r="46" spans="1:6" ht="17.5" customHeight="1" x14ac:dyDescent="0.35">
      <c r="A46" s="211" t="str">
        <f ca="1">TranslationsHIV!$A$35</f>
        <v>Current estimated country need</v>
      </c>
      <c r="B46" s="212"/>
      <c r="C46" s="150"/>
      <c r="D46" s="150"/>
      <c r="E46" s="150"/>
      <c r="F46" s="213"/>
    </row>
    <row r="47" spans="1:6" ht="45" customHeight="1" x14ac:dyDescent="0.35">
      <c r="A47" s="231" t="str">
        <f ca="1">TranslationsHIV!$A$138</f>
        <v>A. Total estimated number of people in the specified key and vulnerable population</v>
      </c>
      <c r="B47" s="199" t="s">
        <v>8</v>
      </c>
      <c r="C47" s="328">
        <v>131352</v>
      </c>
      <c r="D47" s="328">
        <v>135161</v>
      </c>
      <c r="E47" s="328">
        <v>139081</v>
      </c>
      <c r="F47" s="216" t="s">
        <v>1730</v>
      </c>
    </row>
    <row r="48" spans="1:6" ht="45" customHeight="1" x14ac:dyDescent="0.35">
      <c r="A48" s="402" t="str">
        <f ca="1">TranslationsHIV!$A$109</f>
        <v>B1. Global targets as per the Global AIDS Strategy</v>
      </c>
      <c r="B48" s="200" t="s">
        <v>8</v>
      </c>
      <c r="C48" s="332">
        <f>IF(C47="","",(C49*C47))</f>
        <v>124784.4</v>
      </c>
      <c r="D48" s="332">
        <f t="shared" ref="D48:E48" si="13">IF(D47="","",(D49*D47))</f>
        <v>128402.95</v>
      </c>
      <c r="E48" s="332">
        <f t="shared" si="13"/>
        <v>132126.94999999998</v>
      </c>
      <c r="F48" s="420"/>
    </row>
    <row r="49" spans="1:6" ht="45" customHeight="1" x14ac:dyDescent="0.35">
      <c r="A49" s="402"/>
      <c r="B49" s="200" t="s">
        <v>9</v>
      </c>
      <c r="C49" s="327">
        <f>95/100</f>
        <v>0.95</v>
      </c>
      <c r="D49" s="327">
        <f t="shared" ref="D49:E49" si="14">95/100</f>
        <v>0.95</v>
      </c>
      <c r="E49" s="327">
        <f t="shared" si="14"/>
        <v>0.95</v>
      </c>
      <c r="F49" s="426"/>
    </row>
    <row r="50" spans="1:6" ht="45" customHeight="1" x14ac:dyDescent="0.35">
      <c r="A50" s="419" t="str">
        <f ca="1">TranslationsHIV!$A$122</f>
        <v>B2. Country targets</v>
      </c>
      <c r="B50" s="200" t="s">
        <v>8</v>
      </c>
      <c r="C50" s="328">
        <v>118217</v>
      </c>
      <c r="D50" s="328">
        <v>125700</v>
      </c>
      <c r="E50" s="328">
        <v>132127</v>
      </c>
      <c r="F50" s="232" t="s">
        <v>1742</v>
      </c>
    </row>
    <row r="51" spans="1:6" ht="45" customHeight="1" x14ac:dyDescent="0.35">
      <c r="A51" s="425"/>
      <c r="B51" s="200" t="s">
        <v>9</v>
      </c>
      <c r="C51" s="190">
        <f>IF(C50=0,"",+C50/C47)</f>
        <v>0.90000152262622568</v>
      </c>
      <c r="D51" s="190">
        <f>IF(D50=0,"",+D50/D47)</f>
        <v>0.93000199761765601</v>
      </c>
      <c r="E51" s="190">
        <f>IF(E50=0,"",+E50/E47)</f>
        <v>0.95000035950273587</v>
      </c>
      <c r="F51" s="232"/>
    </row>
    <row r="52" spans="1:6" ht="17.5" customHeight="1" x14ac:dyDescent="0.35">
      <c r="A52" s="211" t="str">
        <f ca="1">TranslationsHIV!$A$38</f>
        <v>Country need to meet global targets already covered</v>
      </c>
      <c r="B52" s="212"/>
      <c r="C52" s="150"/>
      <c r="D52" s="150"/>
      <c r="E52" s="150"/>
      <c r="F52" s="213"/>
    </row>
    <row r="53" spans="1:6" ht="45" customHeight="1" x14ac:dyDescent="0.35">
      <c r="A53" s="419" t="str">
        <f ca="1">TranslationsHIV!$A$39</f>
        <v>C1. Global target planned to be covered by domestic resources</v>
      </c>
      <c r="B53" s="199" t="s">
        <v>8</v>
      </c>
      <c r="C53" s="328">
        <v>3941</v>
      </c>
      <c r="D53" s="328">
        <v>5406</v>
      </c>
      <c r="E53" s="328">
        <v>6954</v>
      </c>
      <c r="F53" s="420" t="s">
        <v>1731</v>
      </c>
    </row>
    <row r="54" spans="1:6" ht="45" customHeight="1" x14ac:dyDescent="0.35">
      <c r="A54" s="425"/>
      <c r="B54" s="199" t="s">
        <v>9</v>
      </c>
      <c r="C54" s="190">
        <f>IF(C53=0,"",+C53/C48)</f>
        <v>3.158247345020692E-2</v>
      </c>
      <c r="D54" s="190">
        <f t="shared" ref="D54:E54" si="15">IF(D53=0,"",+D53/D48)</f>
        <v>4.2101836445346465E-2</v>
      </c>
      <c r="E54" s="190">
        <f t="shared" si="15"/>
        <v>5.2631200523435992E-2</v>
      </c>
      <c r="F54" s="426"/>
    </row>
    <row r="55" spans="1:6" ht="45" customHeight="1" x14ac:dyDescent="0.35">
      <c r="A55" s="419" t="str">
        <f ca="1">TranslationsHIV!$A$40</f>
        <v>C2. Global target planned to be covered by external resources</v>
      </c>
      <c r="B55" s="199" t="s">
        <v>8</v>
      </c>
      <c r="C55" s="328">
        <v>48363.421112315002</v>
      </c>
      <c r="D55" s="328">
        <v>57570.411633981792</v>
      </c>
      <c r="E55" s="328">
        <f>66955.674812689-350</f>
        <v>66605.674812689002</v>
      </c>
      <c r="F55" s="233" t="s">
        <v>1743</v>
      </c>
    </row>
    <row r="56" spans="1:6" ht="45" customHeight="1" x14ac:dyDescent="0.35">
      <c r="A56" s="425"/>
      <c r="B56" s="199" t="s">
        <v>9</v>
      </c>
      <c r="C56" s="190">
        <f>IF(C55=0,"",+C55/C48)</f>
        <v>0.38757585974140202</v>
      </c>
      <c r="D56" s="190">
        <f t="shared" ref="D56:E56" si="16">IF(D55=0,"",+D55/D48)</f>
        <v>0.44835739080746817</v>
      </c>
      <c r="E56" s="190">
        <f t="shared" si="16"/>
        <v>0.50410362770569528</v>
      </c>
      <c r="F56" s="119"/>
    </row>
    <row r="57" spans="1:6" ht="45" customHeight="1" x14ac:dyDescent="0.35">
      <c r="A57" s="419" t="str">
        <f ca="1">TranslationsHIV!$A$41</f>
        <v>C3. Total global target already covered</v>
      </c>
      <c r="B57" s="199" t="s">
        <v>8</v>
      </c>
      <c r="C57" s="330">
        <f>C53+C55</f>
        <v>52304.421112315002</v>
      </c>
      <c r="D57" s="330">
        <f t="shared" ref="D57:E57" si="17">D53+D55</f>
        <v>62976.411633981792</v>
      </c>
      <c r="E57" s="330">
        <f t="shared" si="17"/>
        <v>73559.674812689002</v>
      </c>
      <c r="F57" s="232"/>
    </row>
    <row r="58" spans="1:6" ht="45" customHeight="1" x14ac:dyDescent="0.35">
      <c r="A58" s="425"/>
      <c r="B58" s="199" t="s">
        <v>9</v>
      </c>
      <c r="C58" s="190">
        <f>IF(C57=0,"",C57/C48)</f>
        <v>0.41915833319160894</v>
      </c>
      <c r="D58" s="190">
        <f t="shared" ref="D58:E58" si="18">IF(D57=0,"",D57/D48)</f>
        <v>0.4904592272528146</v>
      </c>
      <c r="E58" s="190">
        <f t="shared" si="18"/>
        <v>0.55673482822913123</v>
      </c>
      <c r="F58" s="232"/>
    </row>
    <row r="59" spans="1:6" ht="17.5" customHeight="1" x14ac:dyDescent="0.35">
      <c r="A59" s="211" t="str">
        <f ca="1">TranslationsHIV!$A$42</f>
        <v>Programmatic gap</v>
      </c>
      <c r="B59" s="212"/>
      <c r="C59" s="150"/>
      <c r="D59" s="150"/>
      <c r="E59" s="150"/>
      <c r="F59" s="213"/>
    </row>
    <row r="60" spans="1:6" ht="45" customHeight="1" x14ac:dyDescent="0.35">
      <c r="A60" s="419" t="str">
        <f ca="1">TranslationsHIV!$A$43</f>
        <v>D. Expected annual gap in meeting the need: B1 - C3</v>
      </c>
      <c r="B60" s="199" t="s">
        <v>8</v>
      </c>
      <c r="C60" s="189">
        <f>IF(C57=0,C48,C48-(C57))</f>
        <v>72479.978887684993</v>
      </c>
      <c r="D60" s="189">
        <f t="shared" ref="D60:E60" si="19">IF(D57=0,D48,D48-(D57))</f>
        <v>65426.538366018205</v>
      </c>
      <c r="E60" s="189">
        <f t="shared" si="19"/>
        <v>58567.275187310981</v>
      </c>
      <c r="F60" s="420"/>
    </row>
    <row r="61" spans="1:6" ht="45" customHeight="1" x14ac:dyDescent="0.35">
      <c r="A61" s="425"/>
      <c r="B61" s="199" t="s">
        <v>9</v>
      </c>
      <c r="C61" s="190">
        <f>IF(C60="","",+C60/C48)</f>
        <v>0.58084166680839111</v>
      </c>
      <c r="D61" s="190">
        <f t="shared" ref="D61:E61" si="20">IF(D60="","",+D60/D48)</f>
        <v>0.50954077274718534</v>
      </c>
      <c r="E61" s="190">
        <f t="shared" si="20"/>
        <v>0.44326517177086877</v>
      </c>
      <c r="F61" s="426"/>
    </row>
    <row r="62" spans="1:6" ht="17.5" customHeight="1" x14ac:dyDescent="0.35">
      <c r="A62" s="211" t="str">
        <f ca="1">TranslationsHIV!$A$44</f>
        <v>Country need to meet global targets covered with the allocation amount</v>
      </c>
      <c r="B62" s="212"/>
      <c r="C62" s="150"/>
      <c r="D62" s="150"/>
      <c r="E62" s="150"/>
      <c r="F62" s="213"/>
    </row>
    <row r="63" spans="1:6" ht="45" customHeight="1" x14ac:dyDescent="0.35">
      <c r="A63" s="419" t="str">
        <f ca="1">TranslationsHIV!$A$45</f>
        <v>E. Targets to be financed by allocation amount</v>
      </c>
      <c r="B63" s="200" t="s">
        <v>8</v>
      </c>
      <c r="C63" s="328">
        <v>40300.006810494997</v>
      </c>
      <c r="D63" s="328">
        <v>49274.123476113527</v>
      </c>
      <c r="E63" s="328">
        <v>58565.259722671093</v>
      </c>
      <c r="F63" s="420" t="s">
        <v>1802</v>
      </c>
    </row>
    <row r="64" spans="1:6" ht="45" customHeight="1" x14ac:dyDescent="0.35">
      <c r="A64" s="425"/>
      <c r="B64" s="200" t="s">
        <v>9</v>
      </c>
      <c r="C64" s="190">
        <f>IF(C63=0,"",+C63/C48)</f>
        <v>0.32295709087429997</v>
      </c>
      <c r="D64" s="190">
        <f t="shared" ref="D64:E64" si="21">IF(D63=0,"",+D63/D48)</f>
        <v>0.38374603913783545</v>
      </c>
      <c r="E64" s="190">
        <f t="shared" si="21"/>
        <v>0.44324991776977446</v>
      </c>
      <c r="F64" s="426"/>
    </row>
    <row r="65" spans="1:6" ht="45" customHeight="1" x14ac:dyDescent="0.35">
      <c r="A65" s="419" t="str">
        <f ca="1">TranslationsHIV!$A$46</f>
        <v>F. Coverage from allocation amount and other resources: E + C3</v>
      </c>
      <c r="B65" s="200" t="s">
        <v>8</v>
      </c>
      <c r="C65" s="189">
        <f>IF(C57="",C63,C63+C57)</f>
        <v>92604.427922809991</v>
      </c>
      <c r="D65" s="189">
        <f t="shared" ref="D65:E65" si="22">IF(D57="",D63,D63+D57)</f>
        <v>112250.53511009531</v>
      </c>
      <c r="E65" s="189">
        <f t="shared" si="22"/>
        <v>132124.93453536008</v>
      </c>
      <c r="F65" s="420"/>
    </row>
    <row r="66" spans="1:6" ht="45" customHeight="1" x14ac:dyDescent="0.35">
      <c r="A66" s="425"/>
      <c r="B66" s="200" t="s">
        <v>9</v>
      </c>
      <c r="C66" s="190">
        <f>IF(C65=0,"",+C65/C48)</f>
        <v>0.7421154240659088</v>
      </c>
      <c r="D66" s="190">
        <f t="shared" ref="D66:E66" si="23">IF(D65=0,"",+D65/D48)</f>
        <v>0.87420526639064999</v>
      </c>
      <c r="E66" s="190">
        <f t="shared" si="23"/>
        <v>0.99998474599890563</v>
      </c>
      <c r="F66" s="426"/>
    </row>
    <row r="67" spans="1:6" ht="45" customHeight="1" x14ac:dyDescent="0.35">
      <c r="A67" s="419" t="str">
        <f ca="1">TranslationsHIV!$A$47</f>
        <v xml:space="preserve">G. Remaining gap: B1 - F </v>
      </c>
      <c r="B67" s="200" t="s">
        <v>8</v>
      </c>
      <c r="C67" s="189">
        <f>IF(C65=0,"",C48-(C65))</f>
        <v>32179.972077190003</v>
      </c>
      <c r="D67" s="189">
        <f t="shared" ref="D67:E67" si="24">IF(D65=0,"",D48-(D65))</f>
        <v>16152.414889904685</v>
      </c>
      <c r="E67" s="189">
        <f t="shared" si="24"/>
        <v>2.0154646399023477</v>
      </c>
      <c r="F67" s="420"/>
    </row>
    <row r="68" spans="1:6" ht="45" customHeight="1" x14ac:dyDescent="0.35">
      <c r="A68" s="425"/>
      <c r="B68" s="200" t="s">
        <v>9</v>
      </c>
      <c r="C68" s="190">
        <f>IF(C67="","",C67/C48)</f>
        <v>0.25788457593409114</v>
      </c>
      <c r="D68" s="190">
        <f t="shared" ref="D68:E68" si="25">IF(D67="","",D67/D48)</f>
        <v>0.12579473360934998</v>
      </c>
      <c r="E68" s="190">
        <f t="shared" si="25"/>
        <v>1.5254001094419784E-5</v>
      </c>
      <c r="F68" s="426"/>
    </row>
    <row r="69" spans="1:6" x14ac:dyDescent="0.35">
      <c r="A69" s="278"/>
      <c r="B69" s="278"/>
      <c r="C69" s="279"/>
      <c r="D69" s="279"/>
      <c r="E69" s="279"/>
      <c r="F69" s="278"/>
    </row>
    <row r="70" spans="1:6" x14ac:dyDescent="0.35">
      <c r="A70" s="278"/>
      <c r="B70" s="278"/>
      <c r="C70" s="279"/>
      <c r="D70" s="279"/>
      <c r="E70" s="279"/>
      <c r="F70" s="278"/>
    </row>
    <row r="71" spans="1:6" ht="28.5" thickBot="1" x14ac:dyDescent="0.4">
      <c r="A71" s="225" t="str">
        <f ca="1">TranslationsHIV!$A$144</f>
        <v>HIV Testing Programmatic Gap Table 3</v>
      </c>
      <c r="B71" s="226"/>
      <c r="C71" s="227"/>
      <c r="D71" s="228"/>
      <c r="E71" s="228"/>
      <c r="F71" s="229"/>
    </row>
    <row r="72" spans="1:6" ht="45" customHeight="1" x14ac:dyDescent="0.35">
      <c r="A72" s="217" t="str">
        <f ca="1">TranslationsHIV!$A$21</f>
        <v>Priority Module</v>
      </c>
      <c r="B72" s="440" t="str">
        <f ca="1">'HIV dropdown'!$A$14</f>
        <v>Differentiated HIV Testing Services</v>
      </c>
      <c r="C72" s="441"/>
      <c r="D72" s="441"/>
      <c r="E72" s="441"/>
      <c r="F72" s="442"/>
    </row>
    <row r="73" spans="1:6" ht="45" customHeight="1" x14ac:dyDescent="0.35">
      <c r="A73" s="138" t="str">
        <f ca="1">TranslationsHIV!$A$22</f>
        <v>Selected coverage indicator</v>
      </c>
      <c r="B73" s="446" t="s">
        <v>1138</v>
      </c>
      <c r="C73" s="447"/>
      <c r="D73" s="447"/>
      <c r="E73" s="447"/>
      <c r="F73" s="448"/>
    </row>
    <row r="74" spans="1:6" ht="17.5" customHeight="1" thickBot="1" x14ac:dyDescent="0.4">
      <c r="A74" s="211" t="str">
        <f ca="1">TranslationsHIV!$A$24</f>
        <v>Current national coverage</v>
      </c>
      <c r="B74" s="212"/>
      <c r="C74" s="150"/>
      <c r="D74" s="150"/>
      <c r="E74" s="150"/>
      <c r="F74" s="213"/>
    </row>
    <row r="75" spans="1:6" ht="45" customHeight="1" x14ac:dyDescent="0.35">
      <c r="A75" s="131" t="str">
        <f ca="1">TranslationsHIV!$A$25</f>
        <v>Insert latest results</v>
      </c>
      <c r="B75" s="87">
        <f>9536/107034.985422741</f>
        <v>8.9092365102279455E-2</v>
      </c>
      <c r="C75" s="151" t="str">
        <f ca="1">TranslationsHIV!$A$26</f>
        <v>Year</v>
      </c>
      <c r="D75" s="215">
        <v>2021</v>
      </c>
      <c r="E75" s="151" t="str">
        <f ca="1">TranslationsHIV!$A$27</f>
        <v>Data source</v>
      </c>
      <c r="F75" s="18" t="s">
        <v>1723</v>
      </c>
    </row>
    <row r="76" spans="1:6" ht="45" customHeight="1" x14ac:dyDescent="0.35">
      <c r="A76" s="230" t="str">
        <f ca="1">TranslationsHIV!$A$28</f>
        <v>Comments</v>
      </c>
      <c r="B76" s="437" t="s">
        <v>1744</v>
      </c>
      <c r="C76" s="451"/>
      <c r="D76" s="451"/>
      <c r="E76" s="451"/>
      <c r="F76" s="439"/>
    </row>
    <row r="77" spans="1:6" ht="45" customHeight="1" x14ac:dyDescent="0.35">
      <c r="A77" s="463"/>
      <c r="B77" s="465"/>
      <c r="C77" s="155" t="str">
        <f ca="1">TranslationsHIV!$A$29</f>
        <v>Year 1</v>
      </c>
      <c r="D77" s="155" t="str">
        <f ca="1">TranslationsHIV!$A$30</f>
        <v>Year 2</v>
      </c>
      <c r="E77" s="155" t="str">
        <f ca="1">TranslationsHIV!$A$31</f>
        <v>Year 3</v>
      </c>
      <c r="F77" s="452" t="str">
        <f ca="1">TranslationsHIV!$A$34</f>
        <v>Comments / Assumptions</v>
      </c>
    </row>
    <row r="78" spans="1:6" ht="45" customHeight="1" x14ac:dyDescent="0.35">
      <c r="A78" s="464"/>
      <c r="B78" s="466"/>
      <c r="C78" s="238">
        <v>2024</v>
      </c>
      <c r="D78" s="140">
        <v>2025</v>
      </c>
      <c r="E78" s="140">
        <v>2026</v>
      </c>
      <c r="F78" s="453"/>
    </row>
    <row r="79" spans="1:6" ht="17.5" customHeight="1" x14ac:dyDescent="0.35">
      <c r="A79" s="211" t="str">
        <f ca="1">TranslationsHIV!$A$35</f>
        <v>Current estimated country need</v>
      </c>
      <c r="B79" s="212"/>
      <c r="C79" s="150"/>
      <c r="D79" s="150"/>
      <c r="E79" s="150"/>
      <c r="F79" s="213"/>
    </row>
    <row r="80" spans="1:6" ht="45" customHeight="1" x14ac:dyDescent="0.35">
      <c r="A80" s="231" t="str">
        <f ca="1">TranslationsHIV!$A$138</f>
        <v>A. Total estimated number of people in the specified key and vulnerable population</v>
      </c>
      <c r="B80" s="199" t="s">
        <v>8</v>
      </c>
      <c r="C80" s="328">
        <v>116620</v>
      </c>
      <c r="D80" s="328">
        <v>120002</v>
      </c>
      <c r="E80" s="328">
        <v>123482</v>
      </c>
      <c r="F80" s="216" t="s">
        <v>1745</v>
      </c>
    </row>
    <row r="81" spans="1:6" ht="45" customHeight="1" x14ac:dyDescent="0.35">
      <c r="A81" s="402" t="str">
        <f ca="1">TranslationsHIV!$A$109</f>
        <v>B1. Global targets as per the Global AIDS Strategy</v>
      </c>
      <c r="B81" s="200" t="s">
        <v>8</v>
      </c>
      <c r="C81" s="332">
        <f>IF(C80="","",(C82*C80))</f>
        <v>110789</v>
      </c>
      <c r="D81" s="332">
        <f t="shared" ref="D81:E81" si="26">IF(D80="","",(D82*D80))</f>
        <v>114001.9</v>
      </c>
      <c r="E81" s="332">
        <f t="shared" si="26"/>
        <v>117307.9</v>
      </c>
      <c r="F81" s="420"/>
    </row>
    <row r="82" spans="1:6" ht="45" customHeight="1" x14ac:dyDescent="0.35">
      <c r="A82" s="402"/>
      <c r="B82" s="200" t="s">
        <v>9</v>
      </c>
      <c r="C82" s="327">
        <f>95/100</f>
        <v>0.95</v>
      </c>
      <c r="D82" s="327">
        <f t="shared" ref="D82:E82" si="27">95/100</f>
        <v>0.95</v>
      </c>
      <c r="E82" s="327">
        <f t="shared" si="27"/>
        <v>0.95</v>
      </c>
      <c r="F82" s="426"/>
    </row>
    <row r="83" spans="1:6" ht="45" customHeight="1" x14ac:dyDescent="0.35">
      <c r="A83" s="419" t="str">
        <f ca="1">TranslationsHIV!$A$122</f>
        <v>B2. Country targets</v>
      </c>
      <c r="B83" s="200" t="s">
        <v>8</v>
      </c>
      <c r="C83" s="328">
        <v>104957.72000909998</v>
      </c>
      <c r="D83" s="328">
        <v>111601.54368567601</v>
      </c>
      <c r="E83" s="328">
        <v>117307.6226128307</v>
      </c>
      <c r="F83" s="232" t="s">
        <v>1733</v>
      </c>
    </row>
    <row r="84" spans="1:6" ht="45" customHeight="1" x14ac:dyDescent="0.35">
      <c r="A84" s="425"/>
      <c r="B84" s="200" t="s">
        <v>9</v>
      </c>
      <c r="C84" s="190">
        <f>IF(C83=0,"",+C83/C80)</f>
        <v>0.89999759911764687</v>
      </c>
      <c r="D84" s="190">
        <f>IF(D83=0,"",+D83/D80)</f>
        <v>0.9299973640912319</v>
      </c>
      <c r="E84" s="190">
        <f>IF(E83=0,"",+E83/E80)</f>
        <v>0.94999775362263894</v>
      </c>
      <c r="F84" s="232"/>
    </row>
    <row r="85" spans="1:6" ht="17.5" customHeight="1" x14ac:dyDescent="0.35">
      <c r="A85" s="211" t="str">
        <f ca="1">TranslationsHIV!$A$38</f>
        <v>Country need to meet global targets already covered</v>
      </c>
      <c r="B85" s="212"/>
      <c r="C85" s="150"/>
      <c r="D85" s="150"/>
      <c r="E85" s="150"/>
      <c r="F85" s="213"/>
    </row>
    <row r="86" spans="1:6" ht="45" customHeight="1" x14ac:dyDescent="0.35">
      <c r="A86" s="419" t="str">
        <f ca="1">TranslationsHIV!$A$39</f>
        <v>C1. Global target planned to be covered by domestic resources</v>
      </c>
      <c r="B86" s="199" t="s">
        <v>8</v>
      </c>
      <c r="C86" s="328">
        <v>3498.5906669699989</v>
      </c>
      <c r="D86" s="328">
        <v>4800.0663950828384</v>
      </c>
      <c r="E86" s="328">
        <v>6174.0854006753007</v>
      </c>
      <c r="F86" s="420" t="s">
        <v>1734</v>
      </c>
    </row>
    <row r="87" spans="1:6" ht="45" customHeight="1" x14ac:dyDescent="0.35">
      <c r="A87" s="425"/>
      <c r="B87" s="199" t="s">
        <v>9</v>
      </c>
      <c r="C87" s="190">
        <f>IF(C86=0,"",+C86/C81)</f>
        <v>3.1578863126934975E-2</v>
      </c>
      <c r="D87" s="190">
        <f t="shared" ref="D87:E87" si="28">IF(D86=0,"",+D86/D81)</f>
        <v>4.2105143818505116E-2</v>
      </c>
      <c r="E87" s="190">
        <f t="shared" si="28"/>
        <v>5.2631454494329037E-2</v>
      </c>
      <c r="F87" s="426"/>
    </row>
    <row r="88" spans="1:6" ht="45" customHeight="1" x14ac:dyDescent="0.35">
      <c r="A88" s="419" t="str">
        <f ca="1">TranslationsHIV!$A$40</f>
        <v>C2. Global target planned to be covered by external resources</v>
      </c>
      <c r="B88" s="199" t="s">
        <v>8</v>
      </c>
      <c r="C88" s="329">
        <v>10495.772000909999</v>
      </c>
      <c r="D88" s="329">
        <v>16740.231552851401</v>
      </c>
      <c r="E88" s="329">
        <v>23461.524522566142</v>
      </c>
      <c r="F88" s="18" t="s">
        <v>1735</v>
      </c>
    </row>
    <row r="89" spans="1:6" ht="45" customHeight="1" x14ac:dyDescent="0.35">
      <c r="A89" s="425"/>
      <c r="B89" s="199" t="s">
        <v>9</v>
      </c>
      <c r="C89" s="190">
        <f>IF(C88=0,"",+C88/C81)</f>
        <v>9.4736589380804953E-2</v>
      </c>
      <c r="D89" s="190">
        <f t="shared" ref="D89:E89" si="29">IF(D88=0,"",+D88/D81)</f>
        <v>0.14684168906703662</v>
      </c>
      <c r="E89" s="190">
        <f t="shared" si="29"/>
        <v>0.19999952707845034</v>
      </c>
      <c r="F89" s="119"/>
    </row>
    <row r="90" spans="1:6" ht="45" customHeight="1" x14ac:dyDescent="0.35">
      <c r="A90" s="419" t="str">
        <f ca="1">TranslationsHIV!$A$41</f>
        <v>C3. Total global target already covered</v>
      </c>
      <c r="B90" s="199" t="s">
        <v>8</v>
      </c>
      <c r="C90" s="330">
        <f>C86+C88</f>
        <v>13994.362667879999</v>
      </c>
      <c r="D90" s="330">
        <f t="shared" ref="D90:E90" si="30">D86+D88</f>
        <v>21540.297947934239</v>
      </c>
      <c r="E90" s="330">
        <f t="shared" si="30"/>
        <v>29635.609923241442</v>
      </c>
      <c r="F90" s="232"/>
    </row>
    <row r="91" spans="1:6" ht="45" customHeight="1" x14ac:dyDescent="0.35">
      <c r="A91" s="425"/>
      <c r="B91" s="199" t="s">
        <v>9</v>
      </c>
      <c r="C91" s="190">
        <f>IF(C90=0,"",C90/C81)</f>
        <v>0.12631545250773993</v>
      </c>
      <c r="D91" s="190">
        <f t="shared" ref="D91:E91" si="31">IF(D90=0,"",D90/D81)</f>
        <v>0.18894683288554173</v>
      </c>
      <c r="E91" s="190">
        <f t="shared" si="31"/>
        <v>0.25263098157277936</v>
      </c>
      <c r="F91" s="232"/>
    </row>
    <row r="92" spans="1:6" ht="17.5" customHeight="1" x14ac:dyDescent="0.35">
      <c r="A92" s="211" t="str">
        <f ca="1">TranslationsHIV!$A$42</f>
        <v>Programmatic gap</v>
      </c>
      <c r="B92" s="212"/>
      <c r="C92" s="150"/>
      <c r="D92" s="150"/>
      <c r="E92" s="150"/>
      <c r="F92" s="213"/>
    </row>
    <row r="93" spans="1:6" ht="45" customHeight="1" x14ac:dyDescent="0.35">
      <c r="A93" s="419" t="str">
        <f ca="1">TranslationsHIV!$A$43</f>
        <v>D. Expected annual gap in meeting the need: B1 - C3</v>
      </c>
      <c r="B93" s="199" t="s">
        <v>8</v>
      </c>
      <c r="C93" s="189">
        <f>IF(C90=0,C81,C81-(C90))</f>
        <v>96794.637332120008</v>
      </c>
      <c r="D93" s="189">
        <f t="shared" ref="D93:E93" si="32">IF(D90=0,D81,D81-(D90))</f>
        <v>92461.602052065748</v>
      </c>
      <c r="E93" s="189">
        <f t="shared" si="32"/>
        <v>87672.290076758552</v>
      </c>
      <c r="F93" s="420"/>
    </row>
    <row r="94" spans="1:6" ht="45" customHeight="1" x14ac:dyDescent="0.35">
      <c r="A94" s="425"/>
      <c r="B94" s="199" t="s">
        <v>9</v>
      </c>
      <c r="C94" s="190">
        <f>IF(C93="","",+C93/C81)</f>
        <v>0.8736845474922601</v>
      </c>
      <c r="D94" s="190">
        <f t="shared" ref="D94:E94" si="33">IF(D93="","",+D93/D81)</f>
        <v>0.81105316711445818</v>
      </c>
      <c r="E94" s="190">
        <f t="shared" si="33"/>
        <v>0.7473690184272207</v>
      </c>
      <c r="F94" s="426"/>
    </row>
    <row r="95" spans="1:6" ht="17.5" customHeight="1" x14ac:dyDescent="0.35">
      <c r="A95" s="211" t="str">
        <f ca="1">TranslationsHIV!$A$44</f>
        <v>Country need to meet global targets covered with the allocation amount</v>
      </c>
      <c r="B95" s="212"/>
      <c r="C95" s="150"/>
      <c r="D95" s="150"/>
      <c r="E95" s="150"/>
      <c r="F95" s="213"/>
    </row>
    <row r="96" spans="1:6" ht="45" customHeight="1" x14ac:dyDescent="0.35">
      <c r="A96" s="419" t="str">
        <f ca="1">TranslationsHIV!$A$45</f>
        <v>E. Targets to be financed by allocation amount</v>
      </c>
      <c r="B96" s="200" t="s">
        <v>8</v>
      </c>
      <c r="C96" s="328">
        <v>15743.658001364996</v>
      </c>
      <c r="D96" s="328">
        <v>22320.308737135201</v>
      </c>
      <c r="E96" s="328">
        <v>29326.905653207676</v>
      </c>
      <c r="F96" s="420" t="s">
        <v>1801</v>
      </c>
    </row>
    <row r="97" spans="1:6" ht="45" customHeight="1" x14ac:dyDescent="0.35">
      <c r="A97" s="425"/>
      <c r="B97" s="200" t="s">
        <v>9</v>
      </c>
      <c r="C97" s="190">
        <f>IF(C96=0,"",+C96/C81)</f>
        <v>0.14210488407120739</v>
      </c>
      <c r="D97" s="190">
        <f t="shared" ref="D97:E97" si="34">IF(D96=0,"",+D96/D81)</f>
        <v>0.19578891875604881</v>
      </c>
      <c r="E97" s="190">
        <f t="shared" si="34"/>
        <v>0.2499994088480629</v>
      </c>
      <c r="F97" s="426"/>
    </row>
    <row r="98" spans="1:6" ht="45" customHeight="1" x14ac:dyDescent="0.35">
      <c r="A98" s="419" t="str">
        <f ca="1">TranslationsHIV!$A$46</f>
        <v>F. Coverage from allocation amount and other resources: E + C3</v>
      </c>
      <c r="B98" s="200" t="s">
        <v>8</v>
      </c>
      <c r="C98" s="189">
        <f>IF(C90="",C96,C96+C90)</f>
        <v>29738.020669244994</v>
      </c>
      <c r="D98" s="189">
        <f t="shared" ref="D98:E98" si="35">IF(D90="",D96,D96+D90)</f>
        <v>43860.606685069441</v>
      </c>
      <c r="E98" s="189">
        <f t="shared" si="35"/>
        <v>58962.515576449121</v>
      </c>
      <c r="F98" s="420"/>
    </row>
    <row r="99" spans="1:6" ht="45" customHeight="1" x14ac:dyDescent="0.35">
      <c r="A99" s="425"/>
      <c r="B99" s="200" t="s">
        <v>9</v>
      </c>
      <c r="C99" s="190">
        <f>IF(C98=0,"",+C98/C81)</f>
        <v>0.26842033657894732</v>
      </c>
      <c r="D99" s="190">
        <f t="shared" ref="D99:E99" si="36">IF(D98=0,"",+D98/D81)</f>
        <v>0.38473575164159057</v>
      </c>
      <c r="E99" s="190">
        <f t="shared" si="36"/>
        <v>0.50263039042084223</v>
      </c>
      <c r="F99" s="426"/>
    </row>
    <row r="100" spans="1:6" ht="45" customHeight="1" x14ac:dyDescent="0.35">
      <c r="A100" s="419" t="str">
        <f ca="1">TranslationsHIV!$A$47</f>
        <v xml:space="preserve">G. Remaining gap: B1 - F </v>
      </c>
      <c r="B100" s="200" t="s">
        <v>8</v>
      </c>
      <c r="C100" s="189">
        <f>IF(C98=0,"",C81-(C98))</f>
        <v>81050.979330755014</v>
      </c>
      <c r="D100" s="189">
        <f t="shared" ref="D100:E100" si="37">IF(D98=0,"",D81-(D98))</f>
        <v>70141.293314930546</v>
      </c>
      <c r="E100" s="189">
        <f t="shared" si="37"/>
        <v>58345.384423550873</v>
      </c>
      <c r="F100" s="420"/>
    </row>
    <row r="101" spans="1:6" ht="45" customHeight="1" x14ac:dyDescent="0.35">
      <c r="A101" s="449"/>
      <c r="B101" s="239" t="s">
        <v>9</v>
      </c>
      <c r="C101" s="190">
        <f>IF(C100="","",C100/C81)</f>
        <v>0.73157966342105274</v>
      </c>
      <c r="D101" s="190">
        <f t="shared" ref="D101:E101" si="38">IF(D100="","",D100/D81)</f>
        <v>0.61526424835840943</v>
      </c>
      <c r="E101" s="190">
        <f t="shared" si="38"/>
        <v>0.49736960957915771</v>
      </c>
      <c r="F101" s="450"/>
    </row>
    <row r="102" spans="1:6" x14ac:dyDescent="0.35">
      <c r="A102" s="454" t="s">
        <v>10</v>
      </c>
      <c r="B102" s="455"/>
      <c r="C102" s="455"/>
      <c r="D102" s="455"/>
      <c r="E102" s="455"/>
      <c r="F102" s="456"/>
    </row>
    <row r="103" spans="1:6" x14ac:dyDescent="0.35">
      <c r="A103" s="457"/>
      <c r="B103" s="458"/>
      <c r="C103" s="458"/>
      <c r="D103" s="458"/>
      <c r="E103" s="458"/>
      <c r="F103" s="459"/>
    </row>
    <row r="104" spans="1:6" x14ac:dyDescent="0.35">
      <c r="A104" s="457"/>
      <c r="B104" s="458"/>
      <c r="C104" s="458"/>
      <c r="D104" s="458"/>
      <c r="E104" s="458"/>
      <c r="F104" s="459"/>
    </row>
    <row r="105" spans="1:6" x14ac:dyDescent="0.35">
      <c r="A105" s="457"/>
      <c r="B105" s="458"/>
      <c r="C105" s="458"/>
      <c r="D105" s="458"/>
      <c r="E105" s="458"/>
      <c r="F105" s="459"/>
    </row>
    <row r="106" spans="1:6" x14ac:dyDescent="0.35">
      <c r="A106" s="457"/>
      <c r="B106" s="458"/>
      <c r="C106" s="458"/>
      <c r="D106" s="458"/>
      <c r="E106" s="458"/>
      <c r="F106" s="459"/>
    </row>
    <row r="107" spans="1:6" x14ac:dyDescent="0.35">
      <c r="A107" s="457"/>
      <c r="B107" s="458"/>
      <c r="C107" s="458"/>
      <c r="D107" s="458"/>
      <c r="E107" s="458"/>
      <c r="F107" s="459"/>
    </row>
    <row r="108" spans="1:6" x14ac:dyDescent="0.35">
      <c r="A108" s="457"/>
      <c r="B108" s="458"/>
      <c r="C108" s="458"/>
      <c r="D108" s="458"/>
      <c r="E108" s="458"/>
      <c r="F108" s="459"/>
    </row>
    <row r="109" spans="1:6" x14ac:dyDescent="0.35">
      <c r="A109" s="457"/>
      <c r="B109" s="458"/>
      <c r="C109" s="458"/>
      <c r="D109" s="458"/>
      <c r="E109" s="458"/>
      <c r="F109" s="459"/>
    </row>
    <row r="110" spans="1:6" x14ac:dyDescent="0.35">
      <c r="A110" s="457"/>
      <c r="B110" s="458"/>
      <c r="C110" s="458"/>
      <c r="D110" s="458"/>
      <c r="E110" s="458"/>
      <c r="F110" s="459"/>
    </row>
    <row r="111" spans="1:6" x14ac:dyDescent="0.35">
      <c r="A111" s="457"/>
      <c r="B111" s="458"/>
      <c r="C111" s="458"/>
      <c r="D111" s="458"/>
      <c r="E111" s="458"/>
      <c r="F111" s="459"/>
    </row>
    <row r="112" spans="1:6" x14ac:dyDescent="0.35">
      <c r="A112" s="460"/>
      <c r="B112" s="461"/>
      <c r="C112" s="461"/>
      <c r="D112" s="461"/>
      <c r="E112" s="461"/>
      <c r="F112" s="462"/>
    </row>
  </sheetData>
  <sheetProtection algorithmName="SHA-512" hashValue="lSLMtFHgc6soa3OoYsO/4sekTFdRt5eFu9d3kD75QITVLQMZEfA/0RiomnnKIeau3X1XtIt/LTgya9M11eNeyQ==" saltValue="PRQZB5GLtwC3q0lhrak72Q==" spinCount="100000" sheet="1" formatColumns="0" formatRows="0"/>
  <mergeCells count="69">
    <mergeCell ref="A96:A97"/>
    <mergeCell ref="F96:F97"/>
    <mergeCell ref="A98:A99"/>
    <mergeCell ref="F98:F99"/>
    <mergeCell ref="A100:A101"/>
    <mergeCell ref="F100:F101"/>
    <mergeCell ref="A86:A87"/>
    <mergeCell ref="F86:F87"/>
    <mergeCell ref="A88:A89"/>
    <mergeCell ref="A90:A91"/>
    <mergeCell ref="A93:A94"/>
    <mergeCell ref="F93:F94"/>
    <mergeCell ref="A102:F112"/>
    <mergeCell ref="A63:A64"/>
    <mergeCell ref="F63:F64"/>
    <mergeCell ref="A65:A66"/>
    <mergeCell ref="F65:F66"/>
    <mergeCell ref="A67:A68"/>
    <mergeCell ref="F67:F68"/>
    <mergeCell ref="B72:F72"/>
    <mergeCell ref="B73:F73"/>
    <mergeCell ref="B76:F76"/>
    <mergeCell ref="A77:A78"/>
    <mergeCell ref="B77:B78"/>
    <mergeCell ref="F77:F78"/>
    <mergeCell ref="A81:A82"/>
    <mergeCell ref="F81:F82"/>
    <mergeCell ref="A83:A84"/>
    <mergeCell ref="A60:A61"/>
    <mergeCell ref="F60:F61"/>
    <mergeCell ref="B39:F39"/>
    <mergeCell ref="B40:F40"/>
    <mergeCell ref="B43:F43"/>
    <mergeCell ref="F44:F45"/>
    <mergeCell ref="A48:A49"/>
    <mergeCell ref="F48:F49"/>
    <mergeCell ref="A50:A51"/>
    <mergeCell ref="A53:A54"/>
    <mergeCell ref="F53:F54"/>
    <mergeCell ref="A55:A56"/>
    <mergeCell ref="A57:A58"/>
    <mergeCell ref="A44:A45"/>
    <mergeCell ref="B44:B45"/>
    <mergeCell ref="A30:A31"/>
    <mergeCell ref="F30:F31"/>
    <mergeCell ref="A32:A33"/>
    <mergeCell ref="F32:F33"/>
    <mergeCell ref="A34:A35"/>
    <mergeCell ref="F34:F35"/>
    <mergeCell ref="A27:A28"/>
    <mergeCell ref="F27:F28"/>
    <mergeCell ref="B7:F7"/>
    <mergeCell ref="B10:F10"/>
    <mergeCell ref="F11:F12"/>
    <mergeCell ref="A15:A16"/>
    <mergeCell ref="F15:F16"/>
    <mergeCell ref="A17:A18"/>
    <mergeCell ref="A20:A21"/>
    <mergeCell ref="F20:F21"/>
    <mergeCell ref="A22:A23"/>
    <mergeCell ref="A24:A25"/>
    <mergeCell ref="A11:A12"/>
    <mergeCell ref="B11:B12"/>
    <mergeCell ref="B6:F6"/>
    <mergeCell ref="A1:E1"/>
    <mergeCell ref="F1:F3"/>
    <mergeCell ref="A2:E2"/>
    <mergeCell ref="A3:E3"/>
    <mergeCell ref="A4:F4"/>
  </mergeCells>
  <pageMargins left="0.7" right="0.7" top="0.75" bottom="0.75" header="0.3" footer="0.3"/>
  <pageSetup paperSize="8" scale="83" fitToHeight="0" orientation="portrait" r:id="rId1"/>
  <rowBreaks count="4" manualBreakCount="4">
    <brk id="33" max="5" man="1"/>
    <brk id="66" max="5" man="1"/>
    <brk id="99" max="5" man="1"/>
    <brk id="101" max="5" man="1"/>
  </rowBreaks>
  <extLst>
    <ext xmlns:x14="http://schemas.microsoft.com/office/spreadsheetml/2009/9/main" uri="{CCE6A557-97BC-4b89-ADB6-D9C93CAAB3DF}">
      <x14:dataValidations xmlns:xm="http://schemas.microsoft.com/office/excel/2006/main" count="1">
        <x14:dataValidation type="list" allowBlank="1" showInputMessage="1" showErrorMessage="1" xr:uid="{F3580733-7259-4AFD-8F2E-84C3F804D66B}">
          <x14:formula1>
            <xm:f>'HIV dropdown'!$A$100:$A$107</xm:f>
          </x14:formula1>
          <xm:sqref>B7:F7 B40:F40 B73:F73</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B7048E-787F-4789-831F-3DAB875D1847}">
  <sheetPr codeName="Sheet14">
    <tabColor rgb="FFFF5050"/>
    <pageSetUpPr fitToPage="1"/>
  </sheetPr>
  <dimension ref="A1:U111"/>
  <sheetViews>
    <sheetView topLeftCell="A57" zoomScale="80" zoomScaleNormal="80" zoomScaleSheetLayoutView="80" zoomScalePageLayoutView="80" workbookViewId="0">
      <selection activeCell="F63" sqref="F63:F64"/>
    </sheetView>
  </sheetViews>
  <sheetFormatPr defaultColWidth="9" defaultRowHeight="14.5" x14ac:dyDescent="0.35"/>
  <cols>
    <col min="1" max="1" width="30.58203125" style="46" customWidth="1"/>
    <col min="2" max="2" width="11.58203125" style="46" customWidth="1"/>
    <col min="3" max="5" width="11.58203125" style="173" customWidth="1"/>
    <col min="6" max="6" width="68.33203125" style="46" customWidth="1"/>
    <col min="7" max="7" width="21.58203125" style="46" customWidth="1"/>
    <col min="8" max="8" width="9" style="46"/>
    <col min="9" max="9" width="10.08203125" style="46" customWidth="1"/>
    <col min="10" max="10" width="10.58203125" style="46" customWidth="1"/>
    <col min="11" max="11" width="12.08203125" style="46" customWidth="1"/>
    <col min="12" max="16384" width="9" style="46"/>
  </cols>
  <sheetData>
    <row r="1" spans="1:21" s="12" customFormat="1" ht="22" customHeight="1" x14ac:dyDescent="0.3">
      <c r="A1" s="421" t="s">
        <v>3</v>
      </c>
      <c r="B1" s="421"/>
      <c r="C1" s="421"/>
      <c r="D1" s="421"/>
      <c r="E1" s="421"/>
      <c r="F1" s="443" t="str">
        <f ca="1">TranslationsHIV!$G$118</f>
        <v>Latest version updated: 13 March 2023</v>
      </c>
      <c r="G1" s="3"/>
      <c r="H1" s="1"/>
      <c r="I1" s="1"/>
      <c r="J1" s="1"/>
      <c r="K1" s="1"/>
      <c r="L1" s="1"/>
      <c r="M1" s="1"/>
      <c r="N1" s="2"/>
      <c r="O1" s="2"/>
      <c r="P1" s="2"/>
      <c r="Q1" s="2"/>
      <c r="R1" s="2"/>
      <c r="S1" s="2"/>
      <c r="T1" s="2"/>
      <c r="U1" s="2"/>
    </row>
    <row r="2" spans="1:21" s="12" customFormat="1" ht="22" customHeight="1" x14ac:dyDescent="0.3">
      <c r="A2" s="421" t="s">
        <v>4</v>
      </c>
      <c r="B2" s="421"/>
      <c r="C2" s="421"/>
      <c r="D2" s="421"/>
      <c r="E2" s="421"/>
      <c r="F2" s="444"/>
      <c r="G2" s="3"/>
      <c r="H2" s="1"/>
      <c r="I2" s="1"/>
      <c r="J2" s="1"/>
      <c r="K2" s="1"/>
      <c r="L2" s="1"/>
      <c r="M2" s="1"/>
      <c r="N2" s="2"/>
      <c r="O2" s="2"/>
      <c r="P2" s="2"/>
      <c r="Q2" s="2"/>
      <c r="R2" s="2"/>
      <c r="S2" s="2"/>
      <c r="T2" s="2"/>
      <c r="U2" s="2"/>
    </row>
    <row r="3" spans="1:21" s="12" customFormat="1" ht="22" customHeight="1" x14ac:dyDescent="0.3">
      <c r="A3" s="421" t="s">
        <v>5</v>
      </c>
      <c r="B3" s="421"/>
      <c r="C3" s="421"/>
      <c r="D3" s="421"/>
      <c r="E3" s="421"/>
      <c r="F3" s="445"/>
      <c r="G3" s="3"/>
      <c r="H3" s="1"/>
      <c r="I3" s="1"/>
      <c r="J3" s="1"/>
      <c r="K3" s="1"/>
      <c r="L3" s="1"/>
      <c r="M3" s="1"/>
      <c r="N3" s="2"/>
      <c r="O3" s="2"/>
      <c r="P3" s="2"/>
      <c r="Q3" s="2"/>
      <c r="R3" s="2"/>
      <c r="S3" s="2"/>
      <c r="T3" s="2"/>
      <c r="U3" s="2"/>
    </row>
    <row r="4" spans="1:21" ht="46.5" customHeight="1" x14ac:dyDescent="0.35">
      <c r="A4" s="436" t="str">
        <f ca="1">TranslationsHIV!$G$116</f>
        <v xml:space="preserve">Carefully read the instructions in the "Instructions" tab before completing the programmatic gap analysis table. 
The instructions have been tailored to each specific module/intervention. </v>
      </c>
      <c r="B4" s="436"/>
      <c r="C4" s="436"/>
      <c r="D4" s="436"/>
      <c r="E4" s="436"/>
      <c r="F4" s="436"/>
      <c r="G4" s="88"/>
    </row>
    <row r="5" spans="1:21" ht="30" customHeight="1" thickBot="1" x14ac:dyDescent="0.4">
      <c r="A5" s="225" t="str">
        <f ca="1">TranslationsHIV!$A$131</f>
        <v>Prevention Programmatic Gap Table 1</v>
      </c>
      <c r="B5" s="226"/>
      <c r="C5" s="227"/>
      <c r="D5" s="228"/>
      <c r="E5" s="228"/>
      <c r="F5" s="229"/>
    </row>
    <row r="6" spans="1:21" ht="45" customHeight="1" x14ac:dyDescent="0.35">
      <c r="A6" s="138" t="str">
        <f ca="1">TranslationsHIV!$A$21</f>
        <v>Priority Module</v>
      </c>
      <c r="B6" s="446" t="s">
        <v>1421</v>
      </c>
      <c r="C6" s="447"/>
      <c r="D6" s="447"/>
      <c r="E6" s="447"/>
      <c r="F6" s="448"/>
    </row>
    <row r="7" spans="1:21" ht="45" customHeight="1" x14ac:dyDescent="0.35">
      <c r="A7" s="138" t="str">
        <f ca="1">TranslationsHIV!$A$22</f>
        <v>Selected coverage indicator</v>
      </c>
      <c r="B7" s="446" t="s">
        <v>1160</v>
      </c>
      <c r="C7" s="447"/>
      <c r="D7" s="447"/>
      <c r="E7" s="447"/>
      <c r="F7" s="448"/>
    </row>
    <row r="8" spans="1:21" ht="17.5" customHeight="1" x14ac:dyDescent="0.35">
      <c r="A8" s="211" t="str">
        <f ca="1">TranslationsHIV!$A$24</f>
        <v>Current national coverage</v>
      </c>
      <c r="B8" s="212"/>
      <c r="C8" s="150"/>
      <c r="D8" s="150"/>
      <c r="E8" s="150"/>
      <c r="F8" s="213"/>
    </row>
    <row r="9" spans="1:21" ht="45" customHeight="1" x14ac:dyDescent="0.35">
      <c r="A9" s="131" t="str">
        <f ca="1">TranslationsHIV!$A$25</f>
        <v>Insert latest results</v>
      </c>
      <c r="B9" s="87">
        <f>104477/306251.700680272</f>
        <v>0.34114749328061494</v>
      </c>
      <c r="C9" s="155" t="str">
        <f ca="1">TranslationsHIV!$A$26</f>
        <v>Year</v>
      </c>
      <c r="D9" s="215">
        <v>2021</v>
      </c>
      <c r="E9" s="153" t="str">
        <f ca="1">TranslationsHIV!$A$27</f>
        <v>Data source</v>
      </c>
      <c r="F9" s="18" t="s">
        <v>1723</v>
      </c>
    </row>
    <row r="10" spans="1:21" ht="45" customHeight="1" x14ac:dyDescent="0.35">
      <c r="A10" s="230" t="str">
        <f ca="1">TranslationsHIV!$A$28</f>
        <v>Comments</v>
      </c>
      <c r="B10" s="437" t="s">
        <v>1725</v>
      </c>
      <c r="C10" s="451"/>
      <c r="D10" s="451"/>
      <c r="E10" s="451"/>
      <c r="F10" s="439"/>
    </row>
    <row r="11" spans="1:21" ht="45" customHeight="1" x14ac:dyDescent="0.35">
      <c r="A11" s="235"/>
      <c r="B11" s="220"/>
      <c r="C11" s="246" t="str">
        <f ca="1">TranslationsHIV!$A$29</f>
        <v>Year 1</v>
      </c>
      <c r="D11" s="155" t="str">
        <f ca="1">TranslationsHIV!$A$30</f>
        <v>Year 2</v>
      </c>
      <c r="E11" s="155" t="str">
        <f ca="1">TranslationsHIV!$A$31</f>
        <v>Year 3</v>
      </c>
      <c r="F11" s="452" t="str">
        <f ca="1">TranslationsHIV!$A$34</f>
        <v>Comments / Assumptions</v>
      </c>
    </row>
    <row r="12" spans="1:21" ht="45" customHeight="1" x14ac:dyDescent="0.35">
      <c r="A12" s="236"/>
      <c r="B12" s="221"/>
      <c r="C12" s="238">
        <v>2024</v>
      </c>
      <c r="D12" s="140">
        <v>2025</v>
      </c>
      <c r="E12" s="140">
        <v>2026</v>
      </c>
      <c r="F12" s="453"/>
    </row>
    <row r="13" spans="1:21" ht="17.5" customHeight="1" x14ac:dyDescent="0.35">
      <c r="A13" s="211" t="str">
        <f ca="1">TranslationsHIV!$A$35</f>
        <v>Current estimated country need</v>
      </c>
      <c r="B13" s="214"/>
      <c r="C13" s="150"/>
      <c r="D13" s="150"/>
      <c r="E13" s="150"/>
      <c r="F13" s="213"/>
    </row>
    <row r="14" spans="1:21" ht="45" customHeight="1" x14ac:dyDescent="0.35">
      <c r="A14" s="231" t="str">
        <f ca="1">TranslationsHIV!$A$140</f>
        <v>A. Total estimated key and vulnerable populations in need</v>
      </c>
      <c r="B14" s="199" t="s">
        <v>8</v>
      </c>
      <c r="C14" s="328">
        <v>333677</v>
      </c>
      <c r="D14" s="328">
        <v>343352</v>
      </c>
      <c r="E14" s="328">
        <v>353310</v>
      </c>
      <c r="F14" s="216" t="s">
        <v>1726</v>
      </c>
    </row>
    <row r="15" spans="1:21" ht="45" customHeight="1" x14ac:dyDescent="0.35">
      <c r="A15" s="402" t="str">
        <f ca="1">TranslationsHIV!$A$109</f>
        <v>B1. Global targets as per the Global AIDS Strategy</v>
      </c>
      <c r="B15" s="200" t="s">
        <v>8</v>
      </c>
      <c r="C15" s="189">
        <f>IF(C14="","",(C14*C16))</f>
        <v>316993.14999999997</v>
      </c>
      <c r="D15" s="189">
        <f t="shared" ref="D15:E15" si="0">IF(D14="","",(D14*D16))</f>
        <v>326184.39999999997</v>
      </c>
      <c r="E15" s="189">
        <f t="shared" si="0"/>
        <v>335644.5</v>
      </c>
      <c r="F15" s="420"/>
    </row>
    <row r="16" spans="1:21" ht="45" customHeight="1" x14ac:dyDescent="0.35">
      <c r="A16" s="402"/>
      <c r="B16" s="200" t="s">
        <v>9</v>
      </c>
      <c r="C16" s="327">
        <v>0.95</v>
      </c>
      <c r="D16" s="327">
        <v>0.95</v>
      </c>
      <c r="E16" s="327">
        <v>0.95</v>
      </c>
      <c r="F16" s="426"/>
    </row>
    <row r="17" spans="1:6" ht="45" customHeight="1" x14ac:dyDescent="0.35">
      <c r="A17" s="419" t="str">
        <f ca="1">TranslationsHIV!$A$122</f>
        <v>B2. Country targets</v>
      </c>
      <c r="B17" s="200" t="s">
        <v>8</v>
      </c>
      <c r="C17" s="328">
        <v>300308</v>
      </c>
      <c r="D17" s="328">
        <v>319318</v>
      </c>
      <c r="E17" s="328">
        <v>335644</v>
      </c>
      <c r="F17" s="232" t="s">
        <v>1727</v>
      </c>
    </row>
    <row r="18" spans="1:6" ht="45" customHeight="1" x14ac:dyDescent="0.35">
      <c r="A18" s="425"/>
      <c r="B18" s="200" t="s">
        <v>9</v>
      </c>
      <c r="C18" s="190">
        <f>IF(C17=0,"",+C17/C14)</f>
        <v>0.89999610401675867</v>
      </c>
      <c r="D18" s="190">
        <f>IF(D17=0,"",+D17/D14)</f>
        <v>0.93000186397632745</v>
      </c>
      <c r="E18" s="190">
        <f>IF(E17=0,"",+E17/E14)</f>
        <v>0.94999858481220456</v>
      </c>
      <c r="F18" s="232"/>
    </row>
    <row r="19" spans="1:6" ht="17.5" customHeight="1" x14ac:dyDescent="0.35">
      <c r="A19" s="211" t="str">
        <f ca="1">TranslationsHIV!$A$38</f>
        <v>Country need to meet global targets already covered</v>
      </c>
      <c r="B19" s="212"/>
      <c r="C19" s="212"/>
      <c r="D19" s="212"/>
      <c r="E19" s="212"/>
      <c r="F19" s="213"/>
    </row>
    <row r="20" spans="1:6" ht="45" customHeight="1" x14ac:dyDescent="0.35">
      <c r="A20" s="419" t="str">
        <f ca="1">TranslationsHIV!$A$39</f>
        <v>C1. Global target planned to be covered by domestic resources</v>
      </c>
      <c r="B20" s="199" t="s">
        <v>8</v>
      </c>
      <c r="C20" s="139"/>
      <c r="D20" s="139"/>
      <c r="E20" s="139"/>
      <c r="F20" s="420" t="s">
        <v>1728</v>
      </c>
    </row>
    <row r="21" spans="1:6" ht="45" customHeight="1" x14ac:dyDescent="0.35">
      <c r="A21" s="425"/>
      <c r="B21" s="199" t="s">
        <v>9</v>
      </c>
      <c r="C21" s="333" t="str">
        <f>IF(C20=0,"",+C20/C15)</f>
        <v/>
      </c>
      <c r="D21" s="333" t="str">
        <f t="shared" ref="D21:E21" si="1">IF(D20=0,"",+D20/D15)</f>
        <v/>
      </c>
      <c r="E21" s="333" t="str">
        <f t="shared" si="1"/>
        <v/>
      </c>
      <c r="F21" s="426"/>
    </row>
    <row r="22" spans="1:6" ht="45" customHeight="1" x14ac:dyDescent="0.35">
      <c r="A22" s="419" t="str">
        <f ca="1">TranslationsHIV!$A$40</f>
        <v>C2. Global target planned to be covered by external resources</v>
      </c>
      <c r="B22" s="199" t="s">
        <v>8</v>
      </c>
      <c r="C22" s="334">
        <v>75077</v>
      </c>
      <c r="D22" s="334">
        <v>95795</v>
      </c>
      <c r="E22" s="334">
        <v>117475</v>
      </c>
      <c r="F22" s="233" t="s">
        <v>1737</v>
      </c>
    </row>
    <row r="23" spans="1:6" ht="45" customHeight="1" x14ac:dyDescent="0.35">
      <c r="A23" s="425"/>
      <c r="B23" s="199" t="s">
        <v>9</v>
      </c>
      <c r="C23" s="333">
        <f>IF(C22=0,"",+C22/C15)</f>
        <v>0.2368410800044102</v>
      </c>
      <c r="D23" s="333">
        <f t="shared" ref="D23:E23" si="2">IF(D22=0,"",+D22/D15)</f>
        <v>0.2936835728502038</v>
      </c>
      <c r="E23" s="333">
        <f t="shared" si="2"/>
        <v>0.34999828687793189</v>
      </c>
      <c r="F23" s="119"/>
    </row>
    <row r="24" spans="1:6" ht="45" customHeight="1" x14ac:dyDescent="0.35">
      <c r="A24" s="419" t="str">
        <f ca="1">TranslationsHIV!$A$41</f>
        <v>C3. Total global target already covered</v>
      </c>
      <c r="B24" s="199" t="s">
        <v>8</v>
      </c>
      <c r="C24" s="335">
        <f>C20+C22</f>
        <v>75077</v>
      </c>
      <c r="D24" s="335">
        <f t="shared" ref="D24:E24" si="3">D20+D22</f>
        <v>95795</v>
      </c>
      <c r="E24" s="335">
        <f t="shared" si="3"/>
        <v>117475</v>
      </c>
      <c r="F24" s="232"/>
    </row>
    <row r="25" spans="1:6" ht="45" customHeight="1" x14ac:dyDescent="0.35">
      <c r="A25" s="425"/>
      <c r="B25" s="199" t="s">
        <v>9</v>
      </c>
      <c r="C25" s="333">
        <f>IF(C24=0,"",C24/C15)</f>
        <v>0.2368410800044102</v>
      </c>
      <c r="D25" s="333">
        <f t="shared" ref="D25:E25" si="4">IF(D24=0,"",D24/D15)</f>
        <v>0.2936835728502038</v>
      </c>
      <c r="E25" s="333">
        <f t="shared" si="4"/>
        <v>0.34999828687793189</v>
      </c>
      <c r="F25" s="232"/>
    </row>
    <row r="26" spans="1:6" ht="17.5" customHeight="1" x14ac:dyDescent="0.35">
      <c r="A26" s="211" t="str">
        <f ca="1">TranslationsHIV!$A$42</f>
        <v>Programmatic gap</v>
      </c>
      <c r="B26" s="212"/>
      <c r="C26" s="212"/>
      <c r="D26" s="212"/>
      <c r="E26" s="212"/>
      <c r="F26" s="213"/>
    </row>
    <row r="27" spans="1:6" ht="45" customHeight="1" x14ac:dyDescent="0.35">
      <c r="A27" s="419" t="str">
        <f ca="1">TranslationsHIV!$A$43</f>
        <v>D. Expected annual gap in meeting the need: B1 - C3</v>
      </c>
      <c r="B27" s="199" t="s">
        <v>8</v>
      </c>
      <c r="C27" s="336">
        <f>IF(C24=0,C15,C15-(C24))</f>
        <v>241916.14999999997</v>
      </c>
      <c r="D27" s="336">
        <f t="shared" ref="D27:E27" si="5">IF(D24=0,D15,D15-(D24))</f>
        <v>230389.39999999997</v>
      </c>
      <c r="E27" s="336">
        <f t="shared" si="5"/>
        <v>218169.5</v>
      </c>
      <c r="F27" s="420"/>
    </row>
    <row r="28" spans="1:6" ht="45" customHeight="1" x14ac:dyDescent="0.35">
      <c r="A28" s="425"/>
      <c r="B28" s="199" t="s">
        <v>9</v>
      </c>
      <c r="C28" s="333">
        <f>IF(C27="","",+C27/C15)</f>
        <v>0.76315891999558982</v>
      </c>
      <c r="D28" s="333">
        <f t="shared" ref="D28:E28" si="6">IF(D27="","",+D27/D15)</f>
        <v>0.70631642714979626</v>
      </c>
      <c r="E28" s="333">
        <f t="shared" si="6"/>
        <v>0.65000171312206811</v>
      </c>
      <c r="F28" s="426"/>
    </row>
    <row r="29" spans="1:6" ht="17.5" customHeight="1" x14ac:dyDescent="0.35">
      <c r="A29" s="211" t="str">
        <f ca="1">TranslationsHIV!$A$44</f>
        <v>Country need to meet global targets covered with the allocation amount</v>
      </c>
      <c r="B29" s="212"/>
      <c r="C29" s="212"/>
      <c r="D29" s="212"/>
      <c r="E29" s="212"/>
      <c r="F29" s="213"/>
    </row>
    <row r="30" spans="1:6" ht="45" customHeight="1" x14ac:dyDescent="0.35">
      <c r="A30" s="419" t="str">
        <f ca="1">TranslationsHIV!$A$45</f>
        <v>E. Targets to be financed by allocation amount</v>
      </c>
      <c r="B30" s="200" t="s">
        <v>8</v>
      </c>
      <c r="C30" s="139">
        <v>105108</v>
      </c>
      <c r="D30" s="139">
        <v>127727</v>
      </c>
      <c r="E30" s="139">
        <v>151040</v>
      </c>
      <c r="F30" s="420" t="s">
        <v>1800</v>
      </c>
    </row>
    <row r="31" spans="1:6" ht="45" customHeight="1" x14ac:dyDescent="0.35">
      <c r="A31" s="425"/>
      <c r="B31" s="200" t="s">
        <v>9</v>
      </c>
      <c r="C31" s="333">
        <f>IF(C30=0,"",+C30/C15)</f>
        <v>0.33157814293463445</v>
      </c>
      <c r="D31" s="333">
        <f t="shared" ref="D31:E31" si="7">IF(D30=0,"",+D30/D15)</f>
        <v>0.39157911905045129</v>
      </c>
      <c r="E31" s="333">
        <f t="shared" si="7"/>
        <v>0.44999992551643181</v>
      </c>
      <c r="F31" s="426"/>
    </row>
    <row r="32" spans="1:6" ht="45" customHeight="1" x14ac:dyDescent="0.35">
      <c r="A32" s="419" t="str">
        <f ca="1">TranslationsHIV!$A$46</f>
        <v>F. Coverage from allocation amount and other resources: E + C3</v>
      </c>
      <c r="B32" s="200" t="s">
        <v>8</v>
      </c>
      <c r="C32" s="336">
        <f>IF(C24="",C30,C30+C24)</f>
        <v>180185</v>
      </c>
      <c r="D32" s="336">
        <f t="shared" ref="D32:E32" si="8">IF(D24="",D30,D30+D24)</f>
        <v>223522</v>
      </c>
      <c r="E32" s="336">
        <f t="shared" si="8"/>
        <v>268515</v>
      </c>
      <c r="F32" s="420"/>
    </row>
    <row r="33" spans="1:6" ht="45" customHeight="1" x14ac:dyDescent="0.35">
      <c r="A33" s="425"/>
      <c r="B33" s="200" t="s">
        <v>9</v>
      </c>
      <c r="C33" s="333">
        <f>IF(C32=0,"",+C32/C15)</f>
        <v>0.56841922293904468</v>
      </c>
      <c r="D33" s="333">
        <f t="shared" ref="D33:E33" si="9">IF(D32=0,"",+D32/D15)</f>
        <v>0.68526269190065503</v>
      </c>
      <c r="E33" s="333">
        <f t="shared" si="9"/>
        <v>0.79999821239436364</v>
      </c>
      <c r="F33" s="426"/>
    </row>
    <row r="34" spans="1:6" ht="45" customHeight="1" x14ac:dyDescent="0.35">
      <c r="A34" s="419" t="str">
        <f ca="1">TranslationsHIV!$A$47</f>
        <v xml:space="preserve">G. Remaining gap: B1 - F </v>
      </c>
      <c r="B34" s="200" t="s">
        <v>8</v>
      </c>
      <c r="C34" s="336">
        <f>IF(C32=0,C15,C15-(C32))</f>
        <v>136808.14999999997</v>
      </c>
      <c r="D34" s="336">
        <f t="shared" ref="D34:E34" si="10">IF(D32=0,D15,D15-(D32))</f>
        <v>102662.39999999997</v>
      </c>
      <c r="E34" s="336">
        <f t="shared" si="10"/>
        <v>67129.5</v>
      </c>
      <c r="F34" s="420"/>
    </row>
    <row r="35" spans="1:6" ht="45" customHeight="1" x14ac:dyDescent="0.35">
      <c r="A35" s="425"/>
      <c r="B35" s="200" t="s">
        <v>9</v>
      </c>
      <c r="C35" s="333">
        <f>IF(C34="","",C34/C15)</f>
        <v>0.43158077706095538</v>
      </c>
      <c r="D35" s="333">
        <f t="shared" ref="D35:E35" si="11">IF(D34="","",D34/D15)</f>
        <v>0.31473730809934497</v>
      </c>
      <c r="E35" s="333">
        <f t="shared" si="11"/>
        <v>0.20000178760563633</v>
      </c>
      <c r="F35" s="426"/>
    </row>
    <row r="36" spans="1:6" x14ac:dyDescent="0.35">
      <c r="A36" s="141"/>
      <c r="B36" s="141"/>
      <c r="C36" s="172"/>
      <c r="D36" s="172"/>
      <c r="E36" s="172"/>
      <c r="F36" s="141"/>
    </row>
    <row r="37" spans="1:6" x14ac:dyDescent="0.35">
      <c r="A37" s="141"/>
      <c r="B37" s="141"/>
      <c r="C37" s="172"/>
      <c r="D37" s="172"/>
      <c r="E37" s="172"/>
      <c r="F37" s="141"/>
    </row>
    <row r="38" spans="1:6" ht="30" customHeight="1" thickBot="1" x14ac:dyDescent="0.4">
      <c r="A38" s="225" t="str">
        <f ca="1">TranslationsHIV!$A$132</f>
        <v>Prevention Programmatic Gap Table 2</v>
      </c>
      <c r="B38" s="226"/>
      <c r="C38" s="227"/>
      <c r="D38" s="228"/>
      <c r="E38" s="228"/>
      <c r="F38" s="229"/>
    </row>
    <row r="39" spans="1:6" ht="45" customHeight="1" x14ac:dyDescent="0.35">
      <c r="A39" s="138" t="str">
        <f ca="1">TranslationsHIV!$A$21</f>
        <v>Priority Module</v>
      </c>
      <c r="B39" s="467" t="s">
        <v>1148</v>
      </c>
      <c r="C39" s="468"/>
      <c r="D39" s="468"/>
      <c r="E39" s="468"/>
      <c r="F39" s="469"/>
    </row>
    <row r="40" spans="1:6" ht="45" customHeight="1" x14ac:dyDescent="0.35">
      <c r="A40" s="138" t="str">
        <f ca="1">TranslationsHIV!$A$22</f>
        <v>Selected coverage indicator</v>
      </c>
      <c r="B40" s="446" t="s">
        <v>1151</v>
      </c>
      <c r="C40" s="447"/>
      <c r="D40" s="447"/>
      <c r="E40" s="447"/>
      <c r="F40" s="448"/>
    </row>
    <row r="41" spans="1:6" ht="17.5" customHeight="1" x14ac:dyDescent="0.35">
      <c r="A41" s="211" t="str">
        <f ca="1">TranslationsHIV!$A$24</f>
        <v>Current national coverage</v>
      </c>
      <c r="B41" s="212"/>
      <c r="C41" s="150"/>
      <c r="D41" s="150"/>
      <c r="E41" s="150"/>
      <c r="F41" s="213"/>
    </row>
    <row r="42" spans="1:6" ht="45" customHeight="1" x14ac:dyDescent="0.35">
      <c r="A42" s="131" t="str">
        <f ca="1">TranslationsHIV!$A$25</f>
        <v>Insert latest results</v>
      </c>
      <c r="B42" s="87">
        <f>18243/120556.851311953</f>
        <v>0.15132279751396624</v>
      </c>
      <c r="C42" s="155" t="str">
        <f ca="1">TranslationsHIV!$A$26</f>
        <v>Year</v>
      </c>
      <c r="D42" s="215">
        <v>2021</v>
      </c>
      <c r="E42" s="153" t="str">
        <f ca="1">TranslationsHIV!$A$27</f>
        <v>Data source</v>
      </c>
      <c r="F42" s="18" t="s">
        <v>1723</v>
      </c>
    </row>
    <row r="43" spans="1:6" ht="45" customHeight="1" x14ac:dyDescent="0.35">
      <c r="A43" s="230" t="str">
        <f ca="1">TranslationsHIV!$A$28</f>
        <v>Comments</v>
      </c>
      <c r="B43" s="437" t="s">
        <v>1729</v>
      </c>
      <c r="C43" s="451"/>
      <c r="D43" s="451"/>
      <c r="E43" s="451"/>
      <c r="F43" s="439"/>
    </row>
    <row r="44" spans="1:6" ht="45" customHeight="1" x14ac:dyDescent="0.35">
      <c r="A44" s="193"/>
      <c r="B44" s="218"/>
      <c r="C44" s="155" t="str">
        <f ca="1">TranslationsHIV!$A$29</f>
        <v>Year 1</v>
      </c>
      <c r="D44" s="155" t="str">
        <f ca="1">TranslationsHIV!$A$30</f>
        <v>Year 2</v>
      </c>
      <c r="E44" s="155" t="str">
        <f ca="1">TranslationsHIV!$A$31</f>
        <v>Year 3</v>
      </c>
      <c r="F44" s="452" t="str">
        <f ca="1">TranslationsHIV!$A$34</f>
        <v>Comments / Assumptions</v>
      </c>
    </row>
    <row r="45" spans="1:6" ht="45" customHeight="1" x14ac:dyDescent="0.35">
      <c r="A45" s="194"/>
      <c r="B45" s="219"/>
      <c r="C45" s="238">
        <v>2024</v>
      </c>
      <c r="D45" s="140">
        <v>2025</v>
      </c>
      <c r="E45" s="140">
        <v>2026</v>
      </c>
      <c r="F45" s="453"/>
    </row>
    <row r="46" spans="1:6" ht="17.5" customHeight="1" x14ac:dyDescent="0.35">
      <c r="A46" s="211" t="str">
        <f ca="1">TranslationsHIV!$A$35</f>
        <v>Current estimated country need</v>
      </c>
      <c r="B46" s="212"/>
      <c r="C46" s="150"/>
      <c r="D46" s="150"/>
      <c r="E46" s="150"/>
      <c r="F46" s="213"/>
    </row>
    <row r="47" spans="1:6" ht="100" customHeight="1" x14ac:dyDescent="0.35">
      <c r="A47" s="231" t="str">
        <f ca="1">TranslationsHIV!$A$140</f>
        <v>A. Total estimated key and vulnerable populations in need</v>
      </c>
      <c r="B47" s="199" t="s">
        <v>8</v>
      </c>
      <c r="C47" s="328">
        <v>131352</v>
      </c>
      <c r="D47" s="328">
        <v>135162</v>
      </c>
      <c r="E47" s="328">
        <v>139081</v>
      </c>
      <c r="F47" s="216" t="s">
        <v>1730</v>
      </c>
    </row>
    <row r="48" spans="1:6" ht="45" customHeight="1" x14ac:dyDescent="0.35">
      <c r="A48" s="402" t="str">
        <f ca="1">TranslationsHIV!$A$109</f>
        <v>B1. Global targets as per the Global AIDS Strategy</v>
      </c>
      <c r="B48" s="200" t="s">
        <v>8</v>
      </c>
      <c r="C48" s="189">
        <f>IF(C47="","",(C47*C49))</f>
        <v>124784.4</v>
      </c>
      <c r="D48" s="189">
        <f t="shared" ref="D48:E48" si="12">IF(D47="","",(D47*D49))</f>
        <v>128403.9</v>
      </c>
      <c r="E48" s="189">
        <f t="shared" si="12"/>
        <v>132126.94999999998</v>
      </c>
      <c r="F48" s="420"/>
    </row>
    <row r="49" spans="1:6" ht="45" customHeight="1" x14ac:dyDescent="0.35">
      <c r="A49" s="402"/>
      <c r="B49" s="200" t="s">
        <v>9</v>
      </c>
      <c r="C49" s="327">
        <v>0.95</v>
      </c>
      <c r="D49" s="327">
        <v>0.95</v>
      </c>
      <c r="E49" s="327">
        <v>0.95</v>
      </c>
      <c r="F49" s="426"/>
    </row>
    <row r="50" spans="1:6" ht="210" customHeight="1" x14ac:dyDescent="0.35">
      <c r="A50" s="419" t="str">
        <f ca="1">TranslationsHIV!$A$37</f>
        <v>B2. Country targets 
(from National Strategic Plan)</v>
      </c>
      <c r="B50" s="200" t="s">
        <v>8</v>
      </c>
      <c r="C50" s="328">
        <v>118217</v>
      </c>
      <c r="D50" s="328">
        <v>125700</v>
      </c>
      <c r="E50" s="328">
        <v>132127</v>
      </c>
      <c r="F50" s="232" t="s">
        <v>1742</v>
      </c>
    </row>
    <row r="51" spans="1:6" ht="45" customHeight="1" x14ac:dyDescent="0.35">
      <c r="A51" s="425"/>
      <c r="B51" s="200" t="s">
        <v>9</v>
      </c>
      <c r="C51" s="190">
        <f>IF(C50=0,"",+C50/C47)</f>
        <v>0.90000152262622568</v>
      </c>
      <c r="D51" s="190">
        <f>IF(D50=0,"",+D50/D47)</f>
        <v>0.92999511697074622</v>
      </c>
      <c r="E51" s="190">
        <f>IF(E50=0,"",+E50/E47)</f>
        <v>0.95000035950273587</v>
      </c>
      <c r="F51" s="232"/>
    </row>
    <row r="52" spans="1:6" ht="17.5" customHeight="1" x14ac:dyDescent="0.35">
      <c r="A52" s="211" t="str">
        <f ca="1">TranslationsHIV!$A$38</f>
        <v>Country need to meet global targets already covered</v>
      </c>
      <c r="B52" s="212"/>
      <c r="C52" s="212"/>
      <c r="D52" s="212"/>
      <c r="E52" s="212"/>
      <c r="F52" s="213"/>
    </row>
    <row r="53" spans="1:6" ht="45" customHeight="1" x14ac:dyDescent="0.35">
      <c r="A53" s="419" t="str">
        <f ca="1">TranslationsHIV!$A$39</f>
        <v>C1. Global target planned to be covered by domestic resources</v>
      </c>
      <c r="B53" s="199" t="s">
        <v>8</v>
      </c>
      <c r="C53" s="139"/>
      <c r="D53" s="139"/>
      <c r="E53" s="139"/>
      <c r="F53" s="420" t="s">
        <v>1731</v>
      </c>
    </row>
    <row r="54" spans="1:6" ht="45" customHeight="1" x14ac:dyDescent="0.35">
      <c r="A54" s="425"/>
      <c r="B54" s="199" t="s">
        <v>9</v>
      </c>
      <c r="C54" s="333" t="str">
        <f>IF(C53=0,"",+C53/C48)</f>
        <v/>
      </c>
      <c r="D54" s="333" t="str">
        <f t="shared" ref="D54:E54" si="13">IF(D53=0,"",+D53/D48)</f>
        <v/>
      </c>
      <c r="E54" s="333" t="str">
        <f t="shared" si="13"/>
        <v/>
      </c>
      <c r="F54" s="426"/>
    </row>
    <row r="55" spans="1:6" ht="45" customHeight="1" x14ac:dyDescent="0.35">
      <c r="A55" s="419" t="str">
        <f ca="1">TranslationsHIV!$A$40</f>
        <v>C2. Global target planned to be covered by external resources</v>
      </c>
      <c r="B55" s="199" t="s">
        <v>8</v>
      </c>
      <c r="C55" s="334">
        <v>47287</v>
      </c>
      <c r="D55" s="334">
        <v>56565</v>
      </c>
      <c r="E55" s="334">
        <v>66064</v>
      </c>
      <c r="F55" s="233" t="s">
        <v>1736</v>
      </c>
    </row>
    <row r="56" spans="1:6" ht="45" customHeight="1" x14ac:dyDescent="0.35">
      <c r="A56" s="425"/>
      <c r="B56" s="199" t="s">
        <v>9</v>
      </c>
      <c r="C56" s="333">
        <f>IF(C55=0,"",+C55/C48)</f>
        <v>0.37894961229127999</v>
      </c>
      <c r="D56" s="333">
        <f t="shared" ref="D56:E56" si="14">IF(D55=0,"",+D55/D48)</f>
        <v>0.44052400277561665</v>
      </c>
      <c r="E56" s="333">
        <f t="shared" si="14"/>
        <v>0.50000397345129066</v>
      </c>
      <c r="F56" s="119"/>
    </row>
    <row r="57" spans="1:6" ht="45" customHeight="1" x14ac:dyDescent="0.35">
      <c r="A57" s="419" t="str">
        <f ca="1">TranslationsHIV!$A$41</f>
        <v>C3. Total global target already covered</v>
      </c>
      <c r="B57" s="199" t="s">
        <v>8</v>
      </c>
      <c r="C57" s="335">
        <f>C53+C55</f>
        <v>47287</v>
      </c>
      <c r="D57" s="335">
        <f t="shared" ref="D57:E57" si="15">D53+D55</f>
        <v>56565</v>
      </c>
      <c r="E57" s="335">
        <f t="shared" si="15"/>
        <v>66064</v>
      </c>
      <c r="F57" s="232"/>
    </row>
    <row r="58" spans="1:6" ht="45" customHeight="1" x14ac:dyDescent="0.35">
      <c r="A58" s="425"/>
      <c r="B58" s="199" t="s">
        <v>9</v>
      </c>
      <c r="C58" s="333">
        <f>IF(C57=0,"",C57/C48)</f>
        <v>0.37894961229127999</v>
      </c>
      <c r="D58" s="333">
        <f t="shared" ref="D58:E58" si="16">IF(D57=0,"",D57/D48)</f>
        <v>0.44052400277561665</v>
      </c>
      <c r="E58" s="333">
        <f t="shared" si="16"/>
        <v>0.50000397345129066</v>
      </c>
      <c r="F58" s="232"/>
    </row>
    <row r="59" spans="1:6" ht="17.5" customHeight="1" x14ac:dyDescent="0.35">
      <c r="A59" s="211" t="str">
        <f ca="1">TranslationsHIV!$A$42</f>
        <v>Programmatic gap</v>
      </c>
      <c r="B59" s="212"/>
      <c r="C59" s="212"/>
      <c r="D59" s="212"/>
      <c r="E59" s="212"/>
      <c r="F59" s="213"/>
    </row>
    <row r="60" spans="1:6" ht="45" customHeight="1" x14ac:dyDescent="0.35">
      <c r="A60" s="419" t="str">
        <f ca="1">TranslationsHIV!$A$43</f>
        <v>D. Expected annual gap in meeting the need: B1 - C3</v>
      </c>
      <c r="B60" s="199" t="s">
        <v>8</v>
      </c>
      <c r="C60" s="336">
        <f>IF(C57=0,C48,C48-(C57))</f>
        <v>77497.399999999994</v>
      </c>
      <c r="D60" s="336">
        <f t="shared" ref="D60:E60" si="17">IF(D57=0,D48,D48-(D57))</f>
        <v>71838.899999999994</v>
      </c>
      <c r="E60" s="336">
        <f t="shared" si="17"/>
        <v>66062.949999999983</v>
      </c>
      <c r="F60" s="420"/>
    </row>
    <row r="61" spans="1:6" ht="45" customHeight="1" x14ac:dyDescent="0.35">
      <c r="A61" s="425"/>
      <c r="B61" s="199" t="s">
        <v>9</v>
      </c>
      <c r="C61" s="333">
        <f>IF(C60="","",+C60/C48)</f>
        <v>0.62105038770872001</v>
      </c>
      <c r="D61" s="333">
        <f t="shared" ref="D61:E61" si="18">IF(D60="","",+D60/D48)</f>
        <v>0.55947599722438335</v>
      </c>
      <c r="E61" s="333">
        <f t="shared" si="18"/>
        <v>0.49999602654870934</v>
      </c>
      <c r="F61" s="426"/>
    </row>
    <row r="62" spans="1:6" ht="22" customHeight="1" x14ac:dyDescent="0.35">
      <c r="A62" s="211" t="str">
        <f ca="1">TranslationsHIV!$A$44</f>
        <v>Country need to meet global targets covered with the allocation amount</v>
      </c>
      <c r="B62" s="212"/>
      <c r="C62" s="212"/>
      <c r="D62" s="212"/>
      <c r="E62" s="212"/>
      <c r="F62" s="213"/>
    </row>
    <row r="63" spans="1:6" ht="112.5" customHeight="1" x14ac:dyDescent="0.35">
      <c r="A63" s="419" t="str">
        <f ca="1">TranslationsHIV!$A$45</f>
        <v>E. Targets to be financed by allocation amount</v>
      </c>
      <c r="B63" s="200" t="s">
        <v>8</v>
      </c>
      <c r="C63" s="139">
        <v>41376</v>
      </c>
      <c r="D63" s="139">
        <v>50280</v>
      </c>
      <c r="E63" s="139">
        <v>59457</v>
      </c>
      <c r="F63" s="420" t="s">
        <v>1803</v>
      </c>
    </row>
    <row r="64" spans="1:6" ht="134.5" customHeight="1" x14ac:dyDescent="0.35">
      <c r="A64" s="425"/>
      <c r="B64" s="200" t="s">
        <v>9</v>
      </c>
      <c r="C64" s="333">
        <f>IF(C63=0,"",+C63/C48)</f>
        <v>0.33157990902708995</v>
      </c>
      <c r="D64" s="333">
        <f t="shared" ref="D64:E64" si="19">IF(D63=0,"",+D63/D48)</f>
        <v>0.39157689135610368</v>
      </c>
      <c r="E64" s="333">
        <f t="shared" si="19"/>
        <v>0.44999903501897237</v>
      </c>
      <c r="F64" s="426"/>
    </row>
    <row r="65" spans="1:6" ht="45" customHeight="1" x14ac:dyDescent="0.35">
      <c r="A65" s="419" t="str">
        <f ca="1">TranslationsHIV!$A$46</f>
        <v>F. Coverage from allocation amount and other resources: E + C3</v>
      </c>
      <c r="B65" s="200" t="s">
        <v>8</v>
      </c>
      <c r="C65" s="336">
        <f>IF(C57="",C63,C63+C57)</f>
        <v>88663</v>
      </c>
      <c r="D65" s="336">
        <f t="shared" ref="D65:E65" si="20">IF(D57="",D63,D63+D57)</f>
        <v>106845</v>
      </c>
      <c r="E65" s="336">
        <f t="shared" si="20"/>
        <v>125521</v>
      </c>
      <c r="F65" s="420"/>
    </row>
    <row r="66" spans="1:6" ht="45" customHeight="1" x14ac:dyDescent="0.35">
      <c r="A66" s="425"/>
      <c r="B66" s="200" t="s">
        <v>9</v>
      </c>
      <c r="C66" s="333">
        <f>IF(C65=0,"",+C65/C48)</f>
        <v>0.71052952131836999</v>
      </c>
      <c r="D66" s="333">
        <f t="shared" ref="D66:E66" si="21">IF(D65=0,"",+D65/D48)</f>
        <v>0.83210089413172028</v>
      </c>
      <c r="E66" s="333">
        <f t="shared" si="21"/>
        <v>0.95000300847026298</v>
      </c>
      <c r="F66" s="426"/>
    </row>
    <row r="67" spans="1:6" ht="45" customHeight="1" x14ac:dyDescent="0.35">
      <c r="A67" s="419" t="str">
        <f ca="1">TranslationsHIV!$A$47</f>
        <v xml:space="preserve">G. Remaining gap: B1 - F </v>
      </c>
      <c r="B67" s="200" t="s">
        <v>8</v>
      </c>
      <c r="C67" s="336">
        <f>IF(C65=0,C48,C48-(C65))</f>
        <v>36121.399999999994</v>
      </c>
      <c r="D67" s="336">
        <f t="shared" ref="D67:E67" si="22">IF(D65=0,D48,D48-(D65))</f>
        <v>21558.899999999994</v>
      </c>
      <c r="E67" s="336">
        <f t="shared" si="22"/>
        <v>6605.9499999999825</v>
      </c>
      <c r="F67" s="420"/>
    </row>
    <row r="68" spans="1:6" ht="45" customHeight="1" x14ac:dyDescent="0.35">
      <c r="A68" s="425"/>
      <c r="B68" s="200" t="s">
        <v>9</v>
      </c>
      <c r="C68" s="333">
        <f>IF(C67="","",C67/C48)</f>
        <v>0.28947047868163006</v>
      </c>
      <c r="D68" s="333">
        <f t="shared" ref="D68:E68" si="23">IF(D67="","",D67/D48)</f>
        <v>0.16789910586827966</v>
      </c>
      <c r="E68" s="333">
        <f t="shared" si="23"/>
        <v>4.9996991529736995E-2</v>
      </c>
      <c r="F68" s="426"/>
    </row>
    <row r="69" spans="1:6" x14ac:dyDescent="0.35">
      <c r="A69" s="142"/>
      <c r="B69" s="142"/>
      <c r="C69" s="187"/>
      <c r="D69" s="187"/>
      <c r="E69" s="187"/>
      <c r="F69" s="142"/>
    </row>
    <row r="70" spans="1:6" ht="30" customHeight="1" thickBot="1" x14ac:dyDescent="0.4">
      <c r="A70" s="225" t="str">
        <f ca="1">TranslationsHIV!$A$133</f>
        <v>Prevention Programmatic Gap Table 3</v>
      </c>
      <c r="B70" s="226"/>
      <c r="C70" s="227"/>
      <c r="D70" s="228"/>
      <c r="E70" s="228"/>
      <c r="F70" s="229"/>
    </row>
    <row r="71" spans="1:6" ht="45" customHeight="1" x14ac:dyDescent="0.35">
      <c r="A71" s="138" t="str">
        <f ca="1">TranslationsHIV!$A$21</f>
        <v>Priority Module</v>
      </c>
      <c r="B71" s="467" t="s">
        <v>1163</v>
      </c>
      <c r="C71" s="468"/>
      <c r="D71" s="468"/>
      <c r="E71" s="468"/>
      <c r="F71" s="469"/>
    </row>
    <row r="72" spans="1:6" ht="45" customHeight="1" x14ac:dyDescent="0.35">
      <c r="A72" s="138" t="str">
        <f ca="1">TranslationsHIV!$A$22</f>
        <v>Selected coverage indicator</v>
      </c>
      <c r="B72" s="446" t="s">
        <v>1166</v>
      </c>
      <c r="C72" s="447"/>
      <c r="D72" s="447"/>
      <c r="E72" s="447"/>
      <c r="F72" s="448"/>
    </row>
    <row r="73" spans="1:6" ht="17.5" customHeight="1" x14ac:dyDescent="0.35">
      <c r="A73" s="211" t="str">
        <f ca="1">TranslationsHIV!$A$24</f>
        <v>Current national coverage</v>
      </c>
      <c r="B73" s="212"/>
      <c r="C73" s="150"/>
      <c r="D73" s="150"/>
      <c r="E73" s="150"/>
      <c r="F73" s="213"/>
    </row>
    <row r="74" spans="1:6" ht="45" customHeight="1" x14ac:dyDescent="0.35">
      <c r="A74" s="131" t="str">
        <f ca="1">TranslationsHIV!$A$25</f>
        <v>Insert latest results</v>
      </c>
      <c r="B74" s="87">
        <f>7550/107034.985422741</f>
        <v>7.0537684199057246E-2</v>
      </c>
      <c r="C74" s="155" t="str">
        <f ca="1">TranslationsHIV!$A$26</f>
        <v>Year</v>
      </c>
      <c r="D74" s="210">
        <v>2021</v>
      </c>
      <c r="E74" s="153" t="str">
        <f ca="1">TranslationsHIV!$A$27</f>
        <v>Data source</v>
      </c>
      <c r="F74" s="18" t="s">
        <v>1723</v>
      </c>
    </row>
    <row r="75" spans="1:6" ht="45" customHeight="1" x14ac:dyDescent="0.35">
      <c r="A75" s="230" t="str">
        <f ca="1">TranslationsHIV!$A$28</f>
        <v>Comments</v>
      </c>
      <c r="B75" s="437" t="s">
        <v>1732</v>
      </c>
      <c r="C75" s="451"/>
      <c r="D75" s="451"/>
      <c r="E75" s="451"/>
      <c r="F75" s="439"/>
    </row>
    <row r="76" spans="1:6" ht="45" customHeight="1" x14ac:dyDescent="0.35">
      <c r="A76" s="193"/>
      <c r="B76" s="218"/>
      <c r="C76" s="246" t="str">
        <f ca="1">TranslationsHIV!$A$29</f>
        <v>Year 1</v>
      </c>
      <c r="D76" s="155" t="str">
        <f ca="1">TranslationsHIV!$A$30</f>
        <v>Year 2</v>
      </c>
      <c r="E76" s="155" t="str">
        <f ca="1">TranslationsHIV!$A$31</f>
        <v>Year 3</v>
      </c>
      <c r="F76" s="452" t="str">
        <f ca="1">TranslationsHIV!$A$34</f>
        <v>Comments / Assumptions</v>
      </c>
    </row>
    <row r="77" spans="1:6" ht="45" customHeight="1" x14ac:dyDescent="0.35">
      <c r="A77" s="194"/>
      <c r="B77" s="219"/>
      <c r="C77" s="238">
        <v>2024</v>
      </c>
      <c r="D77" s="140">
        <v>2025</v>
      </c>
      <c r="E77" s="140">
        <v>2026</v>
      </c>
      <c r="F77" s="453"/>
    </row>
    <row r="78" spans="1:6" ht="17.5" customHeight="1" x14ac:dyDescent="0.35">
      <c r="A78" s="211" t="str">
        <f ca="1">TranslationsHIV!$A$35</f>
        <v>Current estimated country need</v>
      </c>
      <c r="B78" s="214"/>
      <c r="C78" s="150"/>
      <c r="D78" s="150"/>
      <c r="E78" s="150"/>
      <c r="F78" s="213"/>
    </row>
    <row r="79" spans="1:6" ht="151" customHeight="1" x14ac:dyDescent="0.35">
      <c r="A79" s="231" t="str">
        <f ca="1">TranslationsHIV!$A$140</f>
        <v>A. Total estimated key and vulnerable populations in need</v>
      </c>
      <c r="B79" s="199" t="s">
        <v>8</v>
      </c>
      <c r="C79" s="328">
        <v>116620</v>
      </c>
      <c r="D79" s="328">
        <v>120002</v>
      </c>
      <c r="E79" s="328">
        <v>123482</v>
      </c>
      <c r="F79" s="216" t="s">
        <v>1746</v>
      </c>
    </row>
    <row r="80" spans="1:6" ht="45" customHeight="1" x14ac:dyDescent="0.35">
      <c r="A80" s="402" t="str">
        <f ca="1">TranslationsHIV!$A$109</f>
        <v>B1. Global targets as per the Global AIDS Strategy</v>
      </c>
      <c r="B80" s="200" t="s">
        <v>8</v>
      </c>
      <c r="C80" s="189">
        <f>IF(C79="","",(C79*C81))</f>
        <v>110789</v>
      </c>
      <c r="D80" s="189">
        <f t="shared" ref="D80:E80" si="24">IF(D79="","",(D79*D81))</f>
        <v>114001.9</v>
      </c>
      <c r="E80" s="189">
        <f t="shared" si="24"/>
        <v>117307.9</v>
      </c>
      <c r="F80" s="420"/>
    </row>
    <row r="81" spans="1:6" ht="45" customHeight="1" x14ac:dyDescent="0.35">
      <c r="A81" s="402"/>
      <c r="B81" s="200" t="s">
        <v>9</v>
      </c>
      <c r="C81" s="327">
        <v>0.95</v>
      </c>
      <c r="D81" s="327">
        <v>0.95</v>
      </c>
      <c r="E81" s="327">
        <v>0.95</v>
      </c>
      <c r="F81" s="426"/>
    </row>
    <row r="82" spans="1:6" ht="93" customHeight="1" x14ac:dyDescent="0.35">
      <c r="A82" s="419" t="str">
        <f ca="1">TranslationsHIV!$A$37</f>
        <v>B2. Country targets 
(from National Strategic Plan)</v>
      </c>
      <c r="B82" s="200" t="s">
        <v>8</v>
      </c>
      <c r="C82" s="328">
        <v>104958</v>
      </c>
      <c r="D82" s="328">
        <v>111602</v>
      </c>
      <c r="E82" s="328">
        <v>117308</v>
      </c>
      <c r="F82" s="232" t="s">
        <v>1733</v>
      </c>
    </row>
    <row r="83" spans="1:6" ht="45" customHeight="1" x14ac:dyDescent="0.35">
      <c r="A83" s="425"/>
      <c r="B83" s="200" t="s">
        <v>9</v>
      </c>
      <c r="C83" s="190">
        <f>IF(C82=0,"",+C82/C79)</f>
        <v>0.9</v>
      </c>
      <c r="D83" s="190">
        <f>IF(D82=0,"",+D82/D79)</f>
        <v>0.93000116664722254</v>
      </c>
      <c r="E83" s="190">
        <f>IF(E82=0,"",+E82/E79)</f>
        <v>0.95000080983463175</v>
      </c>
      <c r="F83" s="232"/>
    </row>
    <row r="84" spans="1:6" ht="17.5" customHeight="1" x14ac:dyDescent="0.35">
      <c r="A84" s="211" t="str">
        <f ca="1">TranslationsHIV!$A$38</f>
        <v>Country need to meet global targets already covered</v>
      </c>
      <c r="B84" s="212"/>
      <c r="C84" s="212"/>
      <c r="D84" s="212"/>
      <c r="E84" s="212"/>
      <c r="F84" s="213"/>
    </row>
    <row r="85" spans="1:6" ht="45" customHeight="1" x14ac:dyDescent="0.35">
      <c r="A85" s="419" t="str">
        <f ca="1">TranslationsHIV!$A$39</f>
        <v>C1. Global target planned to be covered by domestic resources</v>
      </c>
      <c r="B85" s="199" t="s">
        <v>8</v>
      </c>
      <c r="C85" s="139"/>
      <c r="D85" s="139"/>
      <c r="E85" s="139"/>
      <c r="F85" s="420" t="s">
        <v>1734</v>
      </c>
    </row>
    <row r="86" spans="1:6" ht="45" customHeight="1" x14ac:dyDescent="0.35">
      <c r="A86" s="425"/>
      <c r="B86" s="199" t="s">
        <v>9</v>
      </c>
      <c r="C86" s="333" t="str">
        <f>IF(C85=0,"",+C85/C80)</f>
        <v/>
      </c>
      <c r="D86" s="333" t="str">
        <f t="shared" ref="D86:E86" si="25">IF(D85=0,"",+D85/D80)</f>
        <v/>
      </c>
      <c r="E86" s="333" t="str">
        <f t="shared" si="25"/>
        <v/>
      </c>
      <c r="F86" s="426"/>
    </row>
    <row r="87" spans="1:6" ht="162.75" customHeight="1" x14ac:dyDescent="0.35">
      <c r="A87" s="419" t="str">
        <f ca="1">TranslationsHIV!$A$40</f>
        <v>C2. Global target planned to be covered by external resources</v>
      </c>
      <c r="B87" s="199" t="s">
        <v>8</v>
      </c>
      <c r="C87" s="334">
        <v>10496</v>
      </c>
      <c r="D87" s="334">
        <v>16740</v>
      </c>
      <c r="E87" s="334">
        <v>23462</v>
      </c>
      <c r="F87" s="18" t="s">
        <v>1738</v>
      </c>
    </row>
    <row r="88" spans="1:6" ht="45" customHeight="1" x14ac:dyDescent="0.35">
      <c r="A88" s="425"/>
      <c r="B88" s="199" t="s">
        <v>9</v>
      </c>
      <c r="C88" s="333">
        <f>IF(C87=0,"",+C87/C80)</f>
        <v>9.4738647338634699E-2</v>
      </c>
      <c r="D88" s="333">
        <f t="shared" ref="D88:E88" si="26">IF(D87=0,"",+D87/D80)</f>
        <v>0.14683965793552564</v>
      </c>
      <c r="E88" s="333">
        <f t="shared" si="26"/>
        <v>0.20000358032152993</v>
      </c>
      <c r="F88" s="119"/>
    </row>
    <row r="89" spans="1:6" ht="45" customHeight="1" x14ac:dyDescent="0.35">
      <c r="A89" s="419" t="str">
        <f ca="1">TranslationsHIV!$A$41</f>
        <v>C3. Total global target already covered</v>
      </c>
      <c r="B89" s="199" t="s">
        <v>8</v>
      </c>
      <c r="C89" s="335">
        <f>C85+C87</f>
        <v>10496</v>
      </c>
      <c r="D89" s="335">
        <f t="shared" ref="D89:E89" si="27">D85+D87</f>
        <v>16740</v>
      </c>
      <c r="E89" s="335">
        <f t="shared" si="27"/>
        <v>23462</v>
      </c>
      <c r="F89" s="232"/>
    </row>
    <row r="90" spans="1:6" ht="45" customHeight="1" x14ac:dyDescent="0.35">
      <c r="A90" s="425"/>
      <c r="B90" s="199" t="s">
        <v>9</v>
      </c>
      <c r="C90" s="333">
        <f>IF(C89=0,"",C89/C80)</f>
        <v>9.4738647338634699E-2</v>
      </c>
      <c r="D90" s="333">
        <f t="shared" ref="D90:E90" si="28">IF(D89=0,"",D89/D80)</f>
        <v>0.14683965793552564</v>
      </c>
      <c r="E90" s="333">
        <f t="shared" si="28"/>
        <v>0.20000358032152993</v>
      </c>
      <c r="F90" s="232"/>
    </row>
    <row r="91" spans="1:6" ht="17.5" customHeight="1" x14ac:dyDescent="0.35">
      <c r="A91" s="211" t="str">
        <f ca="1">TranslationsHIV!$A$42</f>
        <v>Programmatic gap</v>
      </c>
      <c r="B91" s="212"/>
      <c r="C91" s="212"/>
      <c r="D91" s="212"/>
      <c r="E91" s="212"/>
      <c r="F91" s="213"/>
    </row>
    <row r="92" spans="1:6" ht="45" customHeight="1" x14ac:dyDescent="0.35">
      <c r="A92" s="419" t="str">
        <f ca="1">TranslationsHIV!$A$43</f>
        <v>D. Expected annual gap in meeting the need: B1 - C3</v>
      </c>
      <c r="B92" s="199" t="s">
        <v>8</v>
      </c>
      <c r="C92" s="336">
        <f>IF(C89=0,C80,C80-(C89))</f>
        <v>100293</v>
      </c>
      <c r="D92" s="336">
        <f t="shared" ref="D92:E92" si="29">IF(D89=0,D80,D80-(D89))</f>
        <v>97261.9</v>
      </c>
      <c r="E92" s="336">
        <f t="shared" si="29"/>
        <v>93845.9</v>
      </c>
      <c r="F92" s="420"/>
    </row>
    <row r="93" spans="1:6" ht="45" customHeight="1" x14ac:dyDescent="0.35">
      <c r="A93" s="425"/>
      <c r="B93" s="199" t="s">
        <v>9</v>
      </c>
      <c r="C93" s="333">
        <f>IF(C92="","",+C92/C80)</f>
        <v>0.90526135266136531</v>
      </c>
      <c r="D93" s="333">
        <f t="shared" ref="D93:E93" si="30">IF(D92="","",+D92/D80)</f>
        <v>0.85316034206447433</v>
      </c>
      <c r="E93" s="333">
        <f t="shared" si="30"/>
        <v>0.79999641967847002</v>
      </c>
      <c r="F93" s="426"/>
    </row>
    <row r="94" spans="1:6" ht="17.5" customHeight="1" x14ac:dyDescent="0.35">
      <c r="A94" s="211" t="str">
        <f ca="1">TranslationsHIV!$A$44</f>
        <v>Country need to meet global targets covered with the allocation amount</v>
      </c>
      <c r="B94" s="212"/>
      <c r="C94" s="212"/>
      <c r="D94" s="212"/>
      <c r="E94" s="212"/>
      <c r="F94" s="213"/>
    </row>
    <row r="95" spans="1:6" ht="45" customHeight="1" x14ac:dyDescent="0.35">
      <c r="A95" s="419" t="str">
        <f ca="1">TranslationsHIV!$A$45</f>
        <v>E. Targets to be financed by allocation amount</v>
      </c>
      <c r="B95" s="200" t="s">
        <v>8</v>
      </c>
      <c r="C95" s="139">
        <v>15744</v>
      </c>
      <c r="D95" s="139">
        <v>22320</v>
      </c>
      <c r="E95" s="139">
        <v>29327</v>
      </c>
      <c r="F95" s="420" t="s">
        <v>1799</v>
      </c>
    </row>
    <row r="96" spans="1:6" ht="45" customHeight="1" x14ac:dyDescent="0.35">
      <c r="A96" s="425"/>
      <c r="B96" s="200" t="s">
        <v>9</v>
      </c>
      <c r="C96" s="333">
        <f>IF(C95=0,"",+C95/C80)</f>
        <v>0.14210797100795206</v>
      </c>
      <c r="D96" s="333">
        <f t="shared" ref="D96:E96" si="31">IF(D95=0,"",+D95/D80)</f>
        <v>0.19578621058070086</v>
      </c>
      <c r="E96" s="333">
        <f t="shared" si="31"/>
        <v>0.25000021311437681</v>
      </c>
      <c r="F96" s="426"/>
    </row>
    <row r="97" spans="1:6" ht="45" customHeight="1" x14ac:dyDescent="0.35">
      <c r="A97" s="419" t="str">
        <f ca="1">TranslationsHIV!$A$46</f>
        <v>F. Coverage from allocation amount and other resources: E + C3</v>
      </c>
      <c r="B97" s="200" t="s">
        <v>8</v>
      </c>
      <c r="C97" s="336">
        <f>IF(C89="",C95,C95+C89)</f>
        <v>26240</v>
      </c>
      <c r="D97" s="336">
        <f t="shared" ref="D97:E97" si="32">IF(D89="",D95,D95+D89)</f>
        <v>39060</v>
      </c>
      <c r="E97" s="336">
        <f t="shared" si="32"/>
        <v>52789</v>
      </c>
      <c r="F97" s="420"/>
    </row>
    <row r="98" spans="1:6" ht="45" customHeight="1" x14ac:dyDescent="0.35">
      <c r="A98" s="425"/>
      <c r="B98" s="200" t="s">
        <v>9</v>
      </c>
      <c r="C98" s="333">
        <f>IF(C97=0,"",+C97/C80)</f>
        <v>0.23684661834658677</v>
      </c>
      <c r="D98" s="333">
        <f t="shared" ref="D98:E98" si="33">IF(D97=0,"",+D97/D80)</f>
        <v>0.34262586851622651</v>
      </c>
      <c r="E98" s="333">
        <f t="shared" si="33"/>
        <v>0.45000379343590674</v>
      </c>
      <c r="F98" s="426"/>
    </row>
    <row r="99" spans="1:6" ht="45" customHeight="1" x14ac:dyDescent="0.35">
      <c r="A99" s="419" t="str">
        <f ca="1">TranslationsHIV!$A$47</f>
        <v xml:space="preserve">G. Remaining gap: B1 - F </v>
      </c>
      <c r="B99" s="200" t="s">
        <v>8</v>
      </c>
      <c r="C99" s="336">
        <f>IF(C97=0,C80,C80-(C97))</f>
        <v>84549</v>
      </c>
      <c r="D99" s="336">
        <f t="shared" ref="D99:E99" si="34">IF(D97=0,D80,D80-(D97))</f>
        <v>74941.899999999994</v>
      </c>
      <c r="E99" s="336">
        <f t="shared" si="34"/>
        <v>64518.899999999994</v>
      </c>
      <c r="F99" s="420"/>
    </row>
    <row r="100" spans="1:6" ht="45" customHeight="1" x14ac:dyDescent="0.35">
      <c r="A100" s="449"/>
      <c r="B100" s="239" t="s">
        <v>9</v>
      </c>
      <c r="C100" s="333">
        <f>IF(C99="","",C99/C80)</f>
        <v>0.76315338165341329</v>
      </c>
      <c r="D100" s="333">
        <f t="shared" ref="D100:E100" si="35">IF(D99="","",D99/D80)</f>
        <v>0.65737413148377355</v>
      </c>
      <c r="E100" s="333">
        <f t="shared" si="35"/>
        <v>0.54999620656409332</v>
      </c>
      <c r="F100" s="450"/>
    </row>
    <row r="101" spans="1:6" x14ac:dyDescent="0.35">
      <c r="A101" s="454" t="s">
        <v>10</v>
      </c>
      <c r="B101" s="455"/>
      <c r="C101" s="455"/>
      <c r="D101" s="455"/>
      <c r="E101" s="455"/>
      <c r="F101" s="456"/>
    </row>
    <row r="102" spans="1:6" x14ac:dyDescent="0.35">
      <c r="A102" s="457"/>
      <c r="B102" s="458"/>
      <c r="C102" s="458"/>
      <c r="D102" s="458"/>
      <c r="E102" s="458"/>
      <c r="F102" s="459"/>
    </row>
    <row r="103" spans="1:6" x14ac:dyDescent="0.35">
      <c r="A103" s="457"/>
      <c r="B103" s="458"/>
      <c r="C103" s="458"/>
      <c r="D103" s="458"/>
      <c r="E103" s="458"/>
      <c r="F103" s="459"/>
    </row>
    <row r="104" spans="1:6" x14ac:dyDescent="0.35">
      <c r="A104" s="457"/>
      <c r="B104" s="458"/>
      <c r="C104" s="458"/>
      <c r="D104" s="458"/>
      <c r="E104" s="458"/>
      <c r="F104" s="459"/>
    </row>
    <row r="105" spans="1:6" x14ac:dyDescent="0.35">
      <c r="A105" s="457"/>
      <c r="B105" s="458"/>
      <c r="C105" s="458"/>
      <c r="D105" s="458"/>
      <c r="E105" s="458"/>
      <c r="F105" s="459"/>
    </row>
    <row r="106" spans="1:6" x14ac:dyDescent="0.35">
      <c r="A106" s="457"/>
      <c r="B106" s="458"/>
      <c r="C106" s="458"/>
      <c r="D106" s="458"/>
      <c r="E106" s="458"/>
      <c r="F106" s="459"/>
    </row>
    <row r="107" spans="1:6" x14ac:dyDescent="0.35">
      <c r="A107" s="457"/>
      <c r="B107" s="458"/>
      <c r="C107" s="458"/>
      <c r="D107" s="458"/>
      <c r="E107" s="458"/>
      <c r="F107" s="459"/>
    </row>
    <row r="108" spans="1:6" x14ac:dyDescent="0.35">
      <c r="A108" s="457"/>
      <c r="B108" s="458"/>
      <c r="C108" s="458"/>
      <c r="D108" s="458"/>
      <c r="E108" s="458"/>
      <c r="F108" s="459"/>
    </row>
    <row r="109" spans="1:6" x14ac:dyDescent="0.35">
      <c r="A109" s="457"/>
      <c r="B109" s="458"/>
      <c r="C109" s="458"/>
      <c r="D109" s="458"/>
      <c r="E109" s="458"/>
      <c r="F109" s="459"/>
    </row>
    <row r="110" spans="1:6" x14ac:dyDescent="0.35">
      <c r="A110" s="457"/>
      <c r="B110" s="458"/>
      <c r="C110" s="458"/>
      <c r="D110" s="458"/>
      <c r="E110" s="458"/>
      <c r="F110" s="459"/>
    </row>
    <row r="111" spans="1:6" x14ac:dyDescent="0.35">
      <c r="A111" s="460"/>
      <c r="B111" s="461"/>
      <c r="C111" s="461"/>
      <c r="D111" s="461"/>
      <c r="E111" s="461"/>
      <c r="F111" s="462"/>
    </row>
  </sheetData>
  <sheetProtection algorithmName="SHA-512" hashValue="MQ885u7qq9ynITqe56HdfRX/xMKULsealrjagxsZ+zO0Cm1SkDZYWGQ+p/MmqbEjJshUXjBh8VjX2YaZFjprqA==" saltValue="jofGpxoXMaty1OVcMPdexg==" spinCount="100000" sheet="1" formatColumns="0" formatRows="0"/>
  <mergeCells count="63">
    <mergeCell ref="A97:A98"/>
    <mergeCell ref="F97:F98"/>
    <mergeCell ref="A99:A100"/>
    <mergeCell ref="F99:F100"/>
    <mergeCell ref="A87:A88"/>
    <mergeCell ref="A89:A90"/>
    <mergeCell ref="A92:A93"/>
    <mergeCell ref="F92:F93"/>
    <mergeCell ref="A95:A96"/>
    <mergeCell ref="F95:F96"/>
    <mergeCell ref="A101:F111"/>
    <mergeCell ref="A63:A64"/>
    <mergeCell ref="F63:F64"/>
    <mergeCell ref="A65:A66"/>
    <mergeCell ref="F65:F66"/>
    <mergeCell ref="A67:A68"/>
    <mergeCell ref="F67:F68"/>
    <mergeCell ref="B71:F71"/>
    <mergeCell ref="B72:F72"/>
    <mergeCell ref="B75:F75"/>
    <mergeCell ref="F76:F77"/>
    <mergeCell ref="A80:A81"/>
    <mergeCell ref="F80:F81"/>
    <mergeCell ref="A82:A83"/>
    <mergeCell ref="A85:A86"/>
    <mergeCell ref="F85:F86"/>
    <mergeCell ref="A60:A61"/>
    <mergeCell ref="F60:F61"/>
    <mergeCell ref="B39:F39"/>
    <mergeCell ref="B40:F40"/>
    <mergeCell ref="B43:F43"/>
    <mergeCell ref="F44:F45"/>
    <mergeCell ref="A48:A49"/>
    <mergeCell ref="F48:F49"/>
    <mergeCell ref="A50:A51"/>
    <mergeCell ref="A53:A54"/>
    <mergeCell ref="F53:F54"/>
    <mergeCell ref="A55:A56"/>
    <mergeCell ref="A57:A58"/>
    <mergeCell ref="A30:A31"/>
    <mergeCell ref="F30:F31"/>
    <mergeCell ref="A32:A33"/>
    <mergeCell ref="F32:F33"/>
    <mergeCell ref="A34:A35"/>
    <mergeCell ref="F34:F35"/>
    <mergeCell ref="A27:A28"/>
    <mergeCell ref="F27:F28"/>
    <mergeCell ref="B7:F7"/>
    <mergeCell ref="B10:F10"/>
    <mergeCell ref="F11:F12"/>
    <mergeCell ref="A15:A16"/>
    <mergeCell ref="F15:F16"/>
    <mergeCell ref="A17:A18"/>
    <mergeCell ref="A20:A21"/>
    <mergeCell ref="F20:F21"/>
    <mergeCell ref="A22:A23"/>
    <mergeCell ref="A24:A25"/>
    <mergeCell ref="B6:F6"/>
    <mergeCell ref="A1:E1"/>
    <mergeCell ref="F1:F3"/>
    <mergeCell ref="A2:E2"/>
    <mergeCell ref="A3:E3"/>
    <mergeCell ref="A4:F4"/>
  </mergeCells>
  <pageMargins left="0.7" right="0.7" top="0.75" bottom="0.75" header="0.3" footer="0.3"/>
  <pageSetup paperSize="8" scale="83" fitToHeight="0" orientation="portrait" r:id="rId1"/>
  <rowBreaks count="3" manualBreakCount="3">
    <brk id="33" max="5" man="1"/>
    <brk id="66" max="5" man="1"/>
    <brk id="98" max="5" man="1"/>
  </rowBreaks>
  <extLst>
    <ext xmlns:x14="http://schemas.microsoft.com/office/spreadsheetml/2009/9/main" uri="{CCE6A557-97BC-4b89-ADB6-D9C93CAAB3DF}">
      <x14:dataValidations xmlns:xm="http://schemas.microsoft.com/office/excel/2006/main" count="2">
        <x14:dataValidation type="list" allowBlank="1" showInputMessage="1" showErrorMessage="1" xr:uid="{F15CFAA0-B974-41FD-9A30-2DDC3CA699A6}">
          <x14:formula1>
            <xm:f>'HIV dropdown'!$A$112:$A$118</xm:f>
          </x14:formula1>
          <xm:sqref>B6:F6 B39:F39 B71:F71</xm:sqref>
        </x14:dataValidation>
        <x14:dataValidation type="list" allowBlank="1" showInputMessage="1" showErrorMessage="1" xr:uid="{B0853C50-FAFB-4A6F-A268-B59115BC6E68}">
          <x14:formula1>
            <xm:f>'HIV dropdown'!$G$112:$G$118</xm:f>
          </x14:formula1>
          <xm:sqref>B7:F7 B40:F40 B72:F72</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11">
    <tabColor rgb="FFFF5050"/>
  </sheetPr>
  <dimension ref="A1:U103"/>
  <sheetViews>
    <sheetView view="pageBreakPreview" topLeftCell="A13" zoomScale="80" zoomScaleNormal="80" zoomScaleSheetLayoutView="80" workbookViewId="0">
      <selection activeCell="A24" sqref="A24:A25"/>
    </sheetView>
  </sheetViews>
  <sheetFormatPr defaultColWidth="9" defaultRowHeight="14" x14ac:dyDescent="0.3"/>
  <cols>
    <col min="1" max="1" width="30.58203125" style="12" customWidth="1"/>
    <col min="2" max="2" width="11.58203125" style="12" customWidth="1"/>
    <col min="3" max="5" width="11.58203125" style="179" customWidth="1"/>
    <col min="6" max="6" width="68.33203125" style="12" customWidth="1"/>
    <col min="7" max="7" width="15.08203125" style="12" customWidth="1"/>
    <col min="8" max="8" width="21.58203125" style="12" customWidth="1"/>
    <col min="9" max="9" width="9" style="12"/>
    <col min="10" max="10" width="10.08203125" style="12" customWidth="1"/>
    <col min="11" max="11" width="10.58203125" style="12" customWidth="1"/>
    <col min="12" max="12" width="12.08203125" style="12" customWidth="1"/>
    <col min="13" max="16384" width="9" style="12"/>
  </cols>
  <sheetData>
    <row r="1" spans="1:21" ht="22" customHeight="1" x14ac:dyDescent="0.3">
      <c r="A1" s="475" t="s">
        <v>3</v>
      </c>
      <c r="B1" s="475"/>
      <c r="C1" s="475"/>
      <c r="D1" s="475"/>
      <c r="E1" s="475"/>
      <c r="F1" s="472" t="str">
        <f ca="1">TranslationsHIV!$G$118</f>
        <v>Latest version updated: 13 March 2023</v>
      </c>
      <c r="G1" s="3"/>
      <c r="H1" s="1"/>
      <c r="I1" s="1"/>
      <c r="J1" s="1"/>
      <c r="K1" s="1"/>
      <c r="L1" s="1"/>
      <c r="M1" s="1"/>
      <c r="N1" s="2"/>
      <c r="O1" s="2"/>
      <c r="P1" s="2"/>
      <c r="Q1" s="2"/>
      <c r="R1" s="2"/>
      <c r="S1" s="2"/>
      <c r="T1" s="2"/>
      <c r="U1" s="2"/>
    </row>
    <row r="2" spans="1:21" ht="22" customHeight="1" x14ac:dyDescent="0.3">
      <c r="A2" s="421" t="s">
        <v>4</v>
      </c>
      <c r="B2" s="421"/>
      <c r="C2" s="421"/>
      <c r="D2" s="421"/>
      <c r="E2" s="421"/>
      <c r="F2" s="473"/>
      <c r="G2" s="3"/>
      <c r="H2" s="1"/>
      <c r="I2" s="1"/>
      <c r="J2" s="1"/>
      <c r="K2" s="1"/>
      <c r="L2" s="1"/>
      <c r="M2" s="1"/>
      <c r="N2" s="2"/>
      <c r="O2" s="2"/>
      <c r="P2" s="2"/>
      <c r="Q2" s="2"/>
      <c r="R2" s="2"/>
      <c r="S2" s="2"/>
      <c r="T2" s="2"/>
      <c r="U2" s="2"/>
    </row>
    <row r="3" spans="1:21" ht="22" customHeight="1" thickBot="1" x14ac:dyDescent="0.35">
      <c r="A3" s="476" t="s">
        <v>5</v>
      </c>
      <c r="B3" s="476"/>
      <c r="C3" s="476"/>
      <c r="D3" s="476"/>
      <c r="E3" s="476"/>
      <c r="F3" s="474"/>
      <c r="G3" s="3"/>
      <c r="H3" s="1"/>
      <c r="I3" s="1"/>
      <c r="J3" s="1"/>
      <c r="K3" s="1"/>
      <c r="L3" s="1"/>
      <c r="M3" s="1"/>
      <c r="N3" s="2"/>
      <c r="O3" s="2"/>
      <c r="P3" s="2"/>
      <c r="Q3" s="2"/>
      <c r="R3" s="2"/>
      <c r="S3" s="2"/>
      <c r="T3" s="2"/>
      <c r="U3" s="2"/>
    </row>
    <row r="4" spans="1:21" ht="51" customHeight="1" x14ac:dyDescent="0.3">
      <c r="A4" s="477" t="str">
        <f ca="1">TranslationsHIV!$G$116</f>
        <v xml:space="preserve">Carefully read the instructions in the "Instructions" tab before completing the programmatic gap analysis table. 
The instructions have been tailored to each specific module/intervention. </v>
      </c>
      <c r="B4" s="478"/>
      <c r="C4" s="478"/>
      <c r="D4" s="478"/>
      <c r="E4" s="478"/>
      <c r="F4" s="479"/>
      <c r="G4" s="47"/>
    </row>
    <row r="5" spans="1:21" ht="30" customHeight="1" thickBot="1" x14ac:dyDescent="0.35">
      <c r="A5" s="247" t="str">
        <f ca="1">TranslationsHIV!$A$65</f>
        <v>PrEP Programmatic Gap Table 1</v>
      </c>
      <c r="B5" s="248"/>
      <c r="C5" s="228"/>
      <c r="D5" s="228"/>
      <c r="E5" s="228"/>
      <c r="F5" s="229"/>
    </row>
    <row r="6" spans="1:21" ht="45" customHeight="1" x14ac:dyDescent="0.3">
      <c r="A6" s="138" t="str">
        <f ca="1">TranslationsHIV!$A$21</f>
        <v>Priority Module</v>
      </c>
      <c r="B6" s="467" t="s">
        <v>1421</v>
      </c>
      <c r="C6" s="468"/>
      <c r="D6" s="468"/>
      <c r="E6" s="468"/>
      <c r="F6" s="469"/>
    </row>
    <row r="7" spans="1:21" ht="45" customHeight="1" x14ac:dyDescent="0.3">
      <c r="A7" s="138" t="str">
        <f ca="1">TranslationsHIV!$A$22</f>
        <v>Selected coverage indicator</v>
      </c>
      <c r="B7" s="467" t="s">
        <v>1132</v>
      </c>
      <c r="C7" s="468"/>
      <c r="D7" s="468"/>
      <c r="E7" s="468"/>
      <c r="F7" s="469"/>
    </row>
    <row r="8" spans="1:21" ht="17.5" customHeight="1" x14ac:dyDescent="0.3">
      <c r="A8" s="211" t="str">
        <f ca="1">TranslationsHIV!$A$24</f>
        <v>Current national coverage</v>
      </c>
      <c r="B8" s="212"/>
      <c r="C8" s="150"/>
      <c r="D8" s="150"/>
      <c r="E8" s="150"/>
      <c r="F8" s="213"/>
    </row>
    <row r="9" spans="1:21" ht="45" customHeight="1" x14ac:dyDescent="0.3">
      <c r="A9" s="131" t="str">
        <f ca="1">TranslationsHIV!$A$25</f>
        <v>Insert latest results</v>
      </c>
      <c r="B9" s="87"/>
      <c r="C9" s="155" t="str">
        <f ca="1">TranslationsHIV!$A$26</f>
        <v>Year</v>
      </c>
      <c r="D9" s="215"/>
      <c r="E9" s="153" t="str">
        <f ca="1">TranslationsHIV!$A$27</f>
        <v>Data source</v>
      </c>
      <c r="F9" s="18"/>
    </row>
    <row r="10" spans="1:21" ht="45" customHeight="1" x14ac:dyDescent="0.3">
      <c r="A10" s="230" t="str">
        <f ca="1">TranslationsHIV!$A$28</f>
        <v>Comments</v>
      </c>
      <c r="B10" s="437" t="s">
        <v>1713</v>
      </c>
      <c r="C10" s="451"/>
      <c r="D10" s="451"/>
      <c r="E10" s="451"/>
      <c r="F10" s="439"/>
    </row>
    <row r="11" spans="1:21" ht="45" customHeight="1" x14ac:dyDescent="0.3">
      <c r="A11" s="197"/>
      <c r="B11" s="223"/>
      <c r="C11" s="246" t="str">
        <f ca="1">TranslationsHIV!$A$29</f>
        <v>Year 1</v>
      </c>
      <c r="D11" s="155" t="str">
        <f ca="1">TranslationsHIV!$A$30</f>
        <v>Year 2</v>
      </c>
      <c r="E11" s="155" t="str">
        <f ca="1">TranslationsHIV!$A$31</f>
        <v>Year 3</v>
      </c>
      <c r="F11" s="452" t="str">
        <f ca="1">TranslationsHIV!$A$34</f>
        <v>Comments / Assumptions</v>
      </c>
    </row>
    <row r="12" spans="1:21" ht="44.5" customHeight="1" x14ac:dyDescent="0.3">
      <c r="A12" s="198"/>
      <c r="B12" s="224"/>
      <c r="C12" s="238">
        <v>2024</v>
      </c>
      <c r="D12" s="140">
        <v>2025</v>
      </c>
      <c r="E12" s="140">
        <v>2026</v>
      </c>
      <c r="F12" s="453"/>
    </row>
    <row r="13" spans="1:21" ht="17.5" customHeight="1" x14ac:dyDescent="0.3">
      <c r="A13" s="211" t="str">
        <f ca="1">TranslationsHIV!$A$35</f>
        <v>Current estimated country need</v>
      </c>
      <c r="B13" s="214"/>
      <c r="C13" s="150"/>
      <c r="D13" s="150"/>
      <c r="E13" s="150"/>
      <c r="F13" s="213"/>
    </row>
    <row r="14" spans="1:21" ht="45" customHeight="1" x14ac:dyDescent="0.3">
      <c r="A14" s="231" t="str">
        <f ca="1">TranslationsHIV!$A$48</f>
        <v>A. Estimated number at risk who should receive PrEP</v>
      </c>
      <c r="B14" s="199" t="s">
        <v>8</v>
      </c>
      <c r="C14" s="188">
        <v>17261</v>
      </c>
      <c r="D14" s="188">
        <v>19433</v>
      </c>
      <c r="E14" s="188">
        <v>21562</v>
      </c>
      <c r="F14" s="280" t="s">
        <v>1205</v>
      </c>
    </row>
    <row r="15" spans="1:21" ht="217" customHeight="1" x14ac:dyDescent="0.3">
      <c r="A15" s="131" t="str">
        <f ca="1">TranslationsHIV!$A$110</f>
        <v>B. Country targets 
(from National Strategic Plan)</v>
      </c>
      <c r="B15" s="199" t="s">
        <v>8</v>
      </c>
      <c r="C15" s="188">
        <v>17261</v>
      </c>
      <c r="D15" s="188">
        <v>19433</v>
      </c>
      <c r="E15" s="188">
        <v>21562</v>
      </c>
      <c r="F15" s="249" t="s">
        <v>1714</v>
      </c>
    </row>
    <row r="16" spans="1:21" ht="17.5" customHeight="1" x14ac:dyDescent="0.3">
      <c r="A16" s="211" t="str">
        <f ca="1">TranslationsHIV!$A$38</f>
        <v>Country need to meet global targets already covered</v>
      </c>
      <c r="B16" s="212"/>
      <c r="C16" s="150"/>
      <c r="D16" s="150"/>
      <c r="E16" s="150"/>
      <c r="F16" s="213"/>
    </row>
    <row r="17" spans="1:6" ht="45" customHeight="1" x14ac:dyDescent="0.3">
      <c r="A17" s="419" t="str">
        <f ca="1">TranslationsHIV!$A$39</f>
        <v>C1. Global target planned to be covered by domestic resources</v>
      </c>
      <c r="B17" s="199" t="s">
        <v>8</v>
      </c>
      <c r="C17" s="188">
        <v>173</v>
      </c>
      <c r="D17" s="188">
        <v>194</v>
      </c>
      <c r="E17" s="188">
        <v>215</v>
      </c>
      <c r="F17" s="470" t="s">
        <v>1797</v>
      </c>
    </row>
    <row r="18" spans="1:6" ht="45" customHeight="1" x14ac:dyDescent="0.3">
      <c r="A18" s="425"/>
      <c r="B18" s="199" t="s">
        <v>9</v>
      </c>
      <c r="C18" s="152">
        <f>IF(C17=0,"",+C17/C14)</f>
        <v>1.0022594287700597E-2</v>
      </c>
      <c r="D18" s="152">
        <f t="shared" ref="D18:E18" si="0">IF(D17=0,"",+D17/D14)</f>
        <v>9.9830185766479704E-3</v>
      </c>
      <c r="E18" s="152">
        <f t="shared" si="0"/>
        <v>9.9712457100454496E-3</v>
      </c>
      <c r="F18" s="471"/>
    </row>
    <row r="19" spans="1:6" ht="45" customHeight="1" x14ac:dyDescent="0.3">
      <c r="A19" s="419" t="str">
        <f ca="1">TranslationsHIV!$A$40</f>
        <v>C2. Global target planned to be covered by external resources</v>
      </c>
      <c r="B19" s="199" t="s">
        <v>8</v>
      </c>
      <c r="C19" s="188">
        <v>6041</v>
      </c>
      <c r="D19" s="188">
        <v>7773</v>
      </c>
      <c r="E19" s="188">
        <v>10781</v>
      </c>
      <c r="F19" s="232" t="s">
        <v>1715</v>
      </c>
    </row>
    <row r="20" spans="1:6" ht="45" customHeight="1" x14ac:dyDescent="0.3">
      <c r="A20" s="425"/>
      <c r="B20" s="199" t="s">
        <v>9</v>
      </c>
      <c r="C20" s="152">
        <f>IF(C19=0,"",+C19/C14)</f>
        <v>0.34997972307514047</v>
      </c>
      <c r="D20" s="152">
        <f t="shared" ref="D20:E20" si="1">IF(D19=0,"",+D19/D14)</f>
        <v>0.39998970822827151</v>
      </c>
      <c r="E20" s="152">
        <f t="shared" si="1"/>
        <v>0.5</v>
      </c>
      <c r="F20" s="250"/>
    </row>
    <row r="21" spans="1:6" ht="45" customHeight="1" x14ac:dyDescent="0.3">
      <c r="A21" s="419" t="str">
        <f ca="1">TranslationsHIV!$A$41</f>
        <v>C3. Total global target already covered</v>
      </c>
      <c r="B21" s="199" t="s">
        <v>8</v>
      </c>
      <c r="C21" s="171">
        <f>C17+C19</f>
        <v>6214</v>
      </c>
      <c r="D21" s="171">
        <f t="shared" ref="D21:E21" si="2">D17+D19</f>
        <v>7967</v>
      </c>
      <c r="E21" s="171">
        <f t="shared" si="2"/>
        <v>10996</v>
      </c>
      <c r="F21" s="250"/>
    </row>
    <row r="22" spans="1:6" ht="45" customHeight="1" x14ac:dyDescent="0.3">
      <c r="A22" s="425"/>
      <c r="B22" s="199" t="s">
        <v>9</v>
      </c>
      <c r="C22" s="152">
        <f>IF(C21=0,"",+C21/C14)</f>
        <v>0.36000231736284111</v>
      </c>
      <c r="D22" s="152">
        <f t="shared" ref="D22:E22" si="3">IF(D21=0,"",+D21/D14)</f>
        <v>0.40997272680491947</v>
      </c>
      <c r="E22" s="152">
        <f t="shared" si="3"/>
        <v>0.50997124571004548</v>
      </c>
      <c r="F22" s="250"/>
    </row>
    <row r="23" spans="1:6" ht="17.5" customHeight="1" x14ac:dyDescent="0.3">
      <c r="A23" s="211" t="str">
        <f ca="1">TranslationsHIV!$A$42</f>
        <v>Programmatic gap</v>
      </c>
      <c r="B23" s="212"/>
      <c r="C23" s="150"/>
      <c r="D23" s="150"/>
      <c r="E23" s="150"/>
      <c r="F23" s="213"/>
    </row>
    <row r="24" spans="1:6" ht="45" customHeight="1" x14ac:dyDescent="0.3">
      <c r="A24" s="419" t="str">
        <f ca="1">TranslationsHIV!$A$123</f>
        <v>D. Expected annual gap in meeting the need: B - C3</v>
      </c>
      <c r="B24" s="199" t="s">
        <v>8</v>
      </c>
      <c r="C24" s="171">
        <f>+C15-C21</f>
        <v>11047</v>
      </c>
      <c r="D24" s="171">
        <f t="shared" ref="D24:E24" si="4">+D15-D21</f>
        <v>11466</v>
      </c>
      <c r="E24" s="171">
        <f t="shared" si="4"/>
        <v>10566</v>
      </c>
      <c r="F24" s="470"/>
    </row>
    <row r="25" spans="1:6" ht="45" customHeight="1" x14ac:dyDescent="0.3">
      <c r="A25" s="425"/>
      <c r="B25" s="199" t="s">
        <v>9</v>
      </c>
      <c r="C25" s="152">
        <f>IF(C24=0,"",+C24/C14)</f>
        <v>0.63999768263715895</v>
      </c>
      <c r="D25" s="152">
        <f t="shared" ref="D25:E25" si="5">IF(D24=0,"",+D24/D14)</f>
        <v>0.59002727319508053</v>
      </c>
      <c r="E25" s="152">
        <f t="shared" si="5"/>
        <v>0.49002875428995457</v>
      </c>
      <c r="F25" s="471"/>
    </row>
    <row r="26" spans="1:6" ht="17.5" customHeight="1" x14ac:dyDescent="0.3">
      <c r="A26" s="211" t="str">
        <f ca="1">TranslationsHIV!$A$44</f>
        <v>Country need to meet global targets covered with the allocation amount</v>
      </c>
      <c r="B26" s="212"/>
      <c r="C26" s="150"/>
      <c r="D26" s="150"/>
      <c r="E26" s="150"/>
      <c r="F26" s="213"/>
    </row>
    <row r="27" spans="1:6" ht="45" customHeight="1" x14ac:dyDescent="0.3">
      <c r="A27" s="419" t="str">
        <f ca="1">TranslationsHIV!$A$45</f>
        <v>E. Targets to be financed by allocation amount</v>
      </c>
      <c r="B27" s="200" t="s">
        <v>8</v>
      </c>
      <c r="C27" s="188">
        <v>6904</v>
      </c>
      <c r="D27" s="188">
        <v>8356</v>
      </c>
      <c r="E27" s="188">
        <v>9918</v>
      </c>
      <c r="F27" s="420" t="s">
        <v>1724</v>
      </c>
    </row>
    <row r="28" spans="1:6" ht="45" customHeight="1" x14ac:dyDescent="0.3">
      <c r="A28" s="425"/>
      <c r="B28" s="200" t="s">
        <v>9</v>
      </c>
      <c r="C28" s="152">
        <f>IF(C27=0,"",+C27/C14)</f>
        <v>0.39997682637158916</v>
      </c>
      <c r="D28" s="152">
        <f t="shared" ref="D28:E28" si="6">IF(D27=0,"",+D27/D14)</f>
        <v>0.42999022281685795</v>
      </c>
      <c r="E28" s="152">
        <f t="shared" si="6"/>
        <v>0.4599758834987478</v>
      </c>
      <c r="F28" s="426"/>
    </row>
    <row r="29" spans="1:6" ht="45" customHeight="1" x14ac:dyDescent="0.3">
      <c r="A29" s="419" t="str">
        <f ca="1">TranslationsHIV!$A$49</f>
        <v>F. PrEP from allocation amount and other resources: E + C3</v>
      </c>
      <c r="B29" s="200" t="s">
        <v>8</v>
      </c>
      <c r="C29" s="171">
        <f>+C27+C21</f>
        <v>13118</v>
      </c>
      <c r="D29" s="171">
        <f>+D27+D21</f>
        <v>16323</v>
      </c>
      <c r="E29" s="171">
        <f>+E27+E21</f>
        <v>20914</v>
      </c>
      <c r="F29" s="470"/>
    </row>
    <row r="30" spans="1:6" ht="45" customHeight="1" x14ac:dyDescent="0.3">
      <c r="A30" s="425"/>
      <c r="B30" s="200" t="s">
        <v>9</v>
      </c>
      <c r="C30" s="152">
        <f>IF(C29=0,"",+C29/C14)</f>
        <v>0.75997914373443021</v>
      </c>
      <c r="D30" s="152">
        <f t="shared" ref="D30:E30" si="7">IF(D29=0,"",+D29/D14)</f>
        <v>0.83996294962177742</v>
      </c>
      <c r="E30" s="152">
        <f t="shared" si="7"/>
        <v>0.96994712920879322</v>
      </c>
      <c r="F30" s="471"/>
    </row>
    <row r="31" spans="1:6" ht="45" customHeight="1" x14ac:dyDescent="0.3">
      <c r="A31" s="419" t="str">
        <f ca="1">TranslationsHIV!$A$124</f>
        <v xml:space="preserve">G. Remaining gap: B - F </v>
      </c>
      <c r="B31" s="200" t="s">
        <v>8</v>
      </c>
      <c r="C31" s="189">
        <f>+C15-(C29)</f>
        <v>4143</v>
      </c>
      <c r="D31" s="189">
        <f t="shared" ref="D31:E31" si="8">+D15-(D29)</f>
        <v>3110</v>
      </c>
      <c r="E31" s="189">
        <f t="shared" si="8"/>
        <v>648</v>
      </c>
      <c r="F31" s="470"/>
    </row>
    <row r="32" spans="1:6" ht="45" customHeight="1" x14ac:dyDescent="0.3">
      <c r="A32" s="425"/>
      <c r="B32" s="200" t="s">
        <v>9</v>
      </c>
      <c r="C32" s="190">
        <f>IF(C31=0,"",+C31/C14)</f>
        <v>0.24002085626556979</v>
      </c>
      <c r="D32" s="190">
        <f t="shared" ref="D32:E32" si="9">IF(D31=0,"",+D31/D14)</f>
        <v>0.16003705037822261</v>
      </c>
      <c r="E32" s="190">
        <f t="shared" si="9"/>
        <v>3.0052870791206752E-2</v>
      </c>
      <c r="F32" s="471"/>
    </row>
    <row r="33" spans="1:6" x14ac:dyDescent="0.3">
      <c r="A33" s="141"/>
      <c r="B33" s="141"/>
      <c r="C33" s="172"/>
      <c r="D33" s="172"/>
      <c r="E33" s="172"/>
      <c r="F33" s="141"/>
    </row>
    <row r="34" spans="1:6" x14ac:dyDescent="0.3">
      <c r="A34" s="141"/>
      <c r="B34" s="141"/>
      <c r="C34" s="172"/>
      <c r="D34" s="172"/>
      <c r="E34" s="172"/>
      <c r="F34" s="141"/>
    </row>
    <row r="35" spans="1:6" ht="30" customHeight="1" thickBot="1" x14ac:dyDescent="0.35">
      <c r="A35" s="247" t="str">
        <f ca="1">TranslationsHIV!$A$111</f>
        <v xml:space="preserve">PrEP Programmatic Gap Table 2 </v>
      </c>
      <c r="B35" s="248"/>
      <c r="C35" s="228"/>
      <c r="D35" s="228"/>
      <c r="E35" s="228"/>
      <c r="F35" s="229"/>
    </row>
    <row r="36" spans="1:6" ht="45" customHeight="1" x14ac:dyDescent="0.3">
      <c r="A36" s="138" t="str">
        <f ca="1">TranslationsHIV!$A$21</f>
        <v>Priority Module</v>
      </c>
      <c r="B36" s="467" t="s">
        <v>1148</v>
      </c>
      <c r="C36" s="468"/>
      <c r="D36" s="468"/>
      <c r="E36" s="468"/>
      <c r="F36" s="469"/>
    </row>
    <row r="37" spans="1:6" ht="45" customHeight="1" x14ac:dyDescent="0.3">
      <c r="A37" s="138" t="str">
        <f ca="1">TranslationsHIV!$A$22</f>
        <v>Selected coverage indicator</v>
      </c>
      <c r="B37" s="467" t="s">
        <v>1130</v>
      </c>
      <c r="C37" s="468"/>
      <c r="D37" s="468"/>
      <c r="E37" s="468"/>
      <c r="F37" s="469"/>
    </row>
    <row r="38" spans="1:6" ht="17.5" customHeight="1" x14ac:dyDescent="0.3">
      <c r="A38" s="211" t="str">
        <f ca="1">TranslationsHIV!$A$24</f>
        <v>Current national coverage</v>
      </c>
      <c r="B38" s="212"/>
      <c r="C38" s="150"/>
      <c r="D38" s="150"/>
      <c r="E38" s="150"/>
      <c r="F38" s="213"/>
    </row>
    <row r="39" spans="1:6" ht="45" customHeight="1" x14ac:dyDescent="0.3">
      <c r="A39" s="131" t="str">
        <f ca="1">TranslationsHIV!$A$25</f>
        <v>Insert latest results</v>
      </c>
      <c r="B39" s="87"/>
      <c r="C39" s="155" t="str">
        <f ca="1">TranslationsHIV!$A$26</f>
        <v>Year</v>
      </c>
      <c r="D39" s="215"/>
      <c r="E39" s="153" t="str">
        <f ca="1">TranslationsHIV!$A$27</f>
        <v>Data source</v>
      </c>
      <c r="F39" s="18"/>
    </row>
    <row r="40" spans="1:6" ht="45" customHeight="1" x14ac:dyDescent="0.3">
      <c r="A40" s="230" t="str">
        <f ca="1">TranslationsHIV!$A$28</f>
        <v>Comments</v>
      </c>
      <c r="B40" s="437" t="s">
        <v>1713</v>
      </c>
      <c r="C40" s="451"/>
      <c r="D40" s="451"/>
      <c r="E40" s="451"/>
      <c r="F40" s="439"/>
    </row>
    <row r="41" spans="1:6" ht="45" customHeight="1" x14ac:dyDescent="0.3">
      <c r="A41" s="197"/>
      <c r="B41" s="223"/>
      <c r="C41" s="246" t="str">
        <f ca="1">TranslationsHIV!$A$29</f>
        <v>Year 1</v>
      </c>
      <c r="D41" s="155" t="str">
        <f ca="1">TranslationsHIV!$A$30</f>
        <v>Year 2</v>
      </c>
      <c r="E41" s="155" t="str">
        <f ca="1">TranslationsHIV!$A$31</f>
        <v>Year 3</v>
      </c>
      <c r="F41" s="452" t="str">
        <f ca="1">TranslationsHIV!$A$34</f>
        <v>Comments / Assumptions</v>
      </c>
    </row>
    <row r="42" spans="1:6" ht="45" customHeight="1" x14ac:dyDescent="0.3">
      <c r="A42" s="198"/>
      <c r="B42" s="224"/>
      <c r="C42" s="238">
        <v>2024</v>
      </c>
      <c r="D42" s="140">
        <v>2025</v>
      </c>
      <c r="E42" s="140">
        <v>2026</v>
      </c>
      <c r="F42" s="453"/>
    </row>
    <row r="43" spans="1:6" ht="17.5" customHeight="1" x14ac:dyDescent="0.3">
      <c r="A43" s="211" t="str">
        <f ca="1">TranslationsHIV!$A$35</f>
        <v>Current estimated country need</v>
      </c>
      <c r="B43" s="214"/>
      <c r="C43" s="150"/>
      <c r="D43" s="150"/>
      <c r="E43" s="150"/>
      <c r="F43" s="213"/>
    </row>
    <row r="44" spans="1:6" ht="45" customHeight="1" x14ac:dyDescent="0.3">
      <c r="A44" s="231" t="str">
        <f ca="1">TranslationsHIV!$A$48</f>
        <v>A. Estimated number at risk who should receive PrEP</v>
      </c>
      <c r="B44" s="199" t="s">
        <v>8</v>
      </c>
      <c r="C44" s="188">
        <v>14252</v>
      </c>
      <c r="D44" s="188">
        <v>16046</v>
      </c>
      <c r="E44" s="188">
        <v>17803</v>
      </c>
      <c r="F44" s="280" t="s">
        <v>1205</v>
      </c>
    </row>
    <row r="45" spans="1:6" ht="45" customHeight="1" x14ac:dyDescent="0.3">
      <c r="A45" s="131" t="str">
        <f ca="1">TranslationsHIV!$A$110</f>
        <v>B. Country targets 
(from National Strategic Plan)</v>
      </c>
      <c r="B45" s="199" t="s">
        <v>8</v>
      </c>
      <c r="C45" s="188">
        <v>14252</v>
      </c>
      <c r="D45" s="188">
        <v>16046</v>
      </c>
      <c r="E45" s="188">
        <v>17803</v>
      </c>
      <c r="F45" s="249" t="s">
        <v>1716</v>
      </c>
    </row>
    <row r="46" spans="1:6" ht="17.5" customHeight="1" x14ac:dyDescent="0.3">
      <c r="A46" s="211" t="str">
        <f ca="1">TranslationsHIV!$A$38</f>
        <v>Country need to meet global targets already covered</v>
      </c>
      <c r="B46" s="212"/>
      <c r="C46" s="150"/>
      <c r="D46" s="150"/>
      <c r="E46" s="150"/>
      <c r="F46" s="213"/>
    </row>
    <row r="47" spans="1:6" ht="45" customHeight="1" x14ac:dyDescent="0.3">
      <c r="A47" s="419" t="str">
        <f ca="1">TranslationsHIV!$A$39</f>
        <v>C1. Global target planned to be covered by domestic resources</v>
      </c>
      <c r="B47" s="199" t="s">
        <v>8</v>
      </c>
      <c r="C47" s="188">
        <v>142.52250000000001</v>
      </c>
      <c r="D47" s="188">
        <v>160.45910000000001</v>
      </c>
      <c r="E47" s="188">
        <v>178.03299999999999</v>
      </c>
      <c r="F47" s="470" t="s">
        <v>1797</v>
      </c>
    </row>
    <row r="48" spans="1:6" ht="45" customHeight="1" x14ac:dyDescent="0.3">
      <c r="A48" s="425"/>
      <c r="B48" s="199" t="s">
        <v>9</v>
      </c>
      <c r="C48" s="152">
        <f>IF(C47=0,"",+C47/C44)</f>
        <v>1.0000175413976986E-2</v>
      </c>
      <c r="D48" s="152">
        <f t="shared" ref="D48" si="10">IF(D47=0,"",+D47/D44)</f>
        <v>9.9999439112551415E-3</v>
      </c>
      <c r="E48" s="152">
        <f t="shared" ref="E48" si="11">IF(E47=0,"",+E47/E44)</f>
        <v>1.0000168510925124E-2</v>
      </c>
      <c r="F48" s="471"/>
    </row>
    <row r="49" spans="1:6" ht="45" customHeight="1" x14ac:dyDescent="0.3">
      <c r="A49" s="419" t="str">
        <f ca="1">TranslationsHIV!$A$40</f>
        <v>C2. Global target planned to be covered by external resources</v>
      </c>
      <c r="B49" s="199" t="s">
        <v>8</v>
      </c>
      <c r="C49" s="188">
        <v>3563.0625</v>
      </c>
      <c r="D49" s="188">
        <v>4813.7730000000001</v>
      </c>
      <c r="E49" s="188">
        <v>6231.1549999999997</v>
      </c>
      <c r="F49" s="232" t="s">
        <v>1717</v>
      </c>
    </row>
    <row r="50" spans="1:6" ht="45" customHeight="1" x14ac:dyDescent="0.3">
      <c r="A50" s="425"/>
      <c r="B50" s="199" t="s">
        <v>9</v>
      </c>
      <c r="C50" s="152">
        <f>IF(C49=0,"",+C49/C44)</f>
        <v>0.25000438534942465</v>
      </c>
      <c r="D50" s="152">
        <f t="shared" ref="D50" si="12">IF(D49=0,"",+D49/D44)</f>
        <v>0.29999831733765425</v>
      </c>
      <c r="E50" s="152">
        <f t="shared" ref="E50" si="13">IF(E49=0,"",+E49/E44)</f>
        <v>0.35000589788237935</v>
      </c>
      <c r="F50" s="250"/>
    </row>
    <row r="51" spans="1:6" ht="45" customHeight="1" x14ac:dyDescent="0.3">
      <c r="A51" s="419" t="str">
        <f ca="1">TranslationsHIV!$A$41</f>
        <v>C3. Total global target already covered</v>
      </c>
      <c r="B51" s="199" t="s">
        <v>8</v>
      </c>
      <c r="C51" s="171">
        <f>C47+C49</f>
        <v>3705.585</v>
      </c>
      <c r="D51" s="171">
        <f t="shared" ref="D51:E51" si="14">D47+D49</f>
        <v>4974.2321000000002</v>
      </c>
      <c r="E51" s="171">
        <f t="shared" si="14"/>
        <v>6409.1880000000001</v>
      </c>
      <c r="F51" s="250"/>
    </row>
    <row r="52" spans="1:6" ht="45" customHeight="1" x14ac:dyDescent="0.3">
      <c r="A52" s="425"/>
      <c r="B52" s="199" t="s">
        <v>9</v>
      </c>
      <c r="C52" s="152">
        <f>IF(C51=0,"",+C51/C44)</f>
        <v>0.26000456076340162</v>
      </c>
      <c r="D52" s="152">
        <f t="shared" ref="D52" si="15">IF(D51=0,"",+D51/D44)</f>
        <v>0.30999826124890939</v>
      </c>
      <c r="E52" s="152">
        <f t="shared" ref="E52" si="16">IF(E51=0,"",+E51/E44)</f>
        <v>0.36000606639330451</v>
      </c>
      <c r="F52" s="250"/>
    </row>
    <row r="53" spans="1:6" ht="17.5" customHeight="1" x14ac:dyDescent="0.3">
      <c r="A53" s="211" t="str">
        <f ca="1">TranslationsHIV!$A$42</f>
        <v>Programmatic gap</v>
      </c>
      <c r="B53" s="212"/>
      <c r="C53" s="150"/>
      <c r="D53" s="150"/>
      <c r="E53" s="150"/>
      <c r="F53" s="213"/>
    </row>
    <row r="54" spans="1:6" ht="45" customHeight="1" x14ac:dyDescent="0.3">
      <c r="A54" s="419" t="str">
        <f ca="1">TranslationsHIV!$A$123</f>
        <v>D. Expected annual gap in meeting the need: B - C3</v>
      </c>
      <c r="B54" s="199" t="s">
        <v>8</v>
      </c>
      <c r="C54" s="171">
        <f>+C45-C51</f>
        <v>10546.415000000001</v>
      </c>
      <c r="D54" s="171">
        <f t="shared" ref="D54:E54" si="17">+D45-D51</f>
        <v>11071.767899999999</v>
      </c>
      <c r="E54" s="171">
        <f t="shared" si="17"/>
        <v>11393.812</v>
      </c>
      <c r="F54" s="470"/>
    </row>
    <row r="55" spans="1:6" ht="45" customHeight="1" x14ac:dyDescent="0.3">
      <c r="A55" s="425"/>
      <c r="B55" s="199" t="s">
        <v>9</v>
      </c>
      <c r="C55" s="152">
        <f>IF(C54=0,"",+C54/C44)</f>
        <v>0.73999543923659838</v>
      </c>
      <c r="D55" s="152">
        <f t="shared" ref="D55" si="18">IF(D54=0,"",+D54/D44)</f>
        <v>0.6900017387510905</v>
      </c>
      <c r="E55" s="152">
        <f t="shared" ref="E55" si="19">IF(E54=0,"",+E54/E44)</f>
        <v>0.63999393360669554</v>
      </c>
      <c r="F55" s="471"/>
    </row>
    <row r="56" spans="1:6" ht="17.5" customHeight="1" x14ac:dyDescent="0.3">
      <c r="A56" s="211" t="str">
        <f ca="1">TranslationsHIV!$A$44</f>
        <v>Country need to meet global targets covered with the allocation amount</v>
      </c>
      <c r="B56" s="212"/>
      <c r="C56" s="150"/>
      <c r="D56" s="150"/>
      <c r="E56" s="150"/>
      <c r="F56" s="213"/>
    </row>
    <row r="57" spans="1:6" ht="45" customHeight="1" x14ac:dyDescent="0.3">
      <c r="A57" s="419" t="str">
        <f ca="1">TranslationsHIV!$A$45</f>
        <v>E. Targets to be financed by allocation amount</v>
      </c>
      <c r="B57" s="200" t="s">
        <v>8</v>
      </c>
      <c r="C57" s="188">
        <v>2850.4500000000003</v>
      </c>
      <c r="D57" s="188">
        <v>4011.4775</v>
      </c>
      <c r="E57" s="188">
        <v>5340.99</v>
      </c>
      <c r="F57" s="420" t="s">
        <v>1718</v>
      </c>
    </row>
    <row r="58" spans="1:6" ht="45" customHeight="1" x14ac:dyDescent="0.3">
      <c r="A58" s="425"/>
      <c r="B58" s="200" t="s">
        <v>9</v>
      </c>
      <c r="C58" s="152">
        <f>IF(C57=0,"",+C57/C44)</f>
        <v>0.20000350827953972</v>
      </c>
      <c r="D58" s="152">
        <f t="shared" ref="D58" si="20">IF(D57=0,"",+D57/D44)</f>
        <v>0.24999859778137853</v>
      </c>
      <c r="E58" s="152">
        <f t="shared" ref="E58" si="21">IF(E57=0,"",+E57/E44)</f>
        <v>0.30000505532775373</v>
      </c>
      <c r="F58" s="426"/>
    </row>
    <row r="59" spans="1:6" ht="45" customHeight="1" x14ac:dyDescent="0.3">
      <c r="A59" s="419" t="str">
        <f ca="1">TranslationsHIV!$A$49</f>
        <v>F. PrEP from allocation amount and other resources: E + C3</v>
      </c>
      <c r="B59" s="200" t="s">
        <v>8</v>
      </c>
      <c r="C59" s="171">
        <f>+C57+C51</f>
        <v>6556.0349999999999</v>
      </c>
      <c r="D59" s="171">
        <f>+D57+D51</f>
        <v>8985.7096000000001</v>
      </c>
      <c r="E59" s="171">
        <f>+E57+E51</f>
        <v>11750.178</v>
      </c>
      <c r="F59" s="470"/>
    </row>
    <row r="60" spans="1:6" ht="45" customHeight="1" x14ac:dyDescent="0.3">
      <c r="A60" s="425"/>
      <c r="B60" s="200" t="s">
        <v>9</v>
      </c>
      <c r="C60" s="152">
        <f>IF(C59=0,"",+C59/C44)</f>
        <v>0.46000806904294134</v>
      </c>
      <c r="D60" s="152">
        <f t="shared" ref="D60" si="22">IF(D59=0,"",+D59/D44)</f>
        <v>0.55999685903028795</v>
      </c>
      <c r="E60" s="152">
        <f t="shared" ref="E60" si="23">IF(E59=0,"",+E59/E44)</f>
        <v>0.66001112172105825</v>
      </c>
      <c r="F60" s="471"/>
    </row>
    <row r="61" spans="1:6" ht="45" customHeight="1" x14ac:dyDescent="0.3">
      <c r="A61" s="419" t="str">
        <f ca="1">TranslationsHIV!$A$124</f>
        <v xml:space="preserve">G. Remaining gap: B - F </v>
      </c>
      <c r="B61" s="200" t="s">
        <v>8</v>
      </c>
      <c r="C61" s="189">
        <f>+C45-(C59)</f>
        <v>7695.9650000000001</v>
      </c>
      <c r="D61" s="189">
        <f t="shared" ref="D61:E61" si="24">+D45-(D59)</f>
        <v>7060.2903999999999</v>
      </c>
      <c r="E61" s="189">
        <f t="shared" si="24"/>
        <v>6052.8220000000001</v>
      </c>
      <c r="F61" s="470"/>
    </row>
    <row r="62" spans="1:6" ht="45" customHeight="1" x14ac:dyDescent="0.3">
      <c r="A62" s="425"/>
      <c r="B62" s="200" t="s">
        <v>9</v>
      </c>
      <c r="C62" s="190">
        <f>IF(C61=0,"",+C61/C44)</f>
        <v>0.53999193095705866</v>
      </c>
      <c r="D62" s="190">
        <f t="shared" ref="D62" si="25">IF(D61=0,"",+D61/D44)</f>
        <v>0.44000314096971205</v>
      </c>
      <c r="E62" s="190">
        <f t="shared" ref="E62" si="26">IF(E61=0,"",+E61/E44)</f>
        <v>0.33998887827894175</v>
      </c>
      <c r="F62" s="471"/>
    </row>
    <row r="63" spans="1:6" x14ac:dyDescent="0.3">
      <c r="A63" s="141"/>
      <c r="B63" s="141"/>
      <c r="C63" s="172"/>
      <c r="D63" s="172"/>
      <c r="E63" s="172"/>
      <c r="F63" s="141"/>
    </row>
    <row r="64" spans="1:6" x14ac:dyDescent="0.3">
      <c r="A64" s="141"/>
      <c r="B64" s="141"/>
      <c r="C64" s="172"/>
      <c r="D64" s="172"/>
      <c r="E64" s="172"/>
      <c r="F64" s="141"/>
    </row>
    <row r="65" spans="1:6" ht="22.5" customHeight="1" thickBot="1" x14ac:dyDescent="0.35">
      <c r="A65" s="247" t="str">
        <f ca="1">TranslationsHIV!$A$112</f>
        <v xml:space="preserve">PrEP Programmatic Gap Table 3 </v>
      </c>
      <c r="B65" s="248"/>
      <c r="C65" s="228"/>
      <c r="D65" s="228"/>
      <c r="E65" s="228"/>
      <c r="F65" s="229"/>
    </row>
    <row r="66" spans="1:6" ht="45" customHeight="1" x14ac:dyDescent="0.3">
      <c r="A66" s="138" t="str">
        <f ca="1">TranslationsHIV!$A$21</f>
        <v>Priority Module</v>
      </c>
      <c r="B66" s="467" t="s">
        <v>1163</v>
      </c>
      <c r="C66" s="468"/>
      <c r="D66" s="468"/>
      <c r="E66" s="468"/>
      <c r="F66" s="469"/>
    </row>
    <row r="67" spans="1:6" ht="45" customHeight="1" x14ac:dyDescent="0.3">
      <c r="A67" s="138" t="str">
        <f ca="1">TranslationsHIV!$A$22</f>
        <v>Selected coverage indicator</v>
      </c>
      <c r="B67" s="467" t="s">
        <v>1129</v>
      </c>
      <c r="C67" s="468"/>
      <c r="D67" s="468"/>
      <c r="E67" s="468"/>
      <c r="F67" s="469"/>
    </row>
    <row r="68" spans="1:6" ht="17.5" customHeight="1" x14ac:dyDescent="0.3">
      <c r="A68" s="211" t="str">
        <f ca="1">TranslationsHIV!$A$24</f>
        <v>Current national coverage</v>
      </c>
      <c r="B68" s="212"/>
      <c r="C68" s="150"/>
      <c r="D68" s="150"/>
      <c r="E68" s="150"/>
      <c r="F68" s="213"/>
    </row>
    <row r="69" spans="1:6" ht="45" customHeight="1" x14ac:dyDescent="0.3">
      <c r="A69" s="131" t="str">
        <f ca="1">TranslationsHIV!$A$25</f>
        <v>Insert latest results</v>
      </c>
      <c r="B69" s="87"/>
      <c r="C69" s="155" t="str">
        <f ca="1">TranslationsHIV!$A$26</f>
        <v>Year</v>
      </c>
      <c r="D69" s="215"/>
      <c r="E69" s="153" t="str">
        <f ca="1">TranslationsHIV!$A$27</f>
        <v>Data source</v>
      </c>
      <c r="F69" s="18"/>
    </row>
    <row r="70" spans="1:6" ht="45" customHeight="1" x14ac:dyDescent="0.3">
      <c r="A70" s="230" t="str">
        <f ca="1">TranslationsHIV!$A$28</f>
        <v>Comments</v>
      </c>
      <c r="B70" s="437" t="s">
        <v>1719</v>
      </c>
      <c r="C70" s="451"/>
      <c r="D70" s="451"/>
      <c r="E70" s="451"/>
      <c r="F70" s="439"/>
    </row>
    <row r="71" spans="1:6" ht="45" customHeight="1" x14ac:dyDescent="0.3">
      <c r="A71" s="480"/>
      <c r="B71" s="465"/>
      <c r="C71" s="155" t="str">
        <f ca="1">TranslationsHIV!$A$29</f>
        <v>Year 1</v>
      </c>
      <c r="D71" s="155" t="str">
        <f ca="1">TranslationsHIV!$A$30</f>
        <v>Year 2</v>
      </c>
      <c r="E71" s="155" t="str">
        <f ca="1">TranslationsHIV!$A$31</f>
        <v>Year 3</v>
      </c>
      <c r="F71" s="452" t="str">
        <f ca="1">TranslationsHIV!$A$34</f>
        <v>Comments / Assumptions</v>
      </c>
    </row>
    <row r="72" spans="1:6" ht="45" customHeight="1" x14ac:dyDescent="0.3">
      <c r="A72" s="481"/>
      <c r="B72" s="466"/>
      <c r="C72" s="238">
        <v>2024</v>
      </c>
      <c r="D72" s="140">
        <v>2025</v>
      </c>
      <c r="E72" s="140">
        <v>2026</v>
      </c>
      <c r="F72" s="453"/>
    </row>
    <row r="73" spans="1:6" ht="17.5" customHeight="1" x14ac:dyDescent="0.3">
      <c r="A73" s="211" t="str">
        <f ca="1">TranslationsHIV!$A$35</f>
        <v>Current estimated country need</v>
      </c>
      <c r="B73" s="212"/>
      <c r="C73" s="150"/>
      <c r="D73" s="150"/>
      <c r="E73" s="150"/>
      <c r="F73" s="213"/>
    </row>
    <row r="74" spans="1:6" ht="45" customHeight="1" x14ac:dyDescent="0.3">
      <c r="A74" s="231" t="str">
        <f ca="1">TranslationsHIV!$A$48</f>
        <v>A. Estimated number at risk who should receive PrEP</v>
      </c>
      <c r="B74" s="199" t="s">
        <v>8</v>
      </c>
      <c r="C74" s="188">
        <v>8893</v>
      </c>
      <c r="D74" s="188">
        <v>10013</v>
      </c>
      <c r="E74" s="188">
        <v>11109</v>
      </c>
      <c r="F74" s="280" t="s">
        <v>1205</v>
      </c>
    </row>
    <row r="75" spans="1:6" ht="409.5" customHeight="1" x14ac:dyDescent="0.3">
      <c r="A75" s="131" t="str">
        <f ca="1">TranslationsHIV!$A$110</f>
        <v>B. Country targets 
(from National Strategic Plan)</v>
      </c>
      <c r="B75" s="199" t="s">
        <v>8</v>
      </c>
      <c r="C75" s="188">
        <v>8893</v>
      </c>
      <c r="D75" s="188">
        <v>10013</v>
      </c>
      <c r="E75" s="188">
        <v>11109</v>
      </c>
      <c r="F75" s="249" t="s">
        <v>1720</v>
      </c>
    </row>
    <row r="76" spans="1:6" ht="17.5" customHeight="1" x14ac:dyDescent="0.3">
      <c r="A76" s="211" t="str">
        <f ca="1">TranslationsHIV!$A$38</f>
        <v>Country need to meet global targets already covered</v>
      </c>
      <c r="B76" s="212"/>
      <c r="C76" s="150"/>
      <c r="D76" s="150"/>
      <c r="E76" s="150"/>
      <c r="F76" s="213"/>
    </row>
    <row r="77" spans="1:6" ht="45" customHeight="1" x14ac:dyDescent="0.3">
      <c r="A77" s="419" t="str">
        <f ca="1">TranslationsHIV!$A$39</f>
        <v>C1. Global target planned to be covered by domestic resources</v>
      </c>
      <c r="B77" s="199" t="s">
        <v>8</v>
      </c>
      <c r="C77" s="188">
        <v>88.934044800000009</v>
      </c>
      <c r="D77" s="188">
        <v>100.1257712</v>
      </c>
      <c r="E77" s="188">
        <v>111.09231840000002</v>
      </c>
      <c r="F77" s="470" t="s">
        <v>1798</v>
      </c>
    </row>
    <row r="78" spans="1:6" ht="45" customHeight="1" x14ac:dyDescent="0.3">
      <c r="A78" s="425"/>
      <c r="B78" s="199" t="s">
        <v>9</v>
      </c>
      <c r="C78" s="152">
        <f>IF(C77=0,"",+C77/C74)</f>
        <v>1.0000454829641292E-2</v>
      </c>
      <c r="D78" s="152">
        <f t="shared" ref="D78" si="27">IF(D77=0,"",+D77/D74)</f>
        <v>9.9995776690302608E-3</v>
      </c>
      <c r="E78" s="152">
        <f t="shared" ref="E78" si="28">IF(E77=0,"",+E77/E74)</f>
        <v>1.0000208695652177E-2</v>
      </c>
      <c r="F78" s="471"/>
    </row>
    <row r="79" spans="1:6" ht="45" customHeight="1" x14ac:dyDescent="0.3">
      <c r="A79" s="419" t="str">
        <f ca="1">TranslationsHIV!$A$40</f>
        <v>C2. Global target planned to be covered by external resources</v>
      </c>
      <c r="B79" s="199" t="s">
        <v>8</v>
      </c>
      <c r="C79" s="188">
        <v>844.87342560000013</v>
      </c>
      <c r="D79" s="188">
        <v>951.19482640000001</v>
      </c>
      <c r="E79" s="188">
        <v>1055.3770248000003</v>
      </c>
      <c r="F79" s="232" t="s">
        <v>1721</v>
      </c>
    </row>
    <row r="80" spans="1:6" ht="45" customHeight="1" x14ac:dyDescent="0.3">
      <c r="A80" s="425"/>
      <c r="B80" s="199" t="s">
        <v>9</v>
      </c>
      <c r="C80" s="152">
        <f>IF(C79=0,"",+C79/C74)</f>
        <v>9.5004320881592275E-2</v>
      </c>
      <c r="D80" s="152">
        <f t="shared" ref="D80" si="29">IF(D79=0,"",+D79/D74)</f>
        <v>9.4995987855787473E-2</v>
      </c>
      <c r="E80" s="152">
        <f t="shared" ref="E80" si="30">IF(E79=0,"",+E79/E74)</f>
        <v>9.5001982608695676E-2</v>
      </c>
      <c r="F80" s="250"/>
    </row>
    <row r="81" spans="1:6" ht="45" customHeight="1" x14ac:dyDescent="0.3">
      <c r="A81" s="419" t="str">
        <f ca="1">TranslationsHIV!$A$41</f>
        <v>C3. Total global target already covered</v>
      </c>
      <c r="B81" s="199" t="s">
        <v>8</v>
      </c>
      <c r="C81" s="171">
        <f>C77+C79</f>
        <v>933.80747040000017</v>
      </c>
      <c r="D81" s="171">
        <f t="shared" ref="D81:E81" si="31">D77+D79</f>
        <v>1051.3205975999999</v>
      </c>
      <c r="E81" s="171">
        <f t="shared" si="31"/>
        <v>1166.4693432000004</v>
      </c>
      <c r="F81" s="250"/>
    </row>
    <row r="82" spans="1:6" ht="45" customHeight="1" x14ac:dyDescent="0.3">
      <c r="A82" s="425"/>
      <c r="B82" s="199" t="s">
        <v>9</v>
      </c>
      <c r="C82" s="152">
        <f>IF(C81=0,"",+C81/C74)</f>
        <v>0.10500477571123357</v>
      </c>
      <c r="D82" s="152">
        <f t="shared" ref="D82" si="32">IF(D81=0,"",+D81/D74)</f>
        <v>0.10499556552481773</v>
      </c>
      <c r="E82" s="152">
        <f t="shared" ref="E82" si="33">IF(E81=0,"",+E81/E74)</f>
        <v>0.10500219130434786</v>
      </c>
      <c r="F82" s="250"/>
    </row>
    <row r="83" spans="1:6" ht="17.5" customHeight="1" x14ac:dyDescent="0.3">
      <c r="A83" s="211" t="str">
        <f ca="1">TranslationsHIV!$A$42</f>
        <v>Programmatic gap</v>
      </c>
      <c r="B83" s="212"/>
      <c r="C83" s="150"/>
      <c r="D83" s="150"/>
      <c r="E83" s="150"/>
      <c r="F83" s="213"/>
    </row>
    <row r="84" spans="1:6" ht="45" customHeight="1" x14ac:dyDescent="0.3">
      <c r="A84" s="419" t="str">
        <f ca="1">TranslationsHIV!$A$123</f>
        <v>D. Expected annual gap in meeting the need: B - C3</v>
      </c>
      <c r="B84" s="199" t="s">
        <v>8</v>
      </c>
      <c r="C84" s="171">
        <f>+C75-C81</f>
        <v>7959.1925295999999</v>
      </c>
      <c r="D84" s="171">
        <f t="shared" ref="D84:E84" si="34">+D75-D81</f>
        <v>8961.679402400001</v>
      </c>
      <c r="E84" s="171">
        <f t="shared" si="34"/>
        <v>9942.5306567999996</v>
      </c>
      <c r="F84" s="470"/>
    </row>
    <row r="85" spans="1:6" ht="45" customHeight="1" x14ac:dyDescent="0.3">
      <c r="A85" s="425"/>
      <c r="B85" s="199" t="s">
        <v>9</v>
      </c>
      <c r="C85" s="152">
        <f>IF(C84=0,"",+C84/C74)</f>
        <v>0.89499522428876643</v>
      </c>
      <c r="D85" s="152">
        <f t="shared" ref="D85" si="35">IF(D84=0,"",+D84/D74)</f>
        <v>0.89500443447518241</v>
      </c>
      <c r="E85" s="152">
        <f t="shared" ref="E85" si="36">IF(E84=0,"",+E84/E74)</f>
        <v>0.89499780869565215</v>
      </c>
      <c r="F85" s="471"/>
    </row>
    <row r="86" spans="1:6" ht="17.5" customHeight="1" x14ac:dyDescent="0.3">
      <c r="A86" s="211" t="str">
        <f ca="1">TranslationsHIV!$A$44</f>
        <v>Country need to meet global targets covered with the allocation amount</v>
      </c>
      <c r="B86" s="212"/>
      <c r="C86" s="150"/>
      <c r="D86" s="150"/>
      <c r="E86" s="150"/>
      <c r="F86" s="213"/>
    </row>
    <row r="87" spans="1:6" ht="45" customHeight="1" x14ac:dyDescent="0.3">
      <c r="A87" s="419" t="str">
        <f ca="1">TranslationsHIV!$A$45</f>
        <v>E. Targets to be financed by allocation amount</v>
      </c>
      <c r="B87" s="200" t="s">
        <v>8</v>
      </c>
      <c r="C87" s="188">
        <v>2223.3511200000003</v>
      </c>
      <c r="D87" s="188">
        <v>3003.7731359999998</v>
      </c>
      <c r="E87" s="188">
        <v>3888.2311440000003</v>
      </c>
      <c r="F87" s="420" t="s">
        <v>1722</v>
      </c>
    </row>
    <row r="88" spans="1:6" ht="45" customHeight="1" x14ac:dyDescent="0.3">
      <c r="A88" s="425"/>
      <c r="B88" s="200" t="s">
        <v>9</v>
      </c>
      <c r="C88" s="152">
        <f>IF(C87=0,"",+C87/C74)</f>
        <v>0.2500113707410323</v>
      </c>
      <c r="D88" s="152">
        <f t="shared" ref="D88" si="37">IF(D87=0,"",+D87/D74)</f>
        <v>0.29998733007090778</v>
      </c>
      <c r="E88" s="152">
        <f t="shared" ref="E88" si="38">IF(E87=0,"",+E87/E74)</f>
        <v>0.35000730434782612</v>
      </c>
      <c r="F88" s="426"/>
    </row>
    <row r="89" spans="1:6" ht="45" customHeight="1" x14ac:dyDescent="0.3">
      <c r="A89" s="419" t="str">
        <f ca="1">TranslationsHIV!$A$49</f>
        <v>F. PrEP from allocation amount and other resources: E + C3</v>
      </c>
      <c r="B89" s="200" t="s">
        <v>8</v>
      </c>
      <c r="C89" s="171">
        <f>+C87+C81</f>
        <v>3157.1585904000003</v>
      </c>
      <c r="D89" s="171">
        <f>+D87+D81</f>
        <v>4055.0937335999997</v>
      </c>
      <c r="E89" s="171">
        <f>+E87+E81</f>
        <v>5054.7004872000007</v>
      </c>
      <c r="F89" s="470"/>
    </row>
    <row r="90" spans="1:6" ht="45" customHeight="1" x14ac:dyDescent="0.3">
      <c r="A90" s="425"/>
      <c r="B90" s="200" t="s">
        <v>9</v>
      </c>
      <c r="C90" s="152">
        <f>IF(C89=0,"",+C89/C74)</f>
        <v>0.35501614645226587</v>
      </c>
      <c r="D90" s="152">
        <f t="shared" ref="D90" si="39">IF(D89=0,"",+D89/D74)</f>
        <v>0.40498289559572553</v>
      </c>
      <c r="E90" s="152">
        <f t="shared" ref="E90" si="40">IF(E89=0,"",+E89/E74)</f>
        <v>0.45500949565217397</v>
      </c>
      <c r="F90" s="471"/>
    </row>
    <row r="91" spans="1:6" ht="45" customHeight="1" x14ac:dyDescent="0.3">
      <c r="A91" s="419" t="str">
        <f ca="1">TranslationsHIV!$A$123</f>
        <v>D. Expected annual gap in meeting the need: B - C3</v>
      </c>
      <c r="B91" s="200" t="s">
        <v>8</v>
      </c>
      <c r="C91" s="189">
        <f>+C75-(C89)</f>
        <v>5735.8414095999997</v>
      </c>
      <c r="D91" s="189">
        <f t="shared" ref="D91:E91" si="41">+D75-(D89)</f>
        <v>5957.9062664000003</v>
      </c>
      <c r="E91" s="189">
        <f t="shared" si="41"/>
        <v>6054.2995127999993</v>
      </c>
      <c r="F91" s="470"/>
    </row>
    <row r="92" spans="1:6" ht="45" customHeight="1" x14ac:dyDescent="0.3">
      <c r="A92" s="449"/>
      <c r="B92" s="239" t="s">
        <v>9</v>
      </c>
      <c r="C92" s="245">
        <f>IF(C91=0,"",+C91/C74)</f>
        <v>0.64498385354773413</v>
      </c>
      <c r="D92" s="245">
        <f t="shared" ref="D92" si="42">IF(D91=0,"",+D91/D74)</f>
        <v>0.59501710440427447</v>
      </c>
      <c r="E92" s="245">
        <f t="shared" ref="E92" si="43">IF(E91=0,"",+E91/E74)</f>
        <v>0.54499050434782603</v>
      </c>
      <c r="F92" s="491"/>
    </row>
    <row r="93" spans="1:6" x14ac:dyDescent="0.3">
      <c r="A93" s="482" t="s">
        <v>10</v>
      </c>
      <c r="B93" s="483"/>
      <c r="C93" s="483"/>
      <c r="D93" s="483"/>
      <c r="E93" s="483"/>
      <c r="F93" s="484"/>
    </row>
    <row r="94" spans="1:6" x14ac:dyDescent="0.3">
      <c r="A94" s="485"/>
      <c r="B94" s="486"/>
      <c r="C94" s="486"/>
      <c r="D94" s="486"/>
      <c r="E94" s="486"/>
      <c r="F94" s="487"/>
    </row>
    <row r="95" spans="1:6" x14ac:dyDescent="0.3">
      <c r="A95" s="485"/>
      <c r="B95" s="486"/>
      <c r="C95" s="486"/>
      <c r="D95" s="486"/>
      <c r="E95" s="486"/>
      <c r="F95" s="487"/>
    </row>
    <row r="96" spans="1:6" x14ac:dyDescent="0.3">
      <c r="A96" s="485"/>
      <c r="B96" s="486"/>
      <c r="C96" s="486"/>
      <c r="D96" s="486"/>
      <c r="E96" s="486"/>
      <c r="F96" s="487"/>
    </row>
    <row r="97" spans="1:6" x14ac:dyDescent="0.3">
      <c r="A97" s="485"/>
      <c r="B97" s="486"/>
      <c r="C97" s="486"/>
      <c r="D97" s="486"/>
      <c r="E97" s="486"/>
      <c r="F97" s="487"/>
    </row>
    <row r="98" spans="1:6" x14ac:dyDescent="0.3">
      <c r="A98" s="485"/>
      <c r="B98" s="486"/>
      <c r="C98" s="486"/>
      <c r="D98" s="486"/>
      <c r="E98" s="486"/>
      <c r="F98" s="487"/>
    </row>
    <row r="99" spans="1:6" x14ac:dyDescent="0.3">
      <c r="A99" s="485"/>
      <c r="B99" s="486"/>
      <c r="C99" s="486"/>
      <c r="D99" s="486"/>
      <c r="E99" s="486"/>
      <c r="F99" s="487"/>
    </row>
    <row r="100" spans="1:6" x14ac:dyDescent="0.3">
      <c r="A100" s="485"/>
      <c r="B100" s="486"/>
      <c r="C100" s="486"/>
      <c r="D100" s="486"/>
      <c r="E100" s="486"/>
      <c r="F100" s="487"/>
    </row>
    <row r="101" spans="1:6" x14ac:dyDescent="0.3">
      <c r="A101" s="485"/>
      <c r="B101" s="486"/>
      <c r="C101" s="486"/>
      <c r="D101" s="486"/>
      <c r="E101" s="486"/>
      <c r="F101" s="487"/>
    </row>
    <row r="102" spans="1:6" x14ac:dyDescent="0.3">
      <c r="A102" s="485"/>
      <c r="B102" s="486"/>
      <c r="C102" s="486"/>
      <c r="D102" s="486"/>
      <c r="E102" s="486"/>
      <c r="F102" s="487"/>
    </row>
    <row r="103" spans="1:6" x14ac:dyDescent="0.3">
      <c r="A103" s="488"/>
      <c r="B103" s="489"/>
      <c r="C103" s="489"/>
      <c r="D103" s="489"/>
      <c r="E103" s="489"/>
      <c r="F103" s="490"/>
    </row>
  </sheetData>
  <sheetProtection algorithmName="SHA-512" hashValue="M8ykLcvKSVKkm7+ldERahSy4PbCenB9ZGPOw77GJny6S6c5RaSKrl9+yYusTIHWMcu+2fePs4eqRk8g9Lrnxzg==" saltValue="v9AhnF3zgBODlNGKicGusg==" spinCount="100000" sheet="1" formatColumns="0" formatRows="0"/>
  <mergeCells count="56">
    <mergeCell ref="A93:F103"/>
    <mergeCell ref="A89:A90"/>
    <mergeCell ref="F89:F90"/>
    <mergeCell ref="A91:A92"/>
    <mergeCell ref="F91:F92"/>
    <mergeCell ref="A79:A80"/>
    <mergeCell ref="A81:A82"/>
    <mergeCell ref="A84:A85"/>
    <mergeCell ref="F84:F85"/>
    <mergeCell ref="A87:A88"/>
    <mergeCell ref="F87:F88"/>
    <mergeCell ref="B70:F70"/>
    <mergeCell ref="F71:F72"/>
    <mergeCell ref="A77:A78"/>
    <mergeCell ref="F77:F78"/>
    <mergeCell ref="A71:A72"/>
    <mergeCell ref="B71:B72"/>
    <mergeCell ref="B66:F66"/>
    <mergeCell ref="B67:F67"/>
    <mergeCell ref="A59:A60"/>
    <mergeCell ref="F59:F60"/>
    <mergeCell ref="A61:A62"/>
    <mergeCell ref="F61:F62"/>
    <mergeCell ref="B36:F36"/>
    <mergeCell ref="B37:F37"/>
    <mergeCell ref="B40:F40"/>
    <mergeCell ref="F41:F42"/>
    <mergeCell ref="A57:A58"/>
    <mergeCell ref="F57:F58"/>
    <mergeCell ref="A49:A50"/>
    <mergeCell ref="A51:A52"/>
    <mergeCell ref="A47:A48"/>
    <mergeCell ref="F47:F48"/>
    <mergeCell ref="A54:A55"/>
    <mergeCell ref="F54:F55"/>
    <mergeCell ref="B7:F7"/>
    <mergeCell ref="F1:F3"/>
    <mergeCell ref="B10:F10"/>
    <mergeCell ref="F11:F12"/>
    <mergeCell ref="A1:E1"/>
    <mergeCell ref="A2:E2"/>
    <mergeCell ref="A3:E3"/>
    <mergeCell ref="A4:F4"/>
    <mergeCell ref="B6:F6"/>
    <mergeCell ref="A17:A18"/>
    <mergeCell ref="F17:F18"/>
    <mergeCell ref="A19:A20"/>
    <mergeCell ref="A21:A22"/>
    <mergeCell ref="A24:A25"/>
    <mergeCell ref="F24:F25"/>
    <mergeCell ref="A27:A28"/>
    <mergeCell ref="F27:F28"/>
    <mergeCell ref="A29:A30"/>
    <mergeCell ref="F29:F30"/>
    <mergeCell ref="A31:A32"/>
    <mergeCell ref="F31:F32"/>
  </mergeCells>
  <hyperlinks>
    <hyperlink ref="F74" r:id="rId1" xr:uid="{BA5939CE-F6EB-4A04-8EEC-B0B3FA43C39A}"/>
    <hyperlink ref="F44" r:id="rId2" xr:uid="{11E289BB-65F8-4256-B21B-5A85AEC78635}"/>
    <hyperlink ref="F14" r:id="rId3" xr:uid="{3E6701D5-DE46-42D4-BDDD-569355A2FC08}"/>
  </hyperlinks>
  <pageMargins left="0.7" right="0.7" top="0.75" bottom="0.75" header="0.3" footer="0.3"/>
  <pageSetup paperSize="9" scale="55" orientation="portrait" r:id="rId4"/>
  <extLst>
    <ext xmlns:x14="http://schemas.microsoft.com/office/spreadsheetml/2009/9/main" uri="{CCE6A557-97BC-4b89-ADB6-D9C93CAAB3DF}">
      <x14:dataValidations xmlns:xm="http://schemas.microsoft.com/office/excel/2006/main" count="2">
        <x14:dataValidation type="list" allowBlank="1" showInputMessage="1" showErrorMessage="1" xr:uid="{91DBDEB6-7248-4CBA-B4DA-A0B581EF55D8}">
          <x14:formula1>
            <xm:f>'HIV dropdown'!$A$112:$A$117</xm:f>
          </x14:formula1>
          <xm:sqref>B6:F6 B36:F36 B66:F66</xm:sqref>
        </x14:dataValidation>
        <x14:dataValidation type="list" allowBlank="1" showInputMessage="1" showErrorMessage="1" xr:uid="{4524A828-5F2F-4389-B781-F52245AE1920}">
          <x14:formula1>
            <xm:f>'HIV dropdown'!$A$88:$A$93</xm:f>
          </x14:formula1>
          <xm:sqref>B7:F7 B37:F37 B67:F67</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4">
    <tabColor rgb="FFFF5050"/>
  </sheetPr>
  <dimension ref="A1:T160"/>
  <sheetViews>
    <sheetView view="pageBreakPreview" zoomScale="70" zoomScaleNormal="80" zoomScaleSheetLayoutView="70" zoomScalePageLayoutView="80" workbookViewId="0">
      <selection activeCell="C122" sqref="C122"/>
    </sheetView>
  </sheetViews>
  <sheetFormatPr defaultColWidth="9" defaultRowHeight="14" x14ac:dyDescent="0.3"/>
  <cols>
    <col min="1" max="1" width="30.58203125" style="12" customWidth="1"/>
    <col min="2" max="2" width="11.58203125" style="12" customWidth="1"/>
    <col min="3" max="5" width="11.58203125" style="179" customWidth="1"/>
    <col min="6" max="6" width="68.33203125" style="12" customWidth="1"/>
    <col min="7" max="7" width="21.58203125" style="12" customWidth="1"/>
    <col min="8" max="8" width="9" style="12"/>
    <col min="9" max="9" width="10.08203125" style="12" customWidth="1"/>
    <col min="10" max="10" width="10.58203125" style="12" customWidth="1"/>
    <col min="11" max="11" width="12.08203125" style="12" customWidth="1"/>
    <col min="12" max="16384" width="9" style="12"/>
  </cols>
  <sheetData>
    <row r="1" spans="1:20" ht="22" customHeight="1" x14ac:dyDescent="0.3">
      <c r="A1" s="475" t="s">
        <v>3</v>
      </c>
      <c r="B1" s="475"/>
      <c r="C1" s="475"/>
      <c r="D1" s="475"/>
      <c r="E1" s="475"/>
      <c r="F1" s="472" t="str">
        <f ca="1">TranslationsHIV!$G$118</f>
        <v>Latest version updated: 13 March 2023</v>
      </c>
      <c r="G1" s="1"/>
      <c r="H1" s="1"/>
      <c r="I1" s="1"/>
      <c r="J1" s="1"/>
      <c r="K1" s="1"/>
      <c r="L1" s="1"/>
      <c r="M1" s="2"/>
      <c r="N1" s="2"/>
      <c r="O1" s="2"/>
      <c r="P1" s="2"/>
      <c r="Q1" s="2"/>
      <c r="R1" s="2"/>
      <c r="S1" s="2"/>
      <c r="T1" s="2"/>
    </row>
    <row r="2" spans="1:20" ht="22" customHeight="1" x14ac:dyDescent="0.3">
      <c r="A2" s="421" t="s">
        <v>4</v>
      </c>
      <c r="B2" s="421"/>
      <c r="C2" s="421"/>
      <c r="D2" s="421"/>
      <c r="E2" s="421"/>
      <c r="F2" s="473"/>
      <c r="G2" s="1"/>
      <c r="H2" s="1"/>
      <c r="I2" s="1"/>
      <c r="J2" s="1"/>
      <c r="K2" s="1"/>
      <c r="L2" s="1"/>
      <c r="M2" s="2"/>
      <c r="N2" s="2"/>
      <c r="O2" s="2"/>
      <c r="P2" s="2"/>
      <c r="Q2" s="2"/>
      <c r="R2" s="2"/>
      <c r="S2" s="2"/>
      <c r="T2" s="2"/>
    </row>
    <row r="3" spans="1:20" ht="22" customHeight="1" thickBot="1" x14ac:dyDescent="0.35">
      <c r="A3" s="476" t="s">
        <v>5</v>
      </c>
      <c r="B3" s="476"/>
      <c r="C3" s="476"/>
      <c r="D3" s="476"/>
      <c r="E3" s="476"/>
      <c r="F3" s="474"/>
      <c r="G3" s="1"/>
      <c r="H3" s="1"/>
      <c r="I3" s="1"/>
      <c r="J3" s="1"/>
      <c r="K3" s="1"/>
      <c r="L3" s="1"/>
      <c r="M3" s="2"/>
      <c r="N3" s="2"/>
      <c r="O3" s="2"/>
      <c r="P3" s="2"/>
      <c r="Q3" s="2"/>
      <c r="R3" s="2"/>
      <c r="S3" s="2"/>
      <c r="T3" s="2"/>
    </row>
    <row r="4" spans="1:20" ht="48.65" customHeight="1" x14ac:dyDescent="0.3">
      <c r="A4" s="497" t="str">
        <f ca="1">TranslationsHIV!$G$116</f>
        <v xml:space="preserve">Carefully read the instructions in the "Instructions" tab before completing the programmatic gap analysis table. 
The instructions have been tailored to each specific module/intervention. </v>
      </c>
      <c r="B4" s="497"/>
      <c r="C4" s="497"/>
      <c r="D4" s="497"/>
      <c r="E4" s="497"/>
      <c r="F4" s="497"/>
    </row>
    <row r="5" spans="1:20" ht="30" customHeight="1" thickBot="1" x14ac:dyDescent="0.35">
      <c r="A5" s="247" t="str">
        <f ca="1">TranslationsHIV!$A$67</f>
        <v>Condom Programmatic Gap Table 1</v>
      </c>
      <c r="B5" s="248"/>
      <c r="C5" s="228"/>
      <c r="D5" s="228"/>
      <c r="E5" s="228"/>
      <c r="F5" s="229"/>
    </row>
    <row r="6" spans="1:20" ht="45" customHeight="1" x14ac:dyDescent="0.3">
      <c r="A6" s="138" t="str">
        <f ca="1">TranslationsHIV!$A$21</f>
        <v>Priority Module</v>
      </c>
      <c r="B6" s="492" t="s">
        <v>1148</v>
      </c>
      <c r="C6" s="493"/>
      <c r="D6" s="493"/>
      <c r="E6" s="493"/>
      <c r="F6" s="494"/>
    </row>
    <row r="7" spans="1:20" ht="45" customHeight="1" x14ac:dyDescent="0.3">
      <c r="A7" s="138" t="str">
        <f ca="1">TranslationsHIV!$A$22</f>
        <v>Selected coverage indicator</v>
      </c>
      <c r="B7" s="446" t="s">
        <v>1182</v>
      </c>
      <c r="C7" s="447"/>
      <c r="D7" s="447"/>
      <c r="E7" s="447"/>
      <c r="F7" s="448"/>
    </row>
    <row r="8" spans="1:20" ht="17.5" customHeight="1" x14ac:dyDescent="0.3">
      <c r="A8" s="211" t="str">
        <f ca="1">TranslationsHIV!$A$24</f>
        <v>Current national coverage</v>
      </c>
      <c r="B8" s="212"/>
      <c r="C8" s="150"/>
      <c r="D8" s="150"/>
      <c r="E8" s="150"/>
      <c r="F8" s="213"/>
    </row>
    <row r="9" spans="1:20" ht="45" customHeight="1" x14ac:dyDescent="0.3">
      <c r="A9" s="131" t="str">
        <f ca="1">TranslationsHIV!$A$25</f>
        <v>Insert latest results</v>
      </c>
      <c r="B9" s="86">
        <v>727927</v>
      </c>
      <c r="C9" s="155" t="str">
        <f ca="1">TranslationsHIV!$A$26</f>
        <v>Year</v>
      </c>
      <c r="D9" s="215">
        <v>2022</v>
      </c>
      <c r="E9" s="153" t="str">
        <f ca="1">TranslationsHIV!$A$27</f>
        <v>Data source</v>
      </c>
      <c r="F9" s="18" t="s">
        <v>1694</v>
      </c>
    </row>
    <row r="10" spans="1:20" ht="45" customHeight="1" x14ac:dyDescent="0.3">
      <c r="A10" s="230" t="str">
        <f ca="1">TranslationsHIV!$A$28</f>
        <v>Comments</v>
      </c>
      <c r="B10" s="498" t="s">
        <v>1695</v>
      </c>
      <c r="C10" s="499"/>
      <c r="D10" s="499"/>
      <c r="E10" s="499"/>
      <c r="F10" s="500"/>
    </row>
    <row r="11" spans="1:20" ht="45" customHeight="1" x14ac:dyDescent="0.3">
      <c r="A11" s="197"/>
      <c r="B11" s="223"/>
      <c r="C11" s="246" t="str">
        <f ca="1">TranslationsHIV!$A$29</f>
        <v>Year 1</v>
      </c>
      <c r="D11" s="155" t="str">
        <f ca="1">TranslationsHIV!$A$30</f>
        <v>Year 2</v>
      </c>
      <c r="E11" s="155" t="str">
        <f ca="1">TranslationsHIV!$A$31</f>
        <v>Year 3</v>
      </c>
      <c r="F11" s="452" t="str">
        <f ca="1">TranslationsHIV!$A$34</f>
        <v>Comments / Assumptions</v>
      </c>
    </row>
    <row r="12" spans="1:20" ht="45" customHeight="1" x14ac:dyDescent="0.3">
      <c r="A12" s="198"/>
      <c r="B12" s="224"/>
      <c r="C12" s="238">
        <v>2024</v>
      </c>
      <c r="D12" s="140">
        <v>2025</v>
      </c>
      <c r="E12" s="140">
        <v>2026</v>
      </c>
      <c r="F12" s="453"/>
    </row>
    <row r="13" spans="1:20" ht="17.5" customHeight="1" x14ac:dyDescent="0.3">
      <c r="A13" s="211" t="str">
        <f ca="1">TranslationsHIV!$A$35</f>
        <v>Current estimated country need</v>
      </c>
      <c r="B13" s="214"/>
      <c r="C13" s="150"/>
      <c r="D13" s="150"/>
      <c r="E13" s="150"/>
      <c r="F13" s="213"/>
    </row>
    <row r="14" spans="1:20" ht="45" customHeight="1" x14ac:dyDescent="0.3">
      <c r="A14" s="231" t="str">
        <f ca="1">TranslationsHIV!$A$140</f>
        <v>A. Total estimated key and vulnerable populations in need</v>
      </c>
      <c r="B14" s="195" t="s">
        <v>8</v>
      </c>
      <c r="C14" s="337">
        <v>131352</v>
      </c>
      <c r="D14" s="337">
        <v>135162</v>
      </c>
      <c r="E14" s="337">
        <v>139081</v>
      </c>
      <c r="F14" s="251" t="s">
        <v>1206</v>
      </c>
    </row>
    <row r="15" spans="1:20" ht="45" customHeight="1" x14ac:dyDescent="0.3">
      <c r="A15" s="252" t="str">
        <f ca="1">TranslationsHIV!$A$71</f>
        <v>A1. Total male condoms needed</v>
      </c>
      <c r="B15" s="195" t="s">
        <v>8</v>
      </c>
      <c r="C15" s="337">
        <v>25613640</v>
      </c>
      <c r="D15" s="337">
        <v>26356590</v>
      </c>
      <c r="E15" s="337">
        <v>27120795</v>
      </c>
      <c r="F15" s="18" t="s">
        <v>1696</v>
      </c>
    </row>
    <row r="16" spans="1:20" ht="45" customHeight="1" x14ac:dyDescent="0.3">
      <c r="A16" s="252" t="str">
        <f ca="1">TranslationsHIV!$A$72</f>
        <v>A2. Total female condoms needed</v>
      </c>
      <c r="B16" s="195" t="s">
        <v>8</v>
      </c>
      <c r="C16" s="338">
        <f>IF(C17="","",C17-C15)</f>
        <v>1</v>
      </c>
      <c r="D16" s="338">
        <f t="shared" ref="D16:E16" si="0">IF(D17="","",D17-D15)</f>
        <v>1</v>
      </c>
      <c r="E16" s="338">
        <f t="shared" si="0"/>
        <v>1</v>
      </c>
      <c r="F16" s="18" t="s">
        <v>1697</v>
      </c>
    </row>
    <row r="17" spans="1:6" ht="45" customHeight="1" x14ac:dyDescent="0.3">
      <c r="A17" s="252" t="str">
        <f ca="1">TranslationsHIV!$A$113</f>
        <v>A3. Total condoms needed</v>
      </c>
      <c r="B17" s="195" t="s">
        <v>8</v>
      </c>
      <c r="C17" s="337">
        <v>25613641</v>
      </c>
      <c r="D17" s="337">
        <v>26356591</v>
      </c>
      <c r="E17" s="337">
        <v>27120796</v>
      </c>
      <c r="F17" s="18" t="s">
        <v>1697</v>
      </c>
    </row>
    <row r="18" spans="1:6" ht="45" customHeight="1" x14ac:dyDescent="0.3">
      <c r="A18" s="253" t="str">
        <f ca="1">TranslationsHIV!$A$73</f>
        <v>B1. Country targets- male condoms
(from National Strategic Plan)</v>
      </c>
      <c r="B18" s="195" t="s">
        <v>8</v>
      </c>
      <c r="C18" s="337">
        <f>(118217*C17)/C14</f>
        <v>23052315.900001522</v>
      </c>
      <c r="D18" s="337">
        <f>(125700*D15)/D14</f>
        <v>24511500</v>
      </c>
      <c r="E18" s="337">
        <f>(132127*E15)/E14</f>
        <v>25764765</v>
      </c>
      <c r="F18" s="18" t="s">
        <v>1698</v>
      </c>
    </row>
    <row r="19" spans="1:6" ht="99.75" customHeight="1" x14ac:dyDescent="0.3">
      <c r="A19" s="253" t="str">
        <f ca="1">TranslationsHIV!$A$74</f>
        <v>B2. Country targets- female condoms
(from National Strategic Plan)</v>
      </c>
      <c r="B19" s="201" t="s">
        <v>8</v>
      </c>
      <c r="C19" s="337">
        <v>1</v>
      </c>
      <c r="D19" s="337">
        <v>1</v>
      </c>
      <c r="E19" s="337">
        <v>1</v>
      </c>
      <c r="F19" s="18"/>
    </row>
    <row r="20" spans="1:6" ht="17.5" customHeight="1" x14ac:dyDescent="0.3">
      <c r="A20" s="211" t="str">
        <f ca="1">TranslationsHIV!$A$75</f>
        <v>Country need to meet global target already covered by funding resource</v>
      </c>
      <c r="B20" s="212"/>
      <c r="C20" s="339"/>
      <c r="D20" s="339"/>
      <c r="E20" s="339"/>
      <c r="F20" s="213"/>
    </row>
    <row r="21" spans="1:6" ht="45" customHeight="1" x14ac:dyDescent="0.3">
      <c r="A21" s="495" t="str">
        <f ca="1">TranslationsHIV!$A$76</f>
        <v>C1. Global target planned to be covered by domestic resources, including private sector where available</v>
      </c>
      <c r="B21" s="195" t="s">
        <v>8</v>
      </c>
      <c r="C21" s="337">
        <f>C18*1%</f>
        <v>230523.15900001524</v>
      </c>
      <c r="D21" s="337">
        <f t="shared" ref="D21:E21" si="1">D18*1%</f>
        <v>245115</v>
      </c>
      <c r="E21" s="337">
        <f t="shared" si="1"/>
        <v>257647.65</v>
      </c>
      <c r="F21" s="249" t="s">
        <v>1699</v>
      </c>
    </row>
    <row r="22" spans="1:6" ht="45" customHeight="1" x14ac:dyDescent="0.3">
      <c r="A22" s="496"/>
      <c r="B22" s="195" t="s">
        <v>9</v>
      </c>
      <c r="C22" s="340">
        <f>IF(C21=0,"",+C21/C17)</f>
        <v>9.0000152262622573E-3</v>
      </c>
      <c r="D22" s="340">
        <f t="shared" ref="D22:E22" si="2">IF(D21=0,"",+D21/D17)</f>
        <v>9.299950816856398E-3</v>
      </c>
      <c r="E22" s="340">
        <f t="shared" si="2"/>
        <v>9.5000032447425213E-3</v>
      </c>
      <c r="F22" s="249"/>
    </row>
    <row r="23" spans="1:6" ht="45" customHeight="1" x14ac:dyDescent="0.3">
      <c r="A23" s="495" t="str">
        <f ca="1">TranslationsHIV!$A$77</f>
        <v>C2. Global target planned to be covered by external resources</v>
      </c>
      <c r="B23" s="195" t="s">
        <v>8</v>
      </c>
      <c r="C23" s="337">
        <f>(47287*C17)/C14</f>
        <v>9220965.3600021321</v>
      </c>
      <c r="D23" s="337">
        <f>(56565*D17)/D14</f>
        <v>11030175.418497803</v>
      </c>
      <c r="E23" s="337">
        <f>(66064*E17)/E14</f>
        <v>12882480.475003775</v>
      </c>
      <c r="F23" s="249" t="s">
        <v>1700</v>
      </c>
    </row>
    <row r="24" spans="1:6" ht="45" customHeight="1" x14ac:dyDescent="0.3">
      <c r="A24" s="496"/>
      <c r="B24" s="195" t="s">
        <v>9</v>
      </c>
      <c r="C24" s="340">
        <f>IF(C23=0,"",+C23/C17)</f>
        <v>0.36000213167671602</v>
      </c>
      <c r="D24" s="340">
        <f t="shared" ref="D24:E24" si="3">IF(D23=0,"",+D23/D17)</f>
        <v>0.41849780263683578</v>
      </c>
      <c r="E24" s="340">
        <f t="shared" si="3"/>
        <v>0.47500377477872607</v>
      </c>
      <c r="F24" s="249"/>
    </row>
    <row r="25" spans="1:6" ht="45" customHeight="1" x14ac:dyDescent="0.3">
      <c r="A25" s="495" t="str">
        <f ca="1">TranslationsHIV!$A$78</f>
        <v>C3. Total global target planned to be covered: C1+C2</v>
      </c>
      <c r="B25" s="195" t="s">
        <v>8</v>
      </c>
      <c r="C25" s="341">
        <f>+C21+C23</f>
        <v>9451488.519002147</v>
      </c>
      <c r="D25" s="341">
        <f>+D21+D23</f>
        <v>11275290.418497803</v>
      </c>
      <c r="E25" s="341">
        <f>+E21+E23</f>
        <v>13140128.125003776</v>
      </c>
      <c r="F25" s="249"/>
    </row>
    <row r="26" spans="1:6" ht="45" customHeight="1" x14ac:dyDescent="0.3">
      <c r="A26" s="496"/>
      <c r="B26" s="195" t="s">
        <v>9</v>
      </c>
      <c r="C26" s="340">
        <f>IF(C25=0,"",+C25/C17)</f>
        <v>0.36900214690297828</v>
      </c>
      <c r="D26" s="340">
        <f t="shared" ref="D26:E26" si="4">IF(D25=0,"",+D25/D17)</f>
        <v>0.4277977534536922</v>
      </c>
      <c r="E26" s="340">
        <f t="shared" si="4"/>
        <v>0.48450377802346861</v>
      </c>
      <c r="F26" s="249"/>
    </row>
    <row r="27" spans="1:6" ht="17.5" customHeight="1" x14ac:dyDescent="0.3">
      <c r="A27" s="211" t="str">
        <f ca="1">TranslationsHIV!$A$79</f>
        <v>Global target already covered by type of condom</v>
      </c>
      <c r="B27" s="212"/>
      <c r="C27" s="342"/>
      <c r="D27" s="342"/>
      <c r="E27" s="342"/>
      <c r="F27" s="213"/>
    </row>
    <row r="28" spans="1:6" ht="45" customHeight="1" x14ac:dyDescent="0.3">
      <c r="A28" s="495" t="str">
        <f ca="1">TranslationsHIV!$A$80</f>
        <v>C4. Global target planned to be covered (domestic+external resources)- male condoms</v>
      </c>
      <c r="B28" s="202" t="s">
        <v>8</v>
      </c>
      <c r="C28" s="337">
        <f>C23+C21</f>
        <v>9451488.519002147</v>
      </c>
      <c r="D28" s="337">
        <f t="shared" ref="D28:E28" si="5">D23+D21</f>
        <v>11275290.418497803</v>
      </c>
      <c r="E28" s="337">
        <f t="shared" si="5"/>
        <v>13140128.125003776</v>
      </c>
      <c r="F28" s="249"/>
    </row>
    <row r="29" spans="1:6" ht="45" customHeight="1" x14ac:dyDescent="0.3">
      <c r="A29" s="496"/>
      <c r="B29" s="195" t="s">
        <v>9</v>
      </c>
      <c r="C29" s="340">
        <f>IF(C28=0,"",+C28/C15)</f>
        <v>0.36900216130944868</v>
      </c>
      <c r="D29" s="340">
        <f t="shared" ref="D29:E29" si="6">IF(D28=0,"",+D28/D15)</f>
        <v>0.42779776968484173</v>
      </c>
      <c r="E29" s="340">
        <f t="shared" si="6"/>
        <v>0.48450379588812847</v>
      </c>
      <c r="F29" s="249"/>
    </row>
    <row r="30" spans="1:6" ht="45" customHeight="1" x14ac:dyDescent="0.3">
      <c r="A30" s="495" t="str">
        <f ca="1">TranslationsHIV!$A$81</f>
        <v>C5. Global target planned to be covered (domestic+external resources)- female condoms</v>
      </c>
      <c r="B30" s="195" t="s">
        <v>8</v>
      </c>
      <c r="C30" s="337">
        <v>0</v>
      </c>
      <c r="D30" s="337">
        <v>0</v>
      </c>
      <c r="E30" s="337">
        <v>0</v>
      </c>
      <c r="F30" s="249"/>
    </row>
    <row r="31" spans="1:6" ht="45" customHeight="1" x14ac:dyDescent="0.3">
      <c r="A31" s="496"/>
      <c r="B31" s="195" t="s">
        <v>9</v>
      </c>
      <c r="C31" s="340" t="str">
        <f>IF(C30=0,"",+C30/C16)</f>
        <v/>
      </c>
      <c r="D31" s="340" t="str">
        <f t="shared" ref="D31:E31" si="7">IF(D30=0,"",+D30/D16)</f>
        <v/>
      </c>
      <c r="E31" s="340" t="str">
        <f t="shared" si="7"/>
        <v/>
      </c>
      <c r="F31" s="249"/>
    </row>
    <row r="32" spans="1:6" ht="45" customHeight="1" x14ac:dyDescent="0.3">
      <c r="A32" s="495" t="str">
        <f ca="1">TranslationsHIV!$A$82</f>
        <v>C6. Total global target planned to be covered (male+female): C4+C5</v>
      </c>
      <c r="B32" s="195" t="s">
        <v>8</v>
      </c>
      <c r="C32" s="343">
        <f>C28+C30</f>
        <v>9451488.519002147</v>
      </c>
      <c r="D32" s="343">
        <f>D28+D30</f>
        <v>11275290.418497803</v>
      </c>
      <c r="E32" s="343">
        <f>E28+E30</f>
        <v>13140128.125003776</v>
      </c>
      <c r="F32" s="249"/>
    </row>
    <row r="33" spans="1:6" ht="45" customHeight="1" x14ac:dyDescent="0.3">
      <c r="A33" s="496"/>
      <c r="B33" s="195" t="s">
        <v>9</v>
      </c>
      <c r="C33" s="340">
        <f>IF(C32=0,"",+C32/C17)</f>
        <v>0.36900214690297828</v>
      </c>
      <c r="D33" s="340">
        <f t="shared" ref="D33:E33" si="8">IF(D32=0,"",+D32/D17)</f>
        <v>0.4277977534536922</v>
      </c>
      <c r="E33" s="340">
        <f t="shared" si="8"/>
        <v>0.48450377802346861</v>
      </c>
      <c r="F33" s="249"/>
    </row>
    <row r="34" spans="1:6" ht="17.5" customHeight="1" x14ac:dyDescent="0.3">
      <c r="A34" s="211" t="str">
        <f ca="1">TranslationsHIV!$A$42</f>
        <v>Programmatic gap</v>
      </c>
      <c r="B34" s="212"/>
      <c r="C34" s="342"/>
      <c r="D34" s="342"/>
      <c r="E34" s="342"/>
      <c r="F34" s="254"/>
    </row>
    <row r="35" spans="1:6" ht="45" customHeight="1" x14ac:dyDescent="0.3">
      <c r="A35" s="495" t="str">
        <f ca="1">TranslationsHIV!$A$84</f>
        <v>D1. Expected annual gap in meeting the need- male condoms: A1 - C4</v>
      </c>
      <c r="B35" s="195" t="s">
        <v>8</v>
      </c>
      <c r="C35" s="341">
        <f>C15-C28</f>
        <v>16162151.480997853</v>
      </c>
      <c r="D35" s="341">
        <f t="shared" ref="D35:E35" si="9">D15-D28</f>
        <v>15081299.581502197</v>
      </c>
      <c r="E35" s="341">
        <f t="shared" si="9"/>
        <v>13980666.874996224</v>
      </c>
      <c r="F35" s="470"/>
    </row>
    <row r="36" spans="1:6" ht="45" customHeight="1" x14ac:dyDescent="0.3">
      <c r="A36" s="496"/>
      <c r="B36" s="195" t="s">
        <v>9</v>
      </c>
      <c r="C36" s="340">
        <f>IF(C35=0,"",+C35/C15)</f>
        <v>0.63099783869055137</v>
      </c>
      <c r="D36" s="340">
        <f t="shared" ref="D36:E36" si="10">IF(D35=0,"",+D35/D15)</f>
        <v>0.57220223031515827</v>
      </c>
      <c r="E36" s="340">
        <f t="shared" si="10"/>
        <v>0.51549620411187147</v>
      </c>
      <c r="F36" s="471"/>
    </row>
    <row r="37" spans="1:6" ht="45" customHeight="1" x14ac:dyDescent="0.3">
      <c r="A37" s="495" t="str">
        <f ca="1">TranslationsHIV!$A$85</f>
        <v>D2. Expected annual gap in meeting the need- female condoms: A2 - C5</v>
      </c>
      <c r="B37" s="195" t="s">
        <v>8</v>
      </c>
      <c r="C37" s="341">
        <f>IF(C30="",C16,C16-C30)</f>
        <v>1</v>
      </c>
      <c r="D37" s="341">
        <f t="shared" ref="D37:E37" si="11">IF(D30="",D16,D16-D30)</f>
        <v>1</v>
      </c>
      <c r="E37" s="341">
        <f t="shared" si="11"/>
        <v>1</v>
      </c>
      <c r="F37" s="470"/>
    </row>
    <row r="38" spans="1:6" ht="45" customHeight="1" x14ac:dyDescent="0.3">
      <c r="A38" s="496"/>
      <c r="B38" s="195" t="s">
        <v>9</v>
      </c>
      <c r="C38" s="340">
        <f>IF(C37="","",+C37/C16)</f>
        <v>1</v>
      </c>
      <c r="D38" s="340">
        <f t="shared" ref="D38:E38" si="12">IF(D37="","",+D37/D16)</f>
        <v>1</v>
      </c>
      <c r="E38" s="340">
        <f t="shared" si="12"/>
        <v>1</v>
      </c>
      <c r="F38" s="471"/>
    </row>
    <row r="39" spans="1:6" ht="17.5" customHeight="1" x14ac:dyDescent="0.3">
      <c r="A39" s="211" t="str">
        <f ca="1">TranslationsHIV!$A$44</f>
        <v>Country need to meet global targets covered with the allocation amount</v>
      </c>
      <c r="B39" s="212"/>
      <c r="C39" s="344"/>
      <c r="D39" s="344"/>
      <c r="E39" s="344"/>
      <c r="F39" s="254"/>
    </row>
    <row r="40" spans="1:6" ht="45" customHeight="1" x14ac:dyDescent="0.3">
      <c r="A40" s="495" t="str">
        <f ca="1">TranslationsHIV!$A$87</f>
        <v>E1. Targets to be financed by allocation amount- male condoms</v>
      </c>
      <c r="B40" s="201" t="s">
        <v>8</v>
      </c>
      <c r="C40" s="337">
        <f>(41376*C17)/C14</f>
        <v>8068320.315000914</v>
      </c>
      <c r="D40" s="337">
        <f>(50280*D17)/D14</f>
        <v>9804600.3719980475</v>
      </c>
      <c r="E40" s="337">
        <f>(59457*E17)/E14</f>
        <v>11594115.427499084</v>
      </c>
      <c r="F40" s="470" t="s">
        <v>1701</v>
      </c>
    </row>
    <row r="41" spans="1:6" ht="45" customHeight="1" x14ac:dyDescent="0.3">
      <c r="A41" s="496"/>
      <c r="B41" s="201" t="s">
        <v>9</v>
      </c>
      <c r="C41" s="340">
        <f>IF(C40=0,"",+C40/C15)</f>
        <v>0.31500092587390599</v>
      </c>
      <c r="D41" s="340">
        <f t="shared" ref="D41:E41" si="13">IF(D40=0,"",+D40/D15)</f>
        <v>0.37199806090234161</v>
      </c>
      <c r="E41" s="340">
        <f t="shared" si="13"/>
        <v>0.42749909903080213</v>
      </c>
      <c r="F41" s="471"/>
    </row>
    <row r="42" spans="1:6" ht="45" customHeight="1" x14ac:dyDescent="0.3">
      <c r="A42" s="495" t="str">
        <f ca="1">TranslationsHIV!$A$88</f>
        <v>E2. Targets to be financed by allocation amount - female condoms</v>
      </c>
      <c r="B42" s="201" t="s">
        <v>8</v>
      </c>
      <c r="C42" s="337">
        <v>1</v>
      </c>
      <c r="D42" s="337">
        <v>1</v>
      </c>
      <c r="E42" s="337">
        <v>1</v>
      </c>
      <c r="F42" s="470" t="s">
        <v>1702</v>
      </c>
    </row>
    <row r="43" spans="1:6" ht="45" customHeight="1" x14ac:dyDescent="0.3">
      <c r="A43" s="496"/>
      <c r="B43" s="201" t="s">
        <v>9</v>
      </c>
      <c r="C43" s="340">
        <f>IF(C42=0,"",+C42/C16)</f>
        <v>1</v>
      </c>
      <c r="D43" s="340">
        <f t="shared" ref="D43:E43" si="14">IF(D42=0,"",+D42/D16)</f>
        <v>1</v>
      </c>
      <c r="E43" s="340">
        <f t="shared" si="14"/>
        <v>1</v>
      </c>
      <c r="F43" s="471"/>
    </row>
    <row r="44" spans="1:6" ht="45" customHeight="1" x14ac:dyDescent="0.3">
      <c r="A44" s="501" t="str">
        <f ca="1">TranslationsHIV!$A$89</f>
        <v>F1. Coverage from allocation amount and other resources - male condoms: E1 + C4</v>
      </c>
      <c r="B44" s="203" t="s">
        <v>8</v>
      </c>
      <c r="C44" s="345">
        <f>IF(C40="","",C40+C28)</f>
        <v>17519808.834003061</v>
      </c>
      <c r="D44" s="345">
        <f t="shared" ref="D44:E44" si="15">IF(D40="","",D40+D28)</f>
        <v>21079890.79049585</v>
      </c>
      <c r="E44" s="345">
        <f t="shared" si="15"/>
        <v>24734243.552502859</v>
      </c>
      <c r="F44" s="491"/>
    </row>
    <row r="45" spans="1:6" ht="45" customHeight="1" x14ac:dyDescent="0.3">
      <c r="A45" s="496"/>
      <c r="B45" s="201" t="s">
        <v>9</v>
      </c>
      <c r="C45" s="340">
        <f>IF(C44="","",C44/C15)</f>
        <v>0.68400308718335467</v>
      </c>
      <c r="D45" s="340">
        <f t="shared" ref="D45:E45" si="16">IF(D44="","",D44/D15)</f>
        <v>0.79979583058718329</v>
      </c>
      <c r="E45" s="340">
        <f t="shared" si="16"/>
        <v>0.91200289491893061</v>
      </c>
      <c r="F45" s="471"/>
    </row>
    <row r="46" spans="1:6" ht="45" customHeight="1" x14ac:dyDescent="0.3">
      <c r="A46" s="495" t="str">
        <f ca="1">TranslationsHIV!$A$90</f>
        <v>F2. Coverage from allocation amount and other resources - female condoms: E2 + C5</v>
      </c>
      <c r="B46" s="201" t="s">
        <v>8</v>
      </c>
      <c r="C46" s="341">
        <f>+C42+C30</f>
        <v>1</v>
      </c>
      <c r="D46" s="341">
        <f>+D42+D30</f>
        <v>1</v>
      </c>
      <c r="E46" s="341">
        <f>+E42+E30</f>
        <v>1</v>
      </c>
      <c r="F46" s="306"/>
    </row>
    <row r="47" spans="1:6" ht="45" customHeight="1" x14ac:dyDescent="0.3">
      <c r="A47" s="496"/>
      <c r="B47" s="201" t="s">
        <v>9</v>
      </c>
      <c r="C47" s="340">
        <f>IF(C46=0,"",+C46/C16)</f>
        <v>1</v>
      </c>
      <c r="D47" s="340">
        <f>IF(D46=0,"",+D46/D16)</f>
        <v>1</v>
      </c>
      <c r="E47" s="340">
        <f>IF(E46=0,"",+E46/E16)</f>
        <v>1</v>
      </c>
      <c r="F47" s="308"/>
    </row>
    <row r="48" spans="1:6" ht="45" customHeight="1" x14ac:dyDescent="0.3">
      <c r="A48" s="449" t="str">
        <f ca="1">TranslationsHIV!$A$91</f>
        <v>G1. Remaining gap- male condoms: A1 - F1</v>
      </c>
      <c r="B48" s="203" t="s">
        <v>8</v>
      </c>
      <c r="C48" s="345">
        <f>IF(C44="",C15,C15-C44)</f>
        <v>8093831.1659969389</v>
      </c>
      <c r="D48" s="345">
        <f t="shared" ref="D48:E48" si="17">IF(D44="",D15,D15-D44)</f>
        <v>5276699.2095041499</v>
      </c>
      <c r="E48" s="345">
        <f t="shared" si="17"/>
        <v>2386551.4474971406</v>
      </c>
      <c r="F48" s="491"/>
    </row>
    <row r="49" spans="1:6" ht="45" customHeight="1" x14ac:dyDescent="0.3">
      <c r="A49" s="425"/>
      <c r="B49" s="201" t="s">
        <v>9</v>
      </c>
      <c r="C49" s="340">
        <f>IF(C48=0,"",+C48/C15)</f>
        <v>0.31599691281664533</v>
      </c>
      <c r="D49" s="340">
        <f t="shared" ref="D49:E49" si="18">IF(D48=0,"",+D48/D15)</f>
        <v>0.20020416941281668</v>
      </c>
      <c r="E49" s="340">
        <f t="shared" si="18"/>
        <v>8.7997105081069366E-2</v>
      </c>
      <c r="F49" s="471"/>
    </row>
    <row r="50" spans="1:6" ht="45" customHeight="1" x14ac:dyDescent="0.3">
      <c r="A50" s="419" t="str">
        <f ca="1">TranslationsHIV!$A$92</f>
        <v>G2. Remaining gap- female condoms: A2 - F2</v>
      </c>
      <c r="B50" s="201" t="s">
        <v>8</v>
      </c>
      <c r="C50" s="345">
        <f>IF(C16="","",C16-C46)</f>
        <v>0</v>
      </c>
      <c r="D50" s="345">
        <f t="shared" ref="D50:E50" si="19">IF(D16="","",D16-D46)</f>
        <v>0</v>
      </c>
      <c r="E50" s="345">
        <f t="shared" si="19"/>
        <v>0</v>
      </c>
      <c r="F50" s="255"/>
    </row>
    <row r="51" spans="1:6" ht="45" customHeight="1" x14ac:dyDescent="0.3">
      <c r="A51" s="449"/>
      <c r="B51" s="257" t="s">
        <v>9</v>
      </c>
      <c r="C51" s="346">
        <f>IF(C50="","",+C50/C16)</f>
        <v>0</v>
      </c>
      <c r="D51" s="346">
        <f t="shared" ref="D51:E51" si="20">IF(D50="","",+D50/D16)</f>
        <v>0</v>
      </c>
      <c r="E51" s="346">
        <f t="shared" si="20"/>
        <v>0</v>
      </c>
      <c r="F51" s="255"/>
    </row>
    <row r="52" spans="1:6" x14ac:dyDescent="0.3">
      <c r="A52" s="282"/>
      <c r="B52" s="282"/>
      <c r="C52" s="282"/>
      <c r="D52" s="282"/>
      <c r="E52" s="282"/>
      <c r="F52" s="282"/>
    </row>
    <row r="53" spans="1:6" x14ac:dyDescent="0.3">
      <c r="A53" s="367"/>
      <c r="B53" s="367"/>
      <c r="C53" s="367"/>
      <c r="D53" s="367"/>
      <c r="E53" s="367"/>
      <c r="F53" s="367"/>
    </row>
    <row r="54" spans="1:6" ht="30" customHeight="1" thickBot="1" x14ac:dyDescent="0.35">
      <c r="A54" s="347" t="str">
        <f ca="1">TranslationsHIV!$A$114</f>
        <v xml:space="preserve">Condom Programmatic Gap Table 2 </v>
      </c>
      <c r="B54" s="348"/>
      <c r="C54" s="349"/>
      <c r="D54" s="349"/>
      <c r="E54" s="349"/>
      <c r="F54" s="350"/>
    </row>
    <row r="55" spans="1:6" ht="45" customHeight="1" x14ac:dyDescent="0.3">
      <c r="A55" s="138" t="str">
        <f ca="1">TranslationsHIV!$A$21</f>
        <v>Priority Module</v>
      </c>
      <c r="B55" s="492" t="s">
        <v>1421</v>
      </c>
      <c r="C55" s="493"/>
      <c r="D55" s="493"/>
      <c r="E55" s="493"/>
      <c r="F55" s="494"/>
    </row>
    <row r="56" spans="1:6" ht="45" customHeight="1" x14ac:dyDescent="0.3">
      <c r="A56" s="138" t="str">
        <f ca="1">TranslationsHIV!$A$22</f>
        <v>Selected coverage indicator</v>
      </c>
      <c r="B56" s="446" t="s">
        <v>1424</v>
      </c>
      <c r="C56" s="447"/>
      <c r="D56" s="447"/>
      <c r="E56" s="447"/>
      <c r="F56" s="448"/>
    </row>
    <row r="57" spans="1:6" ht="17.5" customHeight="1" x14ac:dyDescent="0.3">
      <c r="A57" s="211" t="str">
        <f ca="1">TranslationsHIV!$A$24</f>
        <v>Current national coverage</v>
      </c>
      <c r="B57" s="212"/>
      <c r="C57" s="150"/>
      <c r="D57" s="150"/>
      <c r="E57" s="150"/>
      <c r="F57" s="254"/>
    </row>
    <row r="58" spans="1:6" ht="45" customHeight="1" x14ac:dyDescent="0.3">
      <c r="A58" s="131" t="str">
        <f ca="1">TranslationsHIV!$A$25</f>
        <v>Insert latest results</v>
      </c>
      <c r="B58" s="86">
        <v>7837723</v>
      </c>
      <c r="C58" s="155" t="str">
        <f ca="1">TranslationsHIV!$A$26</f>
        <v>Year</v>
      </c>
      <c r="D58" s="215">
        <v>2022</v>
      </c>
      <c r="E58" s="153" t="str">
        <f ca="1">TranslationsHIV!$A$27</f>
        <v>Data source</v>
      </c>
      <c r="F58" s="18" t="s">
        <v>1694</v>
      </c>
    </row>
    <row r="59" spans="1:6" ht="45" customHeight="1" x14ac:dyDescent="0.3">
      <c r="A59" s="230" t="str">
        <f ca="1">TranslationsHIV!$A$28</f>
        <v>Comments</v>
      </c>
      <c r="B59" s="498" t="s">
        <v>1695</v>
      </c>
      <c r="C59" s="499"/>
      <c r="D59" s="499"/>
      <c r="E59" s="499"/>
      <c r="F59" s="500"/>
    </row>
    <row r="60" spans="1:6" ht="45" customHeight="1" x14ac:dyDescent="0.3">
      <c r="A60" s="197"/>
      <c r="B60" s="223"/>
      <c r="C60" s="246" t="str">
        <f ca="1">TranslationsHIV!$A$29</f>
        <v>Year 1</v>
      </c>
      <c r="D60" s="155" t="str">
        <f ca="1">TranslationsHIV!$A$30</f>
        <v>Year 2</v>
      </c>
      <c r="E60" s="155" t="str">
        <f ca="1">TranslationsHIV!$A$31</f>
        <v>Year 3</v>
      </c>
      <c r="F60" s="452" t="str">
        <f ca="1">TranslationsHIV!$A$34</f>
        <v>Comments / Assumptions</v>
      </c>
    </row>
    <row r="61" spans="1:6" ht="45" customHeight="1" x14ac:dyDescent="0.3">
      <c r="A61" s="198"/>
      <c r="B61" s="224"/>
      <c r="C61" s="238">
        <v>2024</v>
      </c>
      <c r="D61" s="140">
        <v>2025</v>
      </c>
      <c r="E61" s="140">
        <v>2026</v>
      </c>
      <c r="F61" s="453"/>
    </row>
    <row r="62" spans="1:6" ht="17.5" customHeight="1" x14ac:dyDescent="0.3">
      <c r="A62" s="211" t="str">
        <f ca="1">TranslationsHIV!$A$35</f>
        <v>Current estimated country need</v>
      </c>
      <c r="B62" s="214"/>
      <c r="C62" s="150"/>
      <c r="D62" s="150"/>
      <c r="E62" s="150"/>
      <c r="F62" s="254"/>
    </row>
    <row r="63" spans="1:6" ht="45" customHeight="1" x14ac:dyDescent="0.3">
      <c r="A63" s="231" t="str">
        <f ca="1">TranslationsHIV!$A$140</f>
        <v>A. Total estimated key and vulnerable populations in need</v>
      </c>
      <c r="B63" s="195" t="s">
        <v>8</v>
      </c>
      <c r="C63" s="337">
        <v>333676</v>
      </c>
      <c r="D63" s="337">
        <v>343352</v>
      </c>
      <c r="E63" s="337">
        <v>353310</v>
      </c>
      <c r="F63" s="256" t="s">
        <v>1206</v>
      </c>
    </row>
    <row r="64" spans="1:6" ht="45" customHeight="1" x14ac:dyDescent="0.3">
      <c r="A64" s="252" t="str">
        <f ca="1">TranslationsHIV!$A$71</f>
        <v>A1. Total male condoms needed</v>
      </c>
      <c r="B64" s="195" t="s">
        <v>8</v>
      </c>
      <c r="C64" s="337">
        <f>197369354*99%</f>
        <v>195395660.46000001</v>
      </c>
      <c r="D64" s="337">
        <f>203092708*99%</f>
        <v>201061780.91999999</v>
      </c>
      <c r="E64" s="337">
        <f>208982865*99%</f>
        <v>206893036.34999999</v>
      </c>
      <c r="F64" s="18" t="s">
        <v>1703</v>
      </c>
    </row>
    <row r="65" spans="1:6" ht="45" customHeight="1" x14ac:dyDescent="0.3">
      <c r="A65" s="252" t="str">
        <f ca="1">TranslationsHIV!$A$72</f>
        <v>A2. Total female condoms needed</v>
      </c>
      <c r="B65" s="195" t="s">
        <v>8</v>
      </c>
      <c r="C65" s="338">
        <f>IF(C66="","",C66-C64)</f>
        <v>1973693.5399999917</v>
      </c>
      <c r="D65" s="338">
        <f t="shared" ref="D65:E65" si="21">IF(D66="","",D66-D64)</f>
        <v>2030927.0800000131</v>
      </c>
      <c r="E65" s="338">
        <f t="shared" si="21"/>
        <v>2089828.650000006</v>
      </c>
      <c r="F65" s="18" t="s">
        <v>1704</v>
      </c>
    </row>
    <row r="66" spans="1:6" ht="45" customHeight="1" x14ac:dyDescent="0.3">
      <c r="A66" s="252" t="str">
        <f ca="1">TranslationsHIV!$A$113</f>
        <v>A3. Total condoms needed</v>
      </c>
      <c r="B66" s="195" t="s">
        <v>8</v>
      </c>
      <c r="C66" s="337">
        <v>197369354</v>
      </c>
      <c r="D66" s="337">
        <v>203092708</v>
      </c>
      <c r="E66" s="337">
        <v>208982865</v>
      </c>
      <c r="F66" s="18" t="s">
        <v>1705</v>
      </c>
    </row>
    <row r="67" spans="1:6" ht="45" customHeight="1" x14ac:dyDescent="0.3">
      <c r="A67" s="253" t="str">
        <f ca="1">TranslationsHIV!$A$73</f>
        <v>B1. Country targets- male condoms
(from National Strategic Plan)</v>
      </c>
      <c r="B67" s="195" t="s">
        <v>8</v>
      </c>
      <c r="C67" s="337">
        <f>(297304.92*C64)/C63</f>
        <v>174097301.57819998</v>
      </c>
      <c r="D67" s="337">
        <f>(316124.82*D64)/D63</f>
        <v>185117952.71969998</v>
      </c>
      <c r="E67" s="337">
        <f>(332287.56*E64)/E63</f>
        <v>194582610.82260001</v>
      </c>
      <c r="F67" s="18" t="s">
        <v>1706</v>
      </c>
    </row>
    <row r="68" spans="1:6" ht="45" customHeight="1" x14ac:dyDescent="0.3">
      <c r="A68" s="253" t="str">
        <f ca="1">TranslationsHIV!$A$74</f>
        <v>B2. Country targets- female condoms
(from National Strategic Plan)</v>
      </c>
      <c r="B68" s="201" t="s">
        <v>8</v>
      </c>
      <c r="C68" s="337">
        <f>(297304.92*C65)/C63</f>
        <v>1758558.6017999924</v>
      </c>
      <c r="D68" s="337">
        <f>(316124.82*D65)/D63</f>
        <v>1869878.3103000121</v>
      </c>
      <c r="E68" s="337">
        <f>(332287.56*E65)/E63</f>
        <v>1965480.9174000055</v>
      </c>
      <c r="F68" s="18" t="s">
        <v>1707</v>
      </c>
    </row>
    <row r="69" spans="1:6" ht="17.5" customHeight="1" x14ac:dyDescent="0.3">
      <c r="A69" s="211" t="str">
        <f ca="1">TranslationsHIV!$A$75</f>
        <v>Country need to meet global target already covered by funding resource</v>
      </c>
      <c r="B69" s="212"/>
      <c r="C69" s="339"/>
      <c r="D69" s="339"/>
      <c r="E69" s="339"/>
      <c r="F69" s="254"/>
    </row>
    <row r="70" spans="1:6" ht="45" customHeight="1" x14ac:dyDescent="0.3">
      <c r="A70" s="495" t="str">
        <f ca="1">TranslationsHIV!$A$76</f>
        <v>C1. Global target planned to be covered by domestic resources, including private sector where available</v>
      </c>
      <c r="B70" s="195" t="s">
        <v>8</v>
      </c>
      <c r="C70" s="337">
        <f>C66*1%</f>
        <v>1973693.54</v>
      </c>
      <c r="D70" s="337">
        <f t="shared" ref="D70:E70" si="22">D66*1%</f>
        <v>2030927.08</v>
      </c>
      <c r="E70" s="337">
        <f t="shared" si="22"/>
        <v>2089828.6500000001</v>
      </c>
      <c r="F70" s="249" t="s">
        <v>1699</v>
      </c>
    </row>
    <row r="71" spans="1:6" ht="45" customHeight="1" x14ac:dyDescent="0.3">
      <c r="A71" s="496"/>
      <c r="B71" s="195" t="s">
        <v>9</v>
      </c>
      <c r="C71" s="340">
        <f>IF(C70=0,"",+C70/C66)</f>
        <v>0.01</v>
      </c>
      <c r="D71" s="340">
        <f t="shared" ref="D71:E71" si="23">IF(D70=0,"",+D70/D66)</f>
        <v>0.01</v>
      </c>
      <c r="E71" s="340">
        <f t="shared" si="23"/>
        <v>0.01</v>
      </c>
      <c r="F71" s="249"/>
    </row>
    <row r="72" spans="1:6" ht="45" customHeight="1" x14ac:dyDescent="0.3">
      <c r="A72" s="495" t="str">
        <f ca="1">TranslationsHIV!$A$77</f>
        <v>C2. Global target planned to be covered by external resources</v>
      </c>
      <c r="B72" s="195" t="s">
        <v>8</v>
      </c>
      <c r="C72" s="337">
        <f>(75077*C66)/C63</f>
        <v>44408045.5</v>
      </c>
      <c r="D72" s="337">
        <f>(95795*D66)/D63</f>
        <v>56662742.5</v>
      </c>
      <c r="E72" s="337">
        <f>(117475*E66)/E63</f>
        <v>69486462.5</v>
      </c>
      <c r="F72" s="249" t="s">
        <v>1700</v>
      </c>
    </row>
    <row r="73" spans="1:6" ht="45" customHeight="1" x14ac:dyDescent="0.3">
      <c r="A73" s="496"/>
      <c r="B73" s="195" t="s">
        <v>9</v>
      </c>
      <c r="C73" s="340">
        <f>IF(C72=0,"",+C72/C66)</f>
        <v>0.22499970030808328</v>
      </c>
      <c r="D73" s="340">
        <f t="shared" ref="D73:E73" si="24">IF(D72=0,"",+D72/D66)</f>
        <v>0.27899939420769354</v>
      </c>
      <c r="E73" s="340">
        <f t="shared" si="24"/>
        <v>0.33249837253403525</v>
      </c>
      <c r="F73" s="249"/>
    </row>
    <row r="74" spans="1:6" ht="45" customHeight="1" x14ac:dyDescent="0.3">
      <c r="A74" s="495" t="str">
        <f ca="1">TranslationsHIV!$A$78</f>
        <v>C3. Total global target planned to be covered: C1+C2</v>
      </c>
      <c r="B74" s="195" t="s">
        <v>8</v>
      </c>
      <c r="C74" s="341">
        <f>+C70+C72</f>
        <v>46381739.039999999</v>
      </c>
      <c r="D74" s="341">
        <f>+D70+D72</f>
        <v>58693669.579999998</v>
      </c>
      <c r="E74" s="341">
        <f>+E70+E72</f>
        <v>71576291.150000006</v>
      </c>
      <c r="F74" s="249"/>
    </row>
    <row r="75" spans="1:6" ht="45" customHeight="1" x14ac:dyDescent="0.3">
      <c r="A75" s="496"/>
      <c r="B75" s="195" t="s">
        <v>9</v>
      </c>
      <c r="C75" s="340">
        <f>IF(C74=0,"",+C74/C66)</f>
        <v>0.23499970030808329</v>
      </c>
      <c r="D75" s="340">
        <f t="shared" ref="D75:E75" si="25">IF(D74=0,"",+D74/D66)</f>
        <v>0.28899939420769355</v>
      </c>
      <c r="E75" s="340">
        <f t="shared" si="25"/>
        <v>0.34249837253403531</v>
      </c>
      <c r="F75" s="249"/>
    </row>
    <row r="76" spans="1:6" ht="17.5" customHeight="1" x14ac:dyDescent="0.3">
      <c r="A76" s="211" t="str">
        <f ca="1">TranslationsHIV!$A$79</f>
        <v>Global target already covered by type of condom</v>
      </c>
      <c r="B76" s="212"/>
      <c r="C76" s="342"/>
      <c r="D76" s="342"/>
      <c r="E76" s="342"/>
      <c r="F76" s="254"/>
    </row>
    <row r="77" spans="1:6" ht="45" customHeight="1" x14ac:dyDescent="0.3">
      <c r="A77" s="495" t="str">
        <f ca="1">TranslationsHIV!$A$80</f>
        <v>C4. Global target planned to be covered (domestic+external resources)- male condoms</v>
      </c>
      <c r="B77" s="202" t="s">
        <v>8</v>
      </c>
      <c r="C77" s="337">
        <f>C75*C64</f>
        <v>45917921.649599999</v>
      </c>
      <c r="D77" s="337">
        <f t="shared" ref="D77:E77" si="26">D75*D64</f>
        <v>58106732.884199992</v>
      </c>
      <c r="E77" s="337">
        <f t="shared" si="26"/>
        <v>70860528.238500014</v>
      </c>
      <c r="F77" s="249" t="s">
        <v>1708</v>
      </c>
    </row>
    <row r="78" spans="1:6" ht="45" customHeight="1" x14ac:dyDescent="0.3">
      <c r="A78" s="496"/>
      <c r="B78" s="195" t="s">
        <v>9</v>
      </c>
      <c r="C78" s="340">
        <f>IF(C77=0,"",+C77/C64)</f>
        <v>0.23499970030808329</v>
      </c>
      <c r="D78" s="340">
        <f t="shared" ref="D78:E78" si="27">IF(D77=0,"",+D77/D64)</f>
        <v>0.28899939420769355</v>
      </c>
      <c r="E78" s="340">
        <f t="shared" si="27"/>
        <v>0.34249837253403537</v>
      </c>
      <c r="F78" s="249"/>
    </row>
    <row r="79" spans="1:6" ht="45" customHeight="1" x14ac:dyDescent="0.3">
      <c r="A79" s="495" t="str">
        <f ca="1">TranslationsHIV!$A$81</f>
        <v>C5. Global target planned to be covered (domestic+external resources)- female condoms</v>
      </c>
      <c r="B79" s="195" t="s">
        <v>8</v>
      </c>
      <c r="C79" s="337">
        <f>C75*C65</f>
        <v>463817.39039999805</v>
      </c>
      <c r="D79" s="337">
        <f t="shared" ref="D79:E79" si="28">D75*D65</f>
        <v>586936.69580000371</v>
      </c>
      <c r="E79" s="337">
        <f t="shared" si="28"/>
        <v>715762.91150000214</v>
      </c>
      <c r="F79" s="249" t="s">
        <v>1709</v>
      </c>
    </row>
    <row r="80" spans="1:6" ht="45" customHeight="1" x14ac:dyDescent="0.3">
      <c r="A80" s="496"/>
      <c r="B80" s="195" t="s">
        <v>9</v>
      </c>
      <c r="C80" s="340">
        <f>IF(C79=0,"",+C79/C65)</f>
        <v>0.23499970030808329</v>
      </c>
      <c r="D80" s="340">
        <f t="shared" ref="D80:E80" si="29">IF(D79=0,"",+D79/D65)</f>
        <v>0.28899939420769355</v>
      </c>
      <c r="E80" s="340">
        <f t="shared" si="29"/>
        <v>0.34249837253403531</v>
      </c>
      <c r="F80" s="249"/>
    </row>
    <row r="81" spans="1:6" ht="45" customHeight="1" x14ac:dyDescent="0.3">
      <c r="A81" s="495" t="str">
        <f ca="1">TranslationsHIV!$A$82</f>
        <v>C6. Total global target planned to be covered (male+female): C4+C5</v>
      </c>
      <c r="B81" s="195" t="s">
        <v>8</v>
      </c>
      <c r="C81" s="343">
        <f>C77+C79</f>
        <v>46381739.039999999</v>
      </c>
      <c r="D81" s="343">
        <f>D77+D79</f>
        <v>58693669.579999998</v>
      </c>
      <c r="E81" s="343">
        <f>E77+E79</f>
        <v>71576291.150000021</v>
      </c>
      <c r="F81" s="249"/>
    </row>
    <row r="82" spans="1:6" ht="45" customHeight="1" x14ac:dyDescent="0.3">
      <c r="A82" s="496"/>
      <c r="B82" s="195" t="s">
        <v>9</v>
      </c>
      <c r="C82" s="340">
        <f>IF(C81=0,"",+C81/C66)</f>
        <v>0.23499970030808329</v>
      </c>
      <c r="D82" s="340">
        <f t="shared" ref="D82:E82" si="30">IF(D81=0,"",+D81/D66)</f>
        <v>0.28899939420769355</v>
      </c>
      <c r="E82" s="340">
        <f t="shared" si="30"/>
        <v>0.34249837253403537</v>
      </c>
      <c r="F82" s="249"/>
    </row>
    <row r="83" spans="1:6" ht="17.5" customHeight="1" x14ac:dyDescent="0.3">
      <c r="A83" s="211" t="str">
        <f ca="1">TranslationsHIV!$A$42</f>
        <v>Programmatic gap</v>
      </c>
      <c r="B83" s="212"/>
      <c r="C83" s="342"/>
      <c r="D83" s="342"/>
      <c r="E83" s="342"/>
      <c r="F83" s="254"/>
    </row>
    <row r="84" spans="1:6" ht="45" customHeight="1" x14ac:dyDescent="0.3">
      <c r="A84" s="495" t="str">
        <f ca="1">TranslationsHIV!$A$84</f>
        <v>D1. Expected annual gap in meeting the need- male condoms: A1 - C4</v>
      </c>
      <c r="B84" s="195" t="s">
        <v>8</v>
      </c>
      <c r="C84" s="341">
        <f>C64-C77</f>
        <v>149477738.81040001</v>
      </c>
      <c r="D84" s="341">
        <f t="shared" ref="D84:E84" si="31">D64-D77</f>
        <v>142955048.03579998</v>
      </c>
      <c r="E84" s="341">
        <f t="shared" si="31"/>
        <v>136032508.11149997</v>
      </c>
      <c r="F84" s="470"/>
    </row>
    <row r="85" spans="1:6" ht="45" customHeight="1" x14ac:dyDescent="0.3">
      <c r="A85" s="496"/>
      <c r="B85" s="195" t="s">
        <v>9</v>
      </c>
      <c r="C85" s="340">
        <f>IF(C84=0,"",+C84/C64)</f>
        <v>0.76500029969191674</v>
      </c>
      <c r="D85" s="340">
        <f t="shared" ref="D85:E85" si="32">IF(D84=0,"",+D84/D64)</f>
        <v>0.71100060579230639</v>
      </c>
      <c r="E85" s="340">
        <f t="shared" si="32"/>
        <v>0.65750162746596463</v>
      </c>
      <c r="F85" s="471"/>
    </row>
    <row r="86" spans="1:6" ht="45" customHeight="1" x14ac:dyDescent="0.3">
      <c r="A86" s="495" t="str">
        <f ca="1">TranslationsHIV!$A$85</f>
        <v>D2. Expected annual gap in meeting the need- female condoms: A2 - C5</v>
      </c>
      <c r="B86" s="195" t="s">
        <v>8</v>
      </c>
      <c r="C86" s="341">
        <f>IF(C79="",C65,C65-C79)</f>
        <v>1509876.1495999936</v>
      </c>
      <c r="D86" s="341">
        <f t="shared" ref="D86:E86" si="33">IF(D79="",D65,D65-D79)</f>
        <v>1443990.3842000095</v>
      </c>
      <c r="E86" s="341">
        <f t="shared" si="33"/>
        <v>1374065.7385000037</v>
      </c>
      <c r="F86" s="470"/>
    </row>
    <row r="87" spans="1:6" ht="45" customHeight="1" x14ac:dyDescent="0.3">
      <c r="A87" s="496"/>
      <c r="B87" s="195" t="s">
        <v>9</v>
      </c>
      <c r="C87" s="340">
        <f>IF(C86="","",+C86/C65)</f>
        <v>0.76500029969191674</v>
      </c>
      <c r="D87" s="340">
        <f t="shared" ref="D87:E87" si="34">IF(D86="","",+D86/D65)</f>
        <v>0.71100060579230651</v>
      </c>
      <c r="E87" s="340">
        <f t="shared" si="34"/>
        <v>0.65750162746596463</v>
      </c>
      <c r="F87" s="471"/>
    </row>
    <row r="88" spans="1:6" ht="17.5" customHeight="1" x14ac:dyDescent="0.3">
      <c r="A88" s="211" t="str">
        <f ca="1">TranslationsHIV!$A$44</f>
        <v>Country need to meet global targets covered with the allocation amount</v>
      </c>
      <c r="B88" s="212"/>
      <c r="C88" s="344"/>
      <c r="D88" s="344"/>
      <c r="E88" s="344"/>
      <c r="F88" s="254"/>
    </row>
    <row r="89" spans="1:6" ht="45" customHeight="1" x14ac:dyDescent="0.3">
      <c r="A89" s="495" t="str">
        <f ca="1">TranslationsHIV!$A$87</f>
        <v>E1. Targets to be financed by allocation amount- male condoms</v>
      </c>
      <c r="B89" s="201" t="s">
        <v>8</v>
      </c>
      <c r="C89" s="337">
        <f>(105108*C64)/C63</f>
        <v>61549668.18</v>
      </c>
      <c r="D89" s="337">
        <f>(127727*D64)/D63</f>
        <v>74795015.295000002</v>
      </c>
      <c r="E89" s="337">
        <f>(151040*E64)/E63</f>
        <v>88446758.400000006</v>
      </c>
      <c r="F89" s="470" t="s">
        <v>1710</v>
      </c>
    </row>
    <row r="90" spans="1:6" ht="45" customHeight="1" x14ac:dyDescent="0.3">
      <c r="A90" s="496"/>
      <c r="B90" s="201" t="s">
        <v>9</v>
      </c>
      <c r="C90" s="340">
        <f>IF(C89=0,"",+C89/C64)</f>
        <v>0.31500017981514999</v>
      </c>
      <c r="D90" s="340">
        <f t="shared" ref="D90:E90" si="35">IF(D89=0,"",+D89/D64)</f>
        <v>0.37200016309792872</v>
      </c>
      <c r="E90" s="340">
        <f t="shared" si="35"/>
        <v>0.42749992924061025</v>
      </c>
      <c r="F90" s="471"/>
    </row>
    <row r="91" spans="1:6" ht="45" customHeight="1" x14ac:dyDescent="0.3">
      <c r="A91" s="495" t="str">
        <f ca="1">TranslationsHIV!$A$88</f>
        <v>E2. Targets to be financed by allocation amount - female condoms</v>
      </c>
      <c r="B91" s="201" t="s">
        <v>8</v>
      </c>
      <c r="C91" s="337">
        <f>(105108*C65)/C63</f>
        <v>621713.81999999739</v>
      </c>
      <c r="D91" s="337">
        <f>(127727*D65)/D63</f>
        <v>755505.20500000485</v>
      </c>
      <c r="E91" s="337">
        <f>(151040*E65)/E63</f>
        <v>893401.60000000254</v>
      </c>
      <c r="F91" s="470"/>
    </row>
    <row r="92" spans="1:6" ht="45" customHeight="1" x14ac:dyDescent="0.3">
      <c r="A92" s="496"/>
      <c r="B92" s="201" t="s">
        <v>9</v>
      </c>
      <c r="C92" s="340">
        <f>IF(C91=0,"",+C91/C65)</f>
        <v>0.31500017981515005</v>
      </c>
      <c r="D92" s="340">
        <f t="shared" ref="D92:E92" si="36">IF(D91=0,"",+D91/D65)</f>
        <v>0.37200016309792866</v>
      </c>
      <c r="E92" s="340">
        <f t="shared" si="36"/>
        <v>0.4274999292406102</v>
      </c>
      <c r="F92" s="471"/>
    </row>
    <row r="93" spans="1:6" ht="45" customHeight="1" x14ac:dyDescent="0.3">
      <c r="A93" s="501" t="str">
        <f ca="1">TranslationsHIV!$A$89</f>
        <v>F1. Coverage from allocation amount and other resources - male condoms: E1 + C4</v>
      </c>
      <c r="B93" s="203" t="s">
        <v>8</v>
      </c>
      <c r="C93" s="345">
        <f>IF(C89="","",C89+C77)</f>
        <v>107467589.82960001</v>
      </c>
      <c r="D93" s="345">
        <f t="shared" ref="D93:E93" si="37">IF(D89="","",D89+D77)</f>
        <v>132901748.17919999</v>
      </c>
      <c r="E93" s="345">
        <f t="shared" si="37"/>
        <v>159307286.63850003</v>
      </c>
      <c r="F93" s="491"/>
    </row>
    <row r="94" spans="1:6" ht="45" customHeight="1" x14ac:dyDescent="0.3">
      <c r="A94" s="496"/>
      <c r="B94" s="201" t="s">
        <v>9</v>
      </c>
      <c r="C94" s="340">
        <f>IF(C93="","",C93/C64)</f>
        <v>0.54999988012323331</v>
      </c>
      <c r="D94" s="340">
        <f t="shared" ref="D94:E94" si="38">IF(D93="","",D93/D64)</f>
        <v>0.66099955730562221</v>
      </c>
      <c r="E94" s="340">
        <f t="shared" si="38"/>
        <v>0.76999830177464568</v>
      </c>
      <c r="F94" s="471"/>
    </row>
    <row r="95" spans="1:6" ht="45" customHeight="1" x14ac:dyDescent="0.3">
      <c r="A95" s="495" t="str">
        <f ca="1">TranslationsHIV!$A$90</f>
        <v>F2. Coverage from allocation amount and other resources - female condoms: E2 + C5</v>
      </c>
      <c r="B95" s="201" t="s">
        <v>8</v>
      </c>
      <c r="C95" s="341">
        <f>+C91+C79</f>
        <v>1085531.2103999956</v>
      </c>
      <c r="D95" s="341">
        <f>+D91+D79</f>
        <v>1342441.9008000086</v>
      </c>
      <c r="E95" s="341">
        <f>+E91+E79</f>
        <v>1609164.5115000047</v>
      </c>
      <c r="F95" s="306"/>
    </row>
    <row r="96" spans="1:6" ht="45" customHeight="1" x14ac:dyDescent="0.3">
      <c r="A96" s="496"/>
      <c r="B96" s="201" t="s">
        <v>9</v>
      </c>
      <c r="C96" s="340">
        <f>IF(C95=0,"",+C95/C65)</f>
        <v>0.54999988012323342</v>
      </c>
      <c r="D96" s="340">
        <f>IF(D95=0,"",+D95/D65)</f>
        <v>0.66099955730562221</v>
      </c>
      <c r="E96" s="340">
        <f>IF(E95=0,"",+E95/E65)</f>
        <v>0.76999830177464557</v>
      </c>
      <c r="F96" s="308"/>
    </row>
    <row r="97" spans="1:6" ht="45" customHeight="1" x14ac:dyDescent="0.3">
      <c r="A97" s="449" t="str">
        <f ca="1">TranslationsHIV!$A$91</f>
        <v>G1. Remaining gap- male condoms: A1 - F1</v>
      </c>
      <c r="B97" s="203" t="s">
        <v>8</v>
      </c>
      <c r="C97" s="345">
        <f>IF(C93="",C64,C64-C93)</f>
        <v>87928070.630400002</v>
      </c>
      <c r="D97" s="345">
        <f t="shared" ref="D97:E97" si="39">IF(D93="",D64,D64-D93)</f>
        <v>68160032.740799993</v>
      </c>
      <c r="E97" s="345">
        <f t="shared" si="39"/>
        <v>47585749.711499959</v>
      </c>
      <c r="F97" s="491"/>
    </row>
    <row r="98" spans="1:6" ht="45" customHeight="1" x14ac:dyDescent="0.3">
      <c r="A98" s="425"/>
      <c r="B98" s="201" t="s">
        <v>9</v>
      </c>
      <c r="C98" s="340">
        <f>IF(C97=0,"",+C97/C64)</f>
        <v>0.45000011987676669</v>
      </c>
      <c r="D98" s="340">
        <f t="shared" ref="D98:E98" si="40">IF(D97=0,"",+D97/D64)</f>
        <v>0.33900044269437779</v>
      </c>
      <c r="E98" s="340">
        <f t="shared" si="40"/>
        <v>0.23000169822535432</v>
      </c>
      <c r="F98" s="471"/>
    </row>
    <row r="99" spans="1:6" ht="45" customHeight="1" x14ac:dyDescent="0.3">
      <c r="A99" s="419" t="str">
        <f ca="1">TranslationsHIV!$A$92</f>
        <v>G2. Remaining gap- female condoms: A2 - F2</v>
      </c>
      <c r="B99" s="201" t="s">
        <v>8</v>
      </c>
      <c r="C99" s="345">
        <f>IF(C65="","",C65-C95)</f>
        <v>888162.3295999961</v>
      </c>
      <c r="D99" s="345">
        <f t="shared" ref="D99:E99" si="41">IF(D65="","",D65-D95)</f>
        <v>688485.17920000455</v>
      </c>
      <c r="E99" s="345">
        <f t="shared" si="41"/>
        <v>480664.13850000128</v>
      </c>
      <c r="F99" s="281"/>
    </row>
    <row r="100" spans="1:6" ht="45" customHeight="1" x14ac:dyDescent="0.3">
      <c r="A100" s="425"/>
      <c r="B100" s="201" t="s">
        <v>9</v>
      </c>
      <c r="C100" s="340">
        <f>IF(C99="","",+C99/C65)</f>
        <v>0.45000011987676664</v>
      </c>
      <c r="D100" s="340">
        <f t="shared" ref="D100:E100" si="42">IF(D99="","",+D99/D65)</f>
        <v>0.33900044269437785</v>
      </c>
      <c r="E100" s="340">
        <f t="shared" si="42"/>
        <v>0.23000169822535446</v>
      </c>
      <c r="F100" s="250"/>
    </row>
    <row r="101" spans="1:6" x14ac:dyDescent="0.3">
      <c r="A101" s="120"/>
      <c r="B101" s="120"/>
      <c r="C101" s="180"/>
      <c r="D101" s="180"/>
      <c r="E101" s="180"/>
      <c r="F101" s="120"/>
    </row>
    <row r="102" spans="1:6" x14ac:dyDescent="0.3">
      <c r="A102" s="120"/>
      <c r="B102" s="120"/>
      <c r="C102" s="180"/>
      <c r="D102" s="180"/>
      <c r="E102" s="180"/>
      <c r="F102" s="120"/>
    </row>
    <row r="103" spans="1:6" ht="28.5" thickBot="1" x14ac:dyDescent="0.35">
      <c r="A103" s="247" t="str">
        <f ca="1">TranslationsHIV!$A$141</f>
        <v xml:space="preserve">Condom Programmatic Gap Table 3 </v>
      </c>
      <c r="B103" s="248"/>
      <c r="C103" s="228"/>
      <c r="D103" s="228"/>
      <c r="E103" s="228"/>
      <c r="F103" s="229"/>
    </row>
    <row r="104" spans="1:6" ht="45" customHeight="1" x14ac:dyDescent="0.3">
      <c r="A104" s="138" t="str">
        <f ca="1">TranslationsHIV!$A$21</f>
        <v>Priority Module</v>
      </c>
      <c r="B104" s="492" t="s">
        <v>1163</v>
      </c>
      <c r="C104" s="493"/>
      <c r="D104" s="493"/>
      <c r="E104" s="493"/>
      <c r="F104" s="494"/>
    </row>
    <row r="105" spans="1:6" ht="45" customHeight="1" x14ac:dyDescent="0.3">
      <c r="A105" s="138" t="str">
        <f ca="1">TranslationsHIV!$A$22</f>
        <v>Selected coverage indicator</v>
      </c>
      <c r="B105" s="446" t="s">
        <v>1425</v>
      </c>
      <c r="C105" s="447"/>
      <c r="D105" s="447"/>
      <c r="E105" s="447"/>
      <c r="F105" s="448"/>
    </row>
    <row r="106" spans="1:6" ht="17.5" customHeight="1" x14ac:dyDescent="0.3">
      <c r="A106" s="211" t="str">
        <f ca="1">TranslationsHIV!$A$24</f>
        <v>Current national coverage</v>
      </c>
      <c r="B106" s="212"/>
      <c r="C106" s="150"/>
      <c r="D106" s="150"/>
      <c r="E106" s="150"/>
      <c r="F106" s="254"/>
    </row>
    <row r="107" spans="1:6" ht="45" customHeight="1" x14ac:dyDescent="0.3">
      <c r="A107" s="131" t="str">
        <f ca="1">TranslationsHIV!$A$25</f>
        <v>Insert latest results</v>
      </c>
      <c r="B107" s="86">
        <v>102569</v>
      </c>
      <c r="C107" s="155" t="str">
        <f ca="1">TranslationsHIV!$A$26</f>
        <v>Year</v>
      </c>
      <c r="D107" s="215">
        <v>2022</v>
      </c>
      <c r="E107" s="153" t="str">
        <f ca="1">TranslationsHIV!$A$27</f>
        <v>Data source</v>
      </c>
      <c r="F107" s="18" t="s">
        <v>1694</v>
      </c>
    </row>
    <row r="108" spans="1:6" ht="45" customHeight="1" x14ac:dyDescent="0.3">
      <c r="A108" s="230" t="str">
        <f ca="1">TranslationsHIV!$A$28</f>
        <v>Comments</v>
      </c>
      <c r="B108" s="498" t="s">
        <v>1695</v>
      </c>
      <c r="C108" s="499"/>
      <c r="D108" s="499"/>
      <c r="E108" s="499"/>
      <c r="F108" s="500"/>
    </row>
    <row r="109" spans="1:6" ht="45" customHeight="1" x14ac:dyDescent="0.3">
      <c r="A109" s="197"/>
      <c r="B109" s="223"/>
      <c r="C109" s="246" t="str">
        <f ca="1">TranslationsHIV!$A$29</f>
        <v>Year 1</v>
      </c>
      <c r="D109" s="155" t="str">
        <f ca="1">TranslationsHIV!$A$30</f>
        <v>Year 2</v>
      </c>
      <c r="E109" s="155" t="str">
        <f ca="1">TranslationsHIV!$A$31</f>
        <v>Year 3</v>
      </c>
      <c r="F109" s="452" t="str">
        <f ca="1">TranslationsHIV!$A$34</f>
        <v>Comments / Assumptions</v>
      </c>
    </row>
    <row r="110" spans="1:6" ht="45" customHeight="1" x14ac:dyDescent="0.3">
      <c r="A110" s="198"/>
      <c r="B110" s="224"/>
      <c r="C110" s="238">
        <v>2024</v>
      </c>
      <c r="D110" s="140">
        <v>2025</v>
      </c>
      <c r="E110" s="140">
        <v>2026</v>
      </c>
      <c r="F110" s="453"/>
    </row>
    <row r="111" spans="1:6" ht="17.5" customHeight="1" x14ac:dyDescent="0.3">
      <c r="A111" s="211" t="str">
        <f ca="1">TranslationsHIV!$A$35</f>
        <v>Current estimated country need</v>
      </c>
      <c r="B111" s="214"/>
      <c r="C111" s="150"/>
      <c r="D111" s="150"/>
      <c r="E111" s="150"/>
      <c r="F111" s="254"/>
    </row>
    <row r="112" spans="1:6" ht="45" customHeight="1" x14ac:dyDescent="0.3">
      <c r="A112" s="231" t="str">
        <f ca="1">TranslationsHIV!$A$140</f>
        <v>A. Total estimated key and vulnerable populations in need</v>
      </c>
      <c r="B112" s="195" t="s">
        <v>8</v>
      </c>
      <c r="C112" s="337">
        <v>116620</v>
      </c>
      <c r="D112" s="337">
        <v>120002</v>
      </c>
      <c r="E112" s="337">
        <v>123482</v>
      </c>
      <c r="F112" s="256" t="s">
        <v>1206</v>
      </c>
    </row>
    <row r="113" spans="1:6" ht="45" customHeight="1" x14ac:dyDescent="0.3">
      <c r="A113" s="252" t="str">
        <f ca="1">TranslationsHIV!$A$71</f>
        <v>A1. Total male condoms needed</v>
      </c>
      <c r="B113" s="195" t="s">
        <v>8</v>
      </c>
      <c r="C113" s="337">
        <f>C115*99%</f>
        <v>5628372.75</v>
      </c>
      <c r="D113" s="337">
        <f t="shared" ref="D113:E113" si="43">D115*99%</f>
        <v>5791597.0199999996</v>
      </c>
      <c r="E113" s="337">
        <f t="shared" si="43"/>
        <v>5959550.5199999996</v>
      </c>
      <c r="F113" s="18" t="s">
        <v>1711</v>
      </c>
    </row>
    <row r="114" spans="1:6" ht="45" customHeight="1" x14ac:dyDescent="0.3">
      <c r="A114" s="252" t="str">
        <f ca="1">TranslationsHIV!$A$72</f>
        <v>A2. Total female condoms needed</v>
      </c>
      <c r="B114" s="195" t="s">
        <v>8</v>
      </c>
      <c r="C114" s="338">
        <f>IF(C115="","",C115-C113)</f>
        <v>56852.25</v>
      </c>
      <c r="D114" s="338">
        <f t="shared" ref="D114:E114" si="44">IF(D115="","",D115-D113)</f>
        <v>58500.980000000447</v>
      </c>
      <c r="E114" s="338">
        <f t="shared" si="44"/>
        <v>60197.480000000447</v>
      </c>
      <c r="F114" s="18" t="s">
        <v>1704</v>
      </c>
    </row>
    <row r="115" spans="1:6" ht="45" customHeight="1" x14ac:dyDescent="0.3">
      <c r="A115" s="252" t="str">
        <f ca="1">TranslationsHIV!$A$113</f>
        <v>A3. Total condoms needed</v>
      </c>
      <c r="B115" s="195" t="s">
        <v>8</v>
      </c>
      <c r="C115" s="337">
        <v>5685225</v>
      </c>
      <c r="D115" s="337">
        <v>5850098</v>
      </c>
      <c r="E115" s="337">
        <v>6019748</v>
      </c>
      <c r="F115" s="18" t="s">
        <v>1705</v>
      </c>
    </row>
    <row r="116" spans="1:6" ht="45" customHeight="1" x14ac:dyDescent="0.3">
      <c r="A116" s="253" t="str">
        <f ca="1">TranslationsHIV!$A$73</f>
        <v>B1. Country targets- male condoms
(from National Strategic Plan)</v>
      </c>
      <c r="B116" s="195" t="s">
        <v>8</v>
      </c>
      <c r="C116" s="337">
        <f>(104958*C113)/C112</f>
        <v>5065535.4749999996</v>
      </c>
      <c r="D116" s="337">
        <f>(111602*D113)/D112</f>
        <v>5386191.9853505772</v>
      </c>
      <c r="E116" s="337">
        <f>(117308*E113)/E112</f>
        <v>5661577.8202504003</v>
      </c>
      <c r="F116" s="18" t="s">
        <v>1706</v>
      </c>
    </row>
    <row r="117" spans="1:6" ht="45" customHeight="1" x14ac:dyDescent="0.3">
      <c r="A117" s="253" t="str">
        <f ca="1">TranslationsHIV!$A$74</f>
        <v>B2. Country targets- female condoms
(from National Strategic Plan)</v>
      </c>
      <c r="B117" s="201" t="s">
        <v>8</v>
      </c>
      <c r="C117" s="337">
        <f>(104958*C114)/C112</f>
        <v>51167.025000000001</v>
      </c>
      <c r="D117" s="337">
        <f>(111602*D114)/D112</f>
        <v>54405.979650006244</v>
      </c>
      <c r="E117" s="337">
        <f>(117308*E114)/E112</f>
        <v>57187.654750004476</v>
      </c>
      <c r="F117" s="18" t="s">
        <v>1707</v>
      </c>
    </row>
    <row r="118" spans="1:6" ht="17.5" customHeight="1" x14ac:dyDescent="0.3">
      <c r="A118" s="211" t="str">
        <f ca="1">TranslationsHIV!$A$75</f>
        <v>Country need to meet global target already covered by funding resource</v>
      </c>
      <c r="B118" s="212"/>
      <c r="C118" s="339"/>
      <c r="D118" s="339"/>
      <c r="E118" s="339"/>
      <c r="F118" s="254"/>
    </row>
    <row r="119" spans="1:6" ht="45" customHeight="1" x14ac:dyDescent="0.3">
      <c r="A119" s="495" t="str">
        <f ca="1">TranslationsHIV!$A$76</f>
        <v>C1. Global target planned to be covered by domestic resources, including private sector where available</v>
      </c>
      <c r="B119" s="195" t="s">
        <v>8</v>
      </c>
      <c r="C119" s="337">
        <v>0</v>
      </c>
      <c r="D119" s="337">
        <v>0</v>
      </c>
      <c r="E119" s="337">
        <v>0</v>
      </c>
      <c r="F119" s="249"/>
    </row>
    <row r="120" spans="1:6" ht="45" customHeight="1" x14ac:dyDescent="0.3">
      <c r="A120" s="496"/>
      <c r="B120" s="195" t="s">
        <v>9</v>
      </c>
      <c r="C120" s="340" t="str">
        <f>IF(C119=0,"",+C119/C115)</f>
        <v/>
      </c>
      <c r="D120" s="340" t="str">
        <f t="shared" ref="D120:E120" si="45">IF(D119=0,"",+D119/D115)</f>
        <v/>
      </c>
      <c r="E120" s="340" t="str">
        <f t="shared" si="45"/>
        <v/>
      </c>
      <c r="F120" s="249"/>
    </row>
    <row r="121" spans="1:6" ht="45" customHeight="1" x14ac:dyDescent="0.3">
      <c r="A121" s="495" t="str">
        <f ca="1">TranslationsHIV!$A$77</f>
        <v>C2. Global target planned to be covered by external resources</v>
      </c>
      <c r="B121" s="195" t="s">
        <v>8</v>
      </c>
      <c r="C121" s="337">
        <f>(10496*C115)/C112</f>
        <v>511680</v>
      </c>
      <c r="D121" s="337">
        <f>+(16740*D115)/D112</f>
        <v>816075.0697488375</v>
      </c>
      <c r="E121" s="337">
        <f>(23462*E115)/E112</f>
        <v>1143772.5950017006</v>
      </c>
      <c r="F121" s="249" t="s">
        <v>1700</v>
      </c>
    </row>
    <row r="122" spans="1:6" ht="45" customHeight="1" x14ac:dyDescent="0.3">
      <c r="A122" s="496"/>
      <c r="B122" s="195" t="s">
        <v>9</v>
      </c>
      <c r="C122" s="340">
        <f>IF(C121=0,"",+C121/C115)</f>
        <v>9.0001714971702965E-2</v>
      </c>
      <c r="D122" s="340">
        <f t="shared" ref="D122:E122" si="46">IF(D121=0,"",+D121/D115)</f>
        <v>0.13949767503874935</v>
      </c>
      <c r="E122" s="340">
        <f t="shared" si="46"/>
        <v>0.1900034013054534</v>
      </c>
      <c r="F122" s="249"/>
    </row>
    <row r="123" spans="1:6" ht="45" customHeight="1" x14ac:dyDescent="0.3">
      <c r="A123" s="495" t="str">
        <f ca="1">TranslationsHIV!$A$78</f>
        <v>C3. Total global target planned to be covered: C1+C2</v>
      </c>
      <c r="B123" s="195" t="s">
        <v>8</v>
      </c>
      <c r="C123" s="341">
        <f>+C119+C121</f>
        <v>511680</v>
      </c>
      <c r="D123" s="341">
        <f>+D119+D121</f>
        <v>816075.0697488375</v>
      </c>
      <c r="E123" s="341">
        <f>+E119+E121</f>
        <v>1143772.5950017006</v>
      </c>
      <c r="F123" s="249"/>
    </row>
    <row r="124" spans="1:6" ht="45" customHeight="1" x14ac:dyDescent="0.3">
      <c r="A124" s="496"/>
      <c r="B124" s="195" t="s">
        <v>9</v>
      </c>
      <c r="C124" s="340">
        <f>IF(C123=0,"",+C123/C115)</f>
        <v>9.0001714971702965E-2</v>
      </c>
      <c r="D124" s="340">
        <f t="shared" ref="D124:E124" si="47">IF(D123=0,"",+D123/D115)</f>
        <v>0.13949767503874935</v>
      </c>
      <c r="E124" s="340">
        <f t="shared" si="47"/>
        <v>0.1900034013054534</v>
      </c>
      <c r="F124" s="249"/>
    </row>
    <row r="125" spans="1:6" ht="17.5" customHeight="1" x14ac:dyDescent="0.3">
      <c r="A125" s="211" t="str">
        <f ca="1">TranslationsHIV!$A$79</f>
        <v>Global target already covered by type of condom</v>
      </c>
      <c r="B125" s="212"/>
      <c r="C125" s="342"/>
      <c r="D125" s="342"/>
      <c r="E125" s="342"/>
      <c r="F125" s="254"/>
    </row>
    <row r="126" spans="1:6" ht="45" customHeight="1" x14ac:dyDescent="0.3">
      <c r="A126" s="495" t="str">
        <f ca="1">TranslationsHIV!$A$80</f>
        <v>C4. Global target planned to be covered (domestic+external resources)- male condoms</v>
      </c>
      <c r="B126" s="202" t="s">
        <v>8</v>
      </c>
      <c r="C126" s="337">
        <f>C121*99%</f>
        <v>506563.2</v>
      </c>
      <c r="D126" s="337">
        <f t="shared" ref="D126:E126" si="48">D121*99%</f>
        <v>807914.31905134907</v>
      </c>
      <c r="E126" s="337">
        <f t="shared" si="48"/>
        <v>1132334.8690516835</v>
      </c>
      <c r="F126" s="249" t="s">
        <v>1708</v>
      </c>
    </row>
    <row r="127" spans="1:6" ht="45" customHeight="1" x14ac:dyDescent="0.3">
      <c r="A127" s="496"/>
      <c r="B127" s="195" t="s">
        <v>9</v>
      </c>
      <c r="C127" s="340">
        <f>IF(C126=0,"",+C126/C113)</f>
        <v>9.0001714971702965E-2</v>
      </c>
      <c r="D127" s="340">
        <f t="shared" ref="D127:E127" si="49">IF(D126=0,"",+D126/D113)</f>
        <v>0.13949767503874935</v>
      </c>
      <c r="E127" s="340">
        <f t="shared" si="49"/>
        <v>0.1900034013054534</v>
      </c>
      <c r="F127" s="249"/>
    </row>
    <row r="128" spans="1:6" ht="45" customHeight="1" x14ac:dyDescent="0.3">
      <c r="A128" s="495" t="str">
        <f ca="1">TranslationsHIV!$A$81</f>
        <v>C5. Global target planned to be covered (domestic+external resources)- female condoms</v>
      </c>
      <c r="B128" s="195" t="s">
        <v>8</v>
      </c>
      <c r="C128" s="337">
        <f>C121*1%</f>
        <v>5116.8</v>
      </c>
      <c r="D128" s="337">
        <f t="shared" ref="D128:E128" si="50">D121*1%</f>
        <v>8160.7506974883754</v>
      </c>
      <c r="E128" s="337">
        <f t="shared" si="50"/>
        <v>11437.725950017006</v>
      </c>
      <c r="F128" s="249" t="s">
        <v>1709</v>
      </c>
    </row>
    <row r="129" spans="1:6" ht="45" customHeight="1" x14ac:dyDescent="0.3">
      <c r="A129" s="496"/>
      <c r="B129" s="195" t="s">
        <v>9</v>
      </c>
      <c r="C129" s="340">
        <f>IF(C128=0,"",+C128/C114)</f>
        <v>9.0001714971702965E-2</v>
      </c>
      <c r="D129" s="340">
        <f t="shared" ref="D129:E129" si="51">IF(D128=0,"",+D128/D114)</f>
        <v>0.1394976750387483</v>
      </c>
      <c r="E129" s="340">
        <f t="shared" si="51"/>
        <v>0.19000340130545201</v>
      </c>
      <c r="F129" s="249"/>
    </row>
    <row r="130" spans="1:6" ht="45" customHeight="1" x14ac:dyDescent="0.3">
      <c r="A130" s="495" t="str">
        <f ca="1">TranslationsHIV!$A$82</f>
        <v>C6. Total global target planned to be covered (male+female): C4+C5</v>
      </c>
      <c r="B130" s="195" t="s">
        <v>8</v>
      </c>
      <c r="C130" s="343">
        <f>C126+C128</f>
        <v>511680</v>
      </c>
      <c r="D130" s="343">
        <f>D126+D128</f>
        <v>816075.0697488375</v>
      </c>
      <c r="E130" s="343">
        <f>E126+E128</f>
        <v>1143772.5950017006</v>
      </c>
      <c r="F130" s="249"/>
    </row>
    <row r="131" spans="1:6" ht="45" customHeight="1" x14ac:dyDescent="0.3">
      <c r="A131" s="496"/>
      <c r="B131" s="195" t="s">
        <v>9</v>
      </c>
      <c r="C131" s="340">
        <f>IF(C130=0,"",+C130/C115)</f>
        <v>9.0001714971702965E-2</v>
      </c>
      <c r="D131" s="340">
        <f t="shared" ref="D131:E131" si="52">IF(D130=0,"",+D130/D115)</f>
        <v>0.13949767503874935</v>
      </c>
      <c r="E131" s="340">
        <f t="shared" si="52"/>
        <v>0.1900034013054534</v>
      </c>
      <c r="F131" s="249"/>
    </row>
    <row r="132" spans="1:6" ht="17.5" customHeight="1" x14ac:dyDescent="0.3">
      <c r="A132" s="211" t="str">
        <f ca="1">TranslationsHIV!$A$42</f>
        <v>Programmatic gap</v>
      </c>
      <c r="B132" s="212"/>
      <c r="C132" s="342"/>
      <c r="D132" s="342"/>
      <c r="E132" s="342"/>
      <c r="F132" s="254"/>
    </row>
    <row r="133" spans="1:6" ht="45" customHeight="1" x14ac:dyDescent="0.3">
      <c r="A133" s="495" t="str">
        <f ca="1">TranslationsHIV!$A$84</f>
        <v>D1. Expected annual gap in meeting the need- male condoms: A1 - C4</v>
      </c>
      <c r="B133" s="195" t="s">
        <v>8</v>
      </c>
      <c r="C133" s="341">
        <f>C113-C126</f>
        <v>5121809.55</v>
      </c>
      <c r="D133" s="341">
        <f t="shared" ref="D133:E133" si="53">D113-D126</f>
        <v>4983682.70094865</v>
      </c>
      <c r="E133" s="341">
        <f t="shared" si="53"/>
        <v>4827215.6509483159</v>
      </c>
      <c r="F133" s="470"/>
    </row>
    <row r="134" spans="1:6" ht="45" customHeight="1" x14ac:dyDescent="0.3">
      <c r="A134" s="496"/>
      <c r="B134" s="195" t="s">
        <v>9</v>
      </c>
      <c r="C134" s="340">
        <f>IF(C133=0,"",+C133/C113)</f>
        <v>0.90999828502829705</v>
      </c>
      <c r="D134" s="340">
        <f t="shared" ref="D134:E134" si="54">IF(D133=0,"",+D133/D113)</f>
        <v>0.86050232496125056</v>
      </c>
      <c r="E134" s="340">
        <f t="shared" si="54"/>
        <v>0.80999659869454654</v>
      </c>
      <c r="F134" s="471"/>
    </row>
    <row r="135" spans="1:6" ht="45" customHeight="1" x14ac:dyDescent="0.3">
      <c r="A135" s="495" t="str">
        <f ca="1">TranslationsHIV!$A$85</f>
        <v>D2. Expected annual gap in meeting the need- female condoms: A2 - C5</v>
      </c>
      <c r="B135" s="195" t="s">
        <v>8</v>
      </c>
      <c r="C135" s="341">
        <f>IF(C128="",C114,C114-C128)</f>
        <v>51735.45</v>
      </c>
      <c r="D135" s="341">
        <f t="shared" ref="D135:E135" si="55">IF(D128="",D114,D114-D128)</f>
        <v>50340.229302512074</v>
      </c>
      <c r="E135" s="341">
        <f t="shared" si="55"/>
        <v>48759.754049983443</v>
      </c>
      <c r="F135" s="470"/>
    </row>
    <row r="136" spans="1:6" ht="45" customHeight="1" x14ac:dyDescent="0.3">
      <c r="A136" s="496"/>
      <c r="B136" s="195" t="s">
        <v>9</v>
      </c>
      <c r="C136" s="340">
        <f>IF(C135="","",+C135/C114)</f>
        <v>0.90999828502829694</v>
      </c>
      <c r="D136" s="340">
        <f t="shared" ref="D136:E136" si="56">IF(D135="","",+D135/D114)</f>
        <v>0.86050232496125179</v>
      </c>
      <c r="E136" s="340">
        <f t="shared" si="56"/>
        <v>0.80999659869454799</v>
      </c>
      <c r="F136" s="471"/>
    </row>
    <row r="137" spans="1:6" ht="17.5" customHeight="1" x14ac:dyDescent="0.3">
      <c r="A137" s="211" t="str">
        <f ca="1">TranslationsHIV!$A$44</f>
        <v>Country need to meet global targets covered with the allocation amount</v>
      </c>
      <c r="B137" s="212"/>
      <c r="C137" s="344"/>
      <c r="D137" s="344"/>
      <c r="E137" s="344"/>
      <c r="F137" s="254"/>
    </row>
    <row r="138" spans="1:6" ht="45" customHeight="1" x14ac:dyDescent="0.3">
      <c r="A138" s="495" t="str">
        <f ca="1">TranslationsHIV!$A$87</f>
        <v>E1. Targets to be financed by allocation amount- male condoms</v>
      </c>
      <c r="B138" s="201" t="s">
        <v>8</v>
      </c>
      <c r="C138" s="337">
        <f>(15744*C113)/C112</f>
        <v>759844.8</v>
      </c>
      <c r="D138" s="337">
        <f>(22320*D113)/D112</f>
        <v>1077219.0920684654</v>
      </c>
      <c r="E138" s="337">
        <f>(29327*E113)/E112</f>
        <v>1415394.4550626001</v>
      </c>
      <c r="F138" s="470" t="s">
        <v>1710</v>
      </c>
    </row>
    <row r="139" spans="1:6" ht="45" customHeight="1" x14ac:dyDescent="0.3">
      <c r="A139" s="496"/>
      <c r="B139" s="201" t="s">
        <v>9</v>
      </c>
      <c r="C139" s="340">
        <f>IF(C138=0,"",+C138/C113)</f>
        <v>0.13500257245755445</v>
      </c>
      <c r="D139" s="340">
        <f t="shared" ref="D139:E139" si="57">IF(D138=0,"",+D138/D113)</f>
        <v>0.1859969000516658</v>
      </c>
      <c r="E139" s="340">
        <f t="shared" si="57"/>
        <v>0.23750020245865794</v>
      </c>
      <c r="F139" s="471"/>
    </row>
    <row r="140" spans="1:6" ht="45" customHeight="1" x14ac:dyDescent="0.3">
      <c r="A140" s="495" t="str">
        <f ca="1">TranslationsHIV!$A$88</f>
        <v>E2. Targets to be financed by allocation amount - female condoms</v>
      </c>
      <c r="B140" s="201" t="s">
        <v>8</v>
      </c>
      <c r="C140" s="337">
        <f>(15744*C114)/C112</f>
        <v>7675.2</v>
      </c>
      <c r="D140" s="337">
        <f>(22320*D114)/D112</f>
        <v>10881.000929984582</v>
      </c>
      <c r="E140" s="337">
        <f>(29327*E114)/E112</f>
        <v>14296.913687501119</v>
      </c>
      <c r="F140" s="470" t="s">
        <v>1712</v>
      </c>
    </row>
    <row r="141" spans="1:6" ht="45" customHeight="1" x14ac:dyDescent="0.3">
      <c r="A141" s="496"/>
      <c r="B141" s="201" t="s">
        <v>9</v>
      </c>
      <c r="C141" s="340">
        <f>IF(C140=0,"",+C140/C114)</f>
        <v>0.13500257245755445</v>
      </c>
      <c r="D141" s="340">
        <f t="shared" ref="D141:E141" si="58">IF(D140=0,"",+D140/D114)</f>
        <v>0.18599690005166578</v>
      </c>
      <c r="E141" s="340">
        <f t="shared" si="58"/>
        <v>0.23750020245865794</v>
      </c>
      <c r="F141" s="471"/>
    </row>
    <row r="142" spans="1:6" ht="45" customHeight="1" x14ac:dyDescent="0.3">
      <c r="A142" s="501" t="str">
        <f ca="1">TranslationsHIV!$A$89</f>
        <v>F1. Coverage from allocation amount and other resources - male condoms: E1 + C4</v>
      </c>
      <c r="B142" s="203" t="s">
        <v>8</v>
      </c>
      <c r="C142" s="345">
        <f>IF(C138="","",C138+C126)</f>
        <v>1266408</v>
      </c>
      <c r="D142" s="345">
        <f t="shared" ref="D142:E142" si="59">IF(D138="","",D138+D126)</f>
        <v>1885133.4111198145</v>
      </c>
      <c r="E142" s="345">
        <f t="shared" si="59"/>
        <v>2547729.3241142835</v>
      </c>
      <c r="F142" s="491"/>
    </row>
    <row r="143" spans="1:6" ht="45" customHeight="1" x14ac:dyDescent="0.3">
      <c r="A143" s="496"/>
      <c r="B143" s="201" t="s">
        <v>9</v>
      </c>
      <c r="C143" s="340">
        <f>IF(C142="","",C142/C113)</f>
        <v>0.2250042874292574</v>
      </c>
      <c r="D143" s="340">
        <f t="shared" ref="D143:E143" si="60">IF(D142="","",D142/D113)</f>
        <v>0.32549457509041513</v>
      </c>
      <c r="E143" s="340">
        <f t="shared" si="60"/>
        <v>0.42750360376411134</v>
      </c>
      <c r="F143" s="471"/>
    </row>
    <row r="144" spans="1:6" ht="45" customHeight="1" x14ac:dyDescent="0.3">
      <c r="A144" s="495" t="str">
        <f ca="1">TranslationsHIV!$A$90</f>
        <v>F2. Coverage from allocation amount and other resources - female condoms: E2 + C5</v>
      </c>
      <c r="B144" s="201" t="s">
        <v>8</v>
      </c>
      <c r="C144" s="341">
        <f>+C140+C128</f>
        <v>12792</v>
      </c>
      <c r="D144" s="341">
        <f>+D140+D128</f>
        <v>19041.751627472957</v>
      </c>
      <c r="E144" s="341">
        <f>+E140+E128</f>
        <v>25734.639637518125</v>
      </c>
      <c r="F144" s="306"/>
    </row>
    <row r="145" spans="1:6" ht="45" customHeight="1" x14ac:dyDescent="0.3">
      <c r="A145" s="496"/>
      <c r="B145" s="201" t="s">
        <v>9</v>
      </c>
      <c r="C145" s="340">
        <f>IF(C144=0,"",+C144/C114)</f>
        <v>0.2250042874292574</v>
      </c>
      <c r="D145" s="340">
        <f>IF(D144=0,"",+D144/D114)</f>
        <v>0.32549457509041407</v>
      </c>
      <c r="E145" s="340">
        <f>IF(E144=0,"",+E144/E114)</f>
        <v>0.42750360376410995</v>
      </c>
      <c r="F145" s="308"/>
    </row>
    <row r="146" spans="1:6" ht="45" customHeight="1" x14ac:dyDescent="0.3">
      <c r="A146" s="449" t="str">
        <f ca="1">TranslationsHIV!$A$91</f>
        <v>G1. Remaining gap- male condoms: A1 - F1</v>
      </c>
      <c r="B146" s="203" t="s">
        <v>8</v>
      </c>
      <c r="C146" s="345">
        <f>IF(C142="",C113,C113-C142)</f>
        <v>4361964.75</v>
      </c>
      <c r="D146" s="345">
        <f t="shared" ref="D146:E146" si="61">IF(D142="",D113,D113-D142)</f>
        <v>3906463.6088801851</v>
      </c>
      <c r="E146" s="345">
        <f t="shared" si="61"/>
        <v>3411821.195885716</v>
      </c>
      <c r="F146" s="491"/>
    </row>
    <row r="147" spans="1:6" ht="45" customHeight="1" x14ac:dyDescent="0.3">
      <c r="A147" s="425"/>
      <c r="B147" s="201" t="s">
        <v>9</v>
      </c>
      <c r="C147" s="340">
        <f>IF(C146=0,"",+C146/C113)</f>
        <v>0.77499571257074262</v>
      </c>
      <c r="D147" s="340">
        <f t="shared" ref="D147:E147" si="62">IF(D146=0,"",+D146/D113)</f>
        <v>0.67450542490958487</v>
      </c>
      <c r="E147" s="340">
        <f t="shared" si="62"/>
        <v>0.57249639623588866</v>
      </c>
      <c r="F147" s="471"/>
    </row>
    <row r="148" spans="1:6" ht="45" customHeight="1" x14ac:dyDescent="0.3">
      <c r="A148" s="419" t="str">
        <f ca="1">TranslationsHIV!$A$92</f>
        <v>G2. Remaining gap- female condoms: A2 - F2</v>
      </c>
      <c r="B148" s="201" t="s">
        <v>8</v>
      </c>
      <c r="C148" s="345">
        <f>IF(C114="","",C114-C144)</f>
        <v>44060.25</v>
      </c>
      <c r="D148" s="345">
        <f t="shared" ref="D148:E148" si="63">IF(D114="","",D114-D144)</f>
        <v>39459.22837252749</v>
      </c>
      <c r="E148" s="345">
        <f t="shared" si="63"/>
        <v>34462.840362482326</v>
      </c>
      <c r="F148" s="255"/>
    </row>
    <row r="149" spans="1:6" ht="45" customHeight="1" x14ac:dyDescent="0.3">
      <c r="A149" s="449"/>
      <c r="B149" s="257" t="s">
        <v>9</v>
      </c>
      <c r="C149" s="340">
        <f>IF(C148="","",+C148/C114)</f>
        <v>0.77499571257074262</v>
      </c>
      <c r="D149" s="340">
        <f t="shared" ref="D149:E149" si="64">IF(D148="","",+D148/D114)</f>
        <v>0.67450542490958598</v>
      </c>
      <c r="E149" s="340">
        <f t="shared" si="64"/>
        <v>0.5724963962358901</v>
      </c>
      <c r="F149" s="255"/>
    </row>
    <row r="150" spans="1:6" x14ac:dyDescent="0.3">
      <c r="A150" s="482" t="s">
        <v>10</v>
      </c>
      <c r="B150" s="483"/>
      <c r="C150" s="483"/>
      <c r="D150" s="483"/>
      <c r="E150" s="483"/>
      <c r="F150" s="484"/>
    </row>
    <row r="151" spans="1:6" x14ac:dyDescent="0.3">
      <c r="A151" s="485"/>
      <c r="B151" s="486"/>
      <c r="C151" s="486"/>
      <c r="D151" s="486"/>
      <c r="E151" s="486"/>
      <c r="F151" s="487"/>
    </row>
    <row r="152" spans="1:6" x14ac:dyDescent="0.3">
      <c r="A152" s="485"/>
      <c r="B152" s="486"/>
      <c r="C152" s="486"/>
      <c r="D152" s="486"/>
      <c r="E152" s="486"/>
      <c r="F152" s="487"/>
    </row>
    <row r="153" spans="1:6" x14ac:dyDescent="0.3">
      <c r="A153" s="485"/>
      <c r="B153" s="486"/>
      <c r="C153" s="486"/>
      <c r="D153" s="486"/>
      <c r="E153" s="486"/>
      <c r="F153" s="487"/>
    </row>
    <row r="154" spans="1:6" x14ac:dyDescent="0.3">
      <c r="A154" s="485"/>
      <c r="B154" s="486"/>
      <c r="C154" s="486"/>
      <c r="D154" s="486"/>
      <c r="E154" s="486"/>
      <c r="F154" s="487"/>
    </row>
    <row r="155" spans="1:6" x14ac:dyDescent="0.3">
      <c r="A155" s="485"/>
      <c r="B155" s="486"/>
      <c r="C155" s="486"/>
      <c r="D155" s="486"/>
      <c r="E155" s="486"/>
      <c r="F155" s="487"/>
    </row>
    <row r="156" spans="1:6" x14ac:dyDescent="0.3">
      <c r="A156" s="485"/>
      <c r="B156" s="486"/>
      <c r="C156" s="486"/>
      <c r="D156" s="486"/>
      <c r="E156" s="486"/>
      <c r="F156" s="487"/>
    </row>
    <row r="157" spans="1:6" x14ac:dyDescent="0.3">
      <c r="A157" s="485"/>
      <c r="B157" s="486"/>
      <c r="C157" s="486"/>
      <c r="D157" s="486"/>
      <c r="E157" s="486"/>
      <c r="F157" s="487"/>
    </row>
    <row r="158" spans="1:6" x14ac:dyDescent="0.3">
      <c r="A158" s="485"/>
      <c r="B158" s="486"/>
      <c r="C158" s="486"/>
      <c r="D158" s="486"/>
      <c r="E158" s="486"/>
      <c r="F158" s="487"/>
    </row>
    <row r="159" spans="1:6" x14ac:dyDescent="0.3">
      <c r="A159" s="485"/>
      <c r="B159" s="486"/>
      <c r="C159" s="486"/>
      <c r="D159" s="486"/>
      <c r="E159" s="486"/>
      <c r="F159" s="487"/>
    </row>
    <row r="160" spans="1:6" x14ac:dyDescent="0.3">
      <c r="A160" s="488"/>
      <c r="B160" s="489"/>
      <c r="C160" s="489"/>
      <c r="D160" s="489"/>
      <c r="E160" s="489"/>
      <c r="F160" s="490"/>
    </row>
  </sheetData>
  <sheetProtection algorithmName="SHA-512" hashValue="CL+Criy4MhmgsY+KPtFnAz7MYCd7j1+yGz3bDXDSwndDIQxBrP/4xYCteMCKaWrlVwCWPndhvE7wc4U2Ec0/Iw==" saltValue="2nY0RlOaXAXZUIseFyoadg==" spinCount="100000" sheet="1" formatColumns="0" formatRows="0"/>
  <mergeCells count="79">
    <mergeCell ref="A148:A149"/>
    <mergeCell ref="B104:F104"/>
    <mergeCell ref="B105:F105"/>
    <mergeCell ref="B108:F108"/>
    <mergeCell ref="F109:F110"/>
    <mergeCell ref="F133:F134"/>
    <mergeCell ref="F135:F136"/>
    <mergeCell ref="F138:F139"/>
    <mergeCell ref="F140:F141"/>
    <mergeCell ref="F142:F143"/>
    <mergeCell ref="F146:F147"/>
    <mergeCell ref="A142:A143"/>
    <mergeCell ref="A144:A145"/>
    <mergeCell ref="A146:A147"/>
    <mergeCell ref="A138:A139"/>
    <mergeCell ref="A140:A141"/>
    <mergeCell ref="A133:A134"/>
    <mergeCell ref="A135:A136"/>
    <mergeCell ref="A130:A131"/>
    <mergeCell ref="A99:A100"/>
    <mergeCell ref="A89:A90"/>
    <mergeCell ref="A119:A120"/>
    <mergeCell ref="A121:A122"/>
    <mergeCell ref="A123:A124"/>
    <mergeCell ref="A126:A127"/>
    <mergeCell ref="A128:A129"/>
    <mergeCell ref="F84:F85"/>
    <mergeCell ref="A86:A87"/>
    <mergeCell ref="F86:F87"/>
    <mergeCell ref="A95:A96"/>
    <mergeCell ref="A97:A98"/>
    <mergeCell ref="F97:F98"/>
    <mergeCell ref="F89:F90"/>
    <mergeCell ref="A91:A92"/>
    <mergeCell ref="F91:F92"/>
    <mergeCell ref="A93:A94"/>
    <mergeCell ref="F93:F94"/>
    <mergeCell ref="A74:A75"/>
    <mergeCell ref="A77:A78"/>
    <mergeCell ref="A79:A80"/>
    <mergeCell ref="A81:A82"/>
    <mergeCell ref="A84:A85"/>
    <mergeCell ref="B56:F56"/>
    <mergeCell ref="B59:F59"/>
    <mergeCell ref="F60:F61"/>
    <mergeCell ref="A70:A71"/>
    <mergeCell ref="A72:A73"/>
    <mergeCell ref="A150:F160"/>
    <mergeCell ref="A53:F53"/>
    <mergeCell ref="F42:F43"/>
    <mergeCell ref="F11:F12"/>
    <mergeCell ref="F35:F36"/>
    <mergeCell ref="F37:F38"/>
    <mergeCell ref="F40:F41"/>
    <mergeCell ref="A44:A45"/>
    <mergeCell ref="F44:F45"/>
    <mergeCell ref="A48:A49"/>
    <mergeCell ref="F48:F49"/>
    <mergeCell ref="A50:A51"/>
    <mergeCell ref="A46:A47"/>
    <mergeCell ref="A21:A22"/>
    <mergeCell ref="A28:A29"/>
    <mergeCell ref="B55:F55"/>
    <mergeCell ref="A35:A36"/>
    <mergeCell ref="A37:A38"/>
    <mergeCell ref="A40:A41"/>
    <mergeCell ref="A42:A43"/>
    <mergeCell ref="A32:A33"/>
    <mergeCell ref="A23:A24"/>
    <mergeCell ref="A25:A26"/>
    <mergeCell ref="A30:A31"/>
    <mergeCell ref="A4:F4"/>
    <mergeCell ref="B10:F10"/>
    <mergeCell ref="A1:E1"/>
    <mergeCell ref="A2:E2"/>
    <mergeCell ref="A3:E3"/>
    <mergeCell ref="B6:F6"/>
    <mergeCell ref="B7:F7"/>
    <mergeCell ref="F1:F3"/>
  </mergeCells>
  <hyperlinks>
    <hyperlink ref="F14" r:id="rId1" xr:uid="{B57186B0-E498-4EE3-B7CF-761A20DC3F8B}"/>
    <hyperlink ref="F63" r:id="rId2" xr:uid="{FF56C7FE-C70C-4E9A-8E9A-DB8CEF65FF85}"/>
    <hyperlink ref="F112" r:id="rId3" xr:uid="{13B0C734-F95B-4C43-82A0-AA6BDA49B148}"/>
  </hyperlinks>
  <pageMargins left="0.7" right="0.7" top="0.75" bottom="0.75" header="0.3" footer="0.3"/>
  <pageSetup paperSize="8" scale="53" orientation="portrait" r:id="rId4"/>
  <rowBreaks count="3" manualBreakCount="3">
    <brk id="51" max="5" man="1"/>
    <brk id="100" max="5" man="1"/>
    <brk id="149" max="5" man="1"/>
  </rowBreaks>
  <ignoredErrors>
    <ignoredError sqref="A21:B21 A28:B28 A30:B30 A40:B40 A42:B42 A18:B19 A23:B23 A49:B49 A25:B25 A46:B46 A41:B41 A32:B32 A29:B29 A22:B22 A20:B20 B5:F5 F11:F13 A11:E11 C9 E9 A9:A10 A13:E13 A8:F8 A6:A7 A15:B16 A24:B24 A27:B27 A26:B26 A31:B31 B34 A33:B33 B39 A35:B35 A36:B36 A37:B37 A38:B38 A43:B43 A44:B44 A45:B45 A48:B48 A47:B47 A50:B50 A51:B51 B14 A12:B12" unlockedFormula="1"/>
  </ignoredErrors>
  <extLst>
    <ext xmlns:x14="http://schemas.microsoft.com/office/spreadsheetml/2009/9/main" uri="{CCE6A557-97BC-4b89-ADB6-D9C93CAAB3DF}">
      <x14:dataValidations xmlns:xm="http://schemas.microsoft.com/office/excel/2006/main" count="2">
        <x14:dataValidation type="list" allowBlank="1" showInputMessage="1" showErrorMessage="1" xr:uid="{DBEBE4FB-8EF7-4040-9673-2DE8CFAC4D95}">
          <x14:formula1>
            <xm:f>'HIV dropdown'!$A$112:$A$117</xm:f>
          </x14:formula1>
          <xm:sqref>B6:F6 B55:F55 B104:F104</xm:sqref>
        </x14:dataValidation>
        <x14:dataValidation type="list" allowBlank="1" showInputMessage="1" showErrorMessage="1" xr:uid="{D77E1B06-EFA7-4D87-AF57-D06EA9572820}">
          <x14:formula1>
            <xm:f>'HIV dropdown'!$G$125:$G$130</xm:f>
          </x14:formula1>
          <xm:sqref>B7:F7 B56:F56 B105:F105</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0A445C-9DEC-4FD4-A67F-A6EEA3D4228B}">
  <sheetPr codeName="Sheet15">
    <tabColor rgb="FF7030A0"/>
  </sheetPr>
  <dimension ref="A1:T137"/>
  <sheetViews>
    <sheetView view="pageBreakPreview" topLeftCell="A100" zoomScale="70" zoomScaleNormal="85" zoomScaleSheetLayoutView="70" workbookViewId="0">
      <selection activeCell="F115" sqref="F115"/>
    </sheetView>
  </sheetViews>
  <sheetFormatPr defaultColWidth="9" defaultRowHeight="14" x14ac:dyDescent="0.3"/>
  <cols>
    <col min="1" max="1" width="30.58203125" style="12" customWidth="1"/>
    <col min="2" max="2" width="11.58203125" style="12" customWidth="1"/>
    <col min="3" max="5" width="11.58203125" style="179" customWidth="1"/>
    <col min="6" max="6" width="68.33203125" style="12" customWidth="1"/>
    <col min="7" max="7" width="21.58203125" style="12" customWidth="1"/>
    <col min="8" max="8" width="9" style="12"/>
    <col min="9" max="9" width="10.08203125" style="12" customWidth="1"/>
    <col min="10" max="10" width="10.58203125" style="12" customWidth="1"/>
    <col min="11" max="11" width="12.08203125" style="12" customWidth="1"/>
    <col min="12" max="16384" width="9" style="12"/>
  </cols>
  <sheetData>
    <row r="1" spans="1:20" ht="22" customHeight="1" x14ac:dyDescent="0.3">
      <c r="A1" s="421" t="s">
        <v>3</v>
      </c>
      <c r="B1" s="421"/>
      <c r="C1" s="421"/>
      <c r="D1" s="421"/>
      <c r="E1" s="421"/>
      <c r="F1" s="472" t="str">
        <f ca="1">TranslationsHIV!$G$118</f>
        <v>Latest version updated: 13 March 2023</v>
      </c>
      <c r="G1" s="1"/>
      <c r="H1" s="1"/>
      <c r="I1" s="1"/>
      <c r="J1" s="1"/>
      <c r="K1" s="1"/>
      <c r="L1" s="1"/>
      <c r="M1" s="2"/>
      <c r="N1" s="2"/>
      <c r="O1" s="2"/>
      <c r="P1" s="2"/>
      <c r="Q1" s="2"/>
      <c r="R1" s="2"/>
      <c r="S1" s="2"/>
      <c r="T1" s="2"/>
    </row>
    <row r="2" spans="1:20" ht="22" customHeight="1" x14ac:dyDescent="0.3">
      <c r="A2" s="421" t="s">
        <v>4</v>
      </c>
      <c r="B2" s="421"/>
      <c r="C2" s="421"/>
      <c r="D2" s="421"/>
      <c r="E2" s="421"/>
      <c r="F2" s="473"/>
      <c r="G2" s="1"/>
      <c r="H2" s="1"/>
      <c r="I2" s="1"/>
      <c r="J2" s="1"/>
      <c r="K2" s="1"/>
      <c r="L2" s="1"/>
      <c r="M2" s="2"/>
      <c r="N2" s="2"/>
      <c r="O2" s="2"/>
      <c r="P2" s="2"/>
      <c r="Q2" s="2"/>
      <c r="R2" s="2"/>
      <c r="S2" s="2"/>
      <c r="T2" s="2"/>
    </row>
    <row r="3" spans="1:20" ht="22" customHeight="1" x14ac:dyDescent="0.3">
      <c r="A3" s="502" t="s">
        <v>5</v>
      </c>
      <c r="B3" s="502"/>
      <c r="C3" s="502"/>
      <c r="D3" s="502"/>
      <c r="E3" s="502"/>
      <c r="F3" s="473"/>
      <c r="G3" s="1"/>
      <c r="H3" s="1"/>
      <c r="I3" s="1"/>
      <c r="J3" s="1"/>
      <c r="K3" s="1"/>
      <c r="L3" s="1"/>
      <c r="M3" s="2"/>
      <c r="N3" s="2"/>
      <c r="O3" s="2"/>
      <c r="P3" s="2"/>
      <c r="Q3" s="2"/>
      <c r="R3" s="2"/>
      <c r="S3" s="2"/>
      <c r="T3" s="2"/>
    </row>
    <row r="4" spans="1:20" ht="45" customHeight="1" x14ac:dyDescent="0.3">
      <c r="A4" s="503" t="str">
        <f ca="1">TranslationsHIV!$G$116</f>
        <v xml:space="preserve">Carefully read the instructions in the "Instructions" tab before completing the programmatic gap analysis table. 
The instructions have been tailored to each specific module/intervention. </v>
      </c>
      <c r="B4" s="504"/>
      <c r="C4" s="504"/>
      <c r="D4" s="504"/>
      <c r="E4" s="504"/>
      <c r="F4" s="505"/>
    </row>
    <row r="5" spans="1:20" ht="30" customHeight="1" thickBot="1" x14ac:dyDescent="0.35">
      <c r="A5" s="247" t="str">
        <f ca="1">TranslationsHIV!$A$116</f>
        <v>TB/HIV Programmatic Gap Table 1</v>
      </c>
      <c r="B5" s="248"/>
      <c r="C5" s="228"/>
      <c r="D5" s="228"/>
      <c r="E5" s="228"/>
      <c r="F5" s="229"/>
    </row>
    <row r="6" spans="1:20" ht="45" customHeight="1" x14ac:dyDescent="0.3">
      <c r="A6" s="138" t="str">
        <f ca="1">TranslationsHIV!$A$21</f>
        <v>Priority Module</v>
      </c>
      <c r="B6" s="446" t="s">
        <v>214</v>
      </c>
      <c r="C6" s="447"/>
      <c r="D6" s="447"/>
      <c r="E6" s="447"/>
      <c r="F6" s="448"/>
    </row>
    <row r="7" spans="1:20" ht="45" customHeight="1" x14ac:dyDescent="0.3">
      <c r="A7" s="138" t="str">
        <f ca="1">TranslationsHIV!$A$22</f>
        <v>Selected coverage indicator</v>
      </c>
      <c r="B7" s="416" t="str">
        <f ca="1">VLOOKUP($B$6,'TB drop-down'!A18:B22,2,FALSE)</f>
        <v>Percentage of registered new and relapse TB patients with documented HIV status</v>
      </c>
      <c r="C7" s="417"/>
      <c r="D7" s="417"/>
      <c r="E7" s="417"/>
      <c r="F7" s="418"/>
    </row>
    <row r="8" spans="1:20" ht="17.5" customHeight="1" x14ac:dyDescent="0.3">
      <c r="A8" s="211" t="str">
        <f ca="1">TranslationsHIV!$A$24</f>
        <v>Current national coverage</v>
      </c>
      <c r="B8" s="212"/>
      <c r="C8" s="150"/>
      <c r="D8" s="150"/>
      <c r="E8" s="150"/>
      <c r="F8" s="213"/>
    </row>
    <row r="9" spans="1:20" ht="45" customHeight="1" x14ac:dyDescent="0.3">
      <c r="A9" s="131" t="str">
        <f ca="1">TranslationsHIV!$A$25</f>
        <v>Insert latest results</v>
      </c>
      <c r="B9" s="355">
        <v>0.77</v>
      </c>
      <c r="C9" s="155" t="str">
        <f ca="1">TranslationsHIV!$A$26</f>
        <v>Year</v>
      </c>
      <c r="D9" s="215">
        <v>2021</v>
      </c>
      <c r="E9" s="153" t="str">
        <f ca="1">TranslationsHIV!$A$27</f>
        <v>Data source</v>
      </c>
      <c r="F9" s="18" t="s">
        <v>1662</v>
      </c>
    </row>
    <row r="10" spans="1:20" ht="45" customHeight="1" x14ac:dyDescent="0.3">
      <c r="A10" s="230" t="str">
        <f ca="1">TranslationsHIV!$A$28</f>
        <v>Comments</v>
      </c>
      <c r="B10" s="437" t="s">
        <v>1667</v>
      </c>
      <c r="C10" s="451"/>
      <c r="D10" s="451"/>
      <c r="E10" s="451"/>
      <c r="F10" s="439"/>
    </row>
    <row r="11" spans="1:20" ht="45" customHeight="1" x14ac:dyDescent="0.3">
      <c r="A11" s="193"/>
      <c r="B11" s="218"/>
      <c r="C11" s="246" t="str">
        <f ca="1">TranslationsHIV!$A$29</f>
        <v>Year 1</v>
      </c>
      <c r="D11" s="155" t="str">
        <f ca="1">TranslationsHIV!$A$30</f>
        <v>Year 2</v>
      </c>
      <c r="E11" s="155" t="str">
        <f ca="1">TranslationsHIV!$A$31</f>
        <v>Year 3</v>
      </c>
      <c r="F11" s="452" t="str">
        <f ca="1">TranslationsHIV!$A$34</f>
        <v>Comments / Assumptions</v>
      </c>
    </row>
    <row r="12" spans="1:20" ht="45" customHeight="1" x14ac:dyDescent="0.3">
      <c r="A12" s="194"/>
      <c r="B12" s="219"/>
      <c r="C12" s="238">
        <v>2024</v>
      </c>
      <c r="D12" s="140">
        <v>2025</v>
      </c>
      <c r="E12" s="140">
        <v>2026</v>
      </c>
      <c r="F12" s="453"/>
    </row>
    <row r="13" spans="1:20" ht="17.5" customHeight="1" x14ac:dyDescent="0.3">
      <c r="A13" s="211" t="str">
        <f ca="1">TranslationsHIV!$A$35</f>
        <v>Current estimated country need</v>
      </c>
      <c r="B13" s="214"/>
      <c r="C13" s="150"/>
      <c r="D13" s="150"/>
      <c r="E13" s="150"/>
      <c r="F13" s="213"/>
    </row>
    <row r="14" spans="1:20" ht="45" customHeight="1" x14ac:dyDescent="0.3">
      <c r="A14" s="231" t="str">
        <f ca="1">TranslationsTB!$A$25</f>
        <v>A. Total estimated population in need/at risk</v>
      </c>
      <c r="B14" s="195" t="s">
        <v>8</v>
      </c>
      <c r="C14" s="139">
        <v>287375</v>
      </c>
      <c r="D14" s="139">
        <v>316176</v>
      </c>
      <c r="E14" s="139">
        <v>346156</v>
      </c>
      <c r="F14" s="18" t="s">
        <v>1668</v>
      </c>
    </row>
    <row r="15" spans="1:20" ht="45" customHeight="1" x14ac:dyDescent="0.3">
      <c r="A15" s="419" t="str">
        <f ca="1">TranslationsTB!$A$26</f>
        <v>B. Country targets 
(from National Strategic Plan)</v>
      </c>
      <c r="B15" s="195" t="s">
        <v>8</v>
      </c>
      <c r="C15" s="139">
        <v>250016.25</v>
      </c>
      <c r="D15" s="139">
        <v>284558.40000000002</v>
      </c>
      <c r="E15" s="139">
        <v>328848.2</v>
      </c>
      <c r="F15" s="18" t="s">
        <v>1669</v>
      </c>
    </row>
    <row r="16" spans="1:20" ht="45" customHeight="1" x14ac:dyDescent="0.3">
      <c r="A16" s="425"/>
      <c r="B16" s="195" t="s">
        <v>9</v>
      </c>
      <c r="C16" s="333">
        <f>IF(C15=0,"",+C15/C14)</f>
        <v>0.87</v>
      </c>
      <c r="D16" s="333">
        <f>IF(D15=0,"",+D15/D14)</f>
        <v>0.9</v>
      </c>
      <c r="E16" s="333">
        <f>IF(E15=0,"",+E15/E14)</f>
        <v>0.95000000000000007</v>
      </c>
      <c r="F16" s="18"/>
    </row>
    <row r="17" spans="1:6" ht="17.5" customHeight="1" x14ac:dyDescent="0.3">
      <c r="A17" s="211" t="str">
        <f ca="1">TranslationsHIV!$A$54</f>
        <v>Country target already covered</v>
      </c>
      <c r="B17" s="212"/>
      <c r="C17" s="212"/>
      <c r="D17" s="212"/>
      <c r="E17" s="212"/>
      <c r="F17" s="213"/>
    </row>
    <row r="18" spans="1:6" ht="45" customHeight="1" x14ac:dyDescent="0.3">
      <c r="A18" s="419" t="str">
        <f ca="1">TranslationsHIV!$A$55</f>
        <v>C1. Country need planned to be covered by domestic resources</v>
      </c>
      <c r="B18" s="195" t="s">
        <v>8</v>
      </c>
      <c r="C18" s="139">
        <v>7500.4874999999993</v>
      </c>
      <c r="D18" s="139">
        <v>8536.7520000000004</v>
      </c>
      <c r="E18" s="139">
        <v>9865.4459999999999</v>
      </c>
      <c r="F18" s="249" t="s">
        <v>1670</v>
      </c>
    </row>
    <row r="19" spans="1:6" ht="45" customHeight="1" x14ac:dyDescent="0.3">
      <c r="A19" s="425"/>
      <c r="B19" s="195" t="s">
        <v>9</v>
      </c>
      <c r="C19" s="333">
        <f>IF(C18=0,"",+C18/C14)</f>
        <v>2.6099999999999998E-2</v>
      </c>
      <c r="D19" s="333">
        <f t="shared" ref="D19:E19" si="0">IF(D18=0,"",+D18/D14)</f>
        <v>2.7E-2</v>
      </c>
      <c r="E19" s="333">
        <f t="shared" si="0"/>
        <v>2.8500000000000001E-2</v>
      </c>
      <c r="F19" s="307"/>
    </row>
    <row r="20" spans="1:6" ht="45" customHeight="1" x14ac:dyDescent="0.3">
      <c r="A20" s="419" t="str">
        <f ca="1">TranslationsHIV!$A$56</f>
        <v>C2. Country need planned to be covered by external resources</v>
      </c>
      <c r="B20" s="195" t="s">
        <v>8</v>
      </c>
      <c r="C20" s="334">
        <v>2500.1624999999999</v>
      </c>
      <c r="D20" s="334">
        <v>2845.5840000000003</v>
      </c>
      <c r="E20" s="334">
        <v>3288.482</v>
      </c>
      <c r="F20" s="306" t="s">
        <v>1671</v>
      </c>
    </row>
    <row r="21" spans="1:6" ht="45" customHeight="1" x14ac:dyDescent="0.3">
      <c r="A21" s="425"/>
      <c r="B21" s="195" t="s">
        <v>9</v>
      </c>
      <c r="C21" s="333">
        <f>IF(C20=0,"",+C20/C14)</f>
        <v>8.6999999999999994E-3</v>
      </c>
      <c r="D21" s="333">
        <f t="shared" ref="D21:E21" si="1">IF(D20=0,"",+D20/D14)</f>
        <v>9.0000000000000011E-3</v>
      </c>
      <c r="E21" s="333">
        <f t="shared" si="1"/>
        <v>9.4999999999999998E-3</v>
      </c>
      <c r="F21" s="308"/>
    </row>
    <row r="22" spans="1:6" ht="45" customHeight="1" x14ac:dyDescent="0.3">
      <c r="A22" s="419" t="str">
        <f ca="1">TranslationsHIV!$A$57</f>
        <v>C3. Total country need already covered</v>
      </c>
      <c r="B22" s="195" t="s">
        <v>8</v>
      </c>
      <c r="C22" s="335">
        <f>C18+C20</f>
        <v>10000.65</v>
      </c>
      <c r="D22" s="335">
        <f t="shared" ref="D22:E22" si="2">D18+D20</f>
        <v>11382.336000000001</v>
      </c>
      <c r="E22" s="335">
        <f t="shared" si="2"/>
        <v>13153.928</v>
      </c>
      <c r="F22" s="306"/>
    </row>
    <row r="23" spans="1:6" ht="45" customHeight="1" x14ac:dyDescent="0.3">
      <c r="A23" s="425"/>
      <c r="B23" s="195" t="s">
        <v>9</v>
      </c>
      <c r="C23" s="333">
        <f>IF(C22=0,"",C22/C14)</f>
        <v>3.4799999999999998E-2</v>
      </c>
      <c r="D23" s="333">
        <f t="shared" ref="D23:E23" si="3">IF(D22=0,"",D22/D14)</f>
        <v>3.6000000000000004E-2</v>
      </c>
      <c r="E23" s="333">
        <f t="shared" si="3"/>
        <v>3.7999999999999999E-2</v>
      </c>
      <c r="F23" s="308"/>
    </row>
    <row r="24" spans="1:6" ht="17.5" customHeight="1" x14ac:dyDescent="0.3">
      <c r="A24" s="211" t="str">
        <f ca="1">TranslationsHIV!$A$42</f>
        <v>Programmatic gap</v>
      </c>
      <c r="B24" s="212"/>
      <c r="C24" s="212"/>
      <c r="D24" s="212"/>
      <c r="E24" s="212"/>
      <c r="F24" s="213"/>
    </row>
    <row r="25" spans="1:6" ht="45" customHeight="1" x14ac:dyDescent="0.3">
      <c r="A25" s="495" t="str">
        <f ca="1">TranslationsTB!$A$32</f>
        <v>D. Expected annual gap in meeting the need: A - C3</v>
      </c>
      <c r="B25" s="195" t="s">
        <v>8</v>
      </c>
      <c r="C25" s="336">
        <f>IF(C22="","",C14-(C22))</f>
        <v>277374.34999999998</v>
      </c>
      <c r="D25" s="336">
        <f t="shared" ref="D25:E25" si="4">IF(D22="","",D14-(D22))</f>
        <v>304793.66399999999</v>
      </c>
      <c r="E25" s="336">
        <f t="shared" si="4"/>
        <v>333002.07199999999</v>
      </c>
      <c r="F25" s="470"/>
    </row>
    <row r="26" spans="1:6" ht="45" customHeight="1" x14ac:dyDescent="0.3">
      <c r="A26" s="496"/>
      <c r="B26" s="195" t="s">
        <v>9</v>
      </c>
      <c r="C26" s="333">
        <f>IF(C25=0,"",+C25/C14)</f>
        <v>0.96519999999999995</v>
      </c>
      <c r="D26" s="333">
        <f t="shared" ref="D26:E26" si="5">IF(D25=0,"",+D25/D14)</f>
        <v>0.96399999999999997</v>
      </c>
      <c r="E26" s="333">
        <f t="shared" si="5"/>
        <v>0.96199999999999997</v>
      </c>
      <c r="F26" s="471"/>
    </row>
    <row r="27" spans="1:6" ht="17.5" customHeight="1" x14ac:dyDescent="0.3">
      <c r="A27" s="211" t="str">
        <f ca="1">TranslationsHIV!$A$59</f>
        <v>Country target covered with the allocation amount</v>
      </c>
      <c r="B27" s="212"/>
      <c r="C27" s="212"/>
      <c r="D27" s="212"/>
      <c r="E27" s="212"/>
      <c r="F27" s="213"/>
    </row>
    <row r="28" spans="1:6" ht="45" customHeight="1" x14ac:dyDescent="0.3">
      <c r="A28" s="495" t="str">
        <f ca="1">TranslationsTB!$A$34</f>
        <v>E. Targets to be financed by funding request allocation amount</v>
      </c>
      <c r="B28" s="201" t="s">
        <v>8</v>
      </c>
      <c r="C28" s="139">
        <v>237515.4375</v>
      </c>
      <c r="D28" s="139">
        <v>270330.48</v>
      </c>
      <c r="E28" s="139">
        <v>312405.78999999998</v>
      </c>
      <c r="F28" s="420" t="s">
        <v>1672</v>
      </c>
    </row>
    <row r="29" spans="1:6" ht="45" customHeight="1" x14ac:dyDescent="0.3">
      <c r="A29" s="496"/>
      <c r="B29" s="201" t="s">
        <v>9</v>
      </c>
      <c r="C29" s="333">
        <f>IF(C28=0,"",+C28/C14)</f>
        <v>0.82650000000000001</v>
      </c>
      <c r="D29" s="333">
        <f t="shared" ref="D29:E29" si="6">IF(D28=0,"",+D28/D14)</f>
        <v>0.85499999999999998</v>
      </c>
      <c r="E29" s="333">
        <f t="shared" si="6"/>
        <v>0.90249999999999997</v>
      </c>
      <c r="F29" s="426"/>
    </row>
    <row r="30" spans="1:6" ht="45" customHeight="1" x14ac:dyDescent="0.3">
      <c r="A30" s="501" t="str">
        <f ca="1">TranslationsTB!$A$35</f>
        <v>F. Total coverage from allocation amount and other resources: E + C3</v>
      </c>
      <c r="B30" s="203" t="s">
        <v>8</v>
      </c>
      <c r="C30" s="336">
        <f>IF(C22="",C28,C28+C22)</f>
        <v>247516.08749999999</v>
      </c>
      <c r="D30" s="336">
        <f t="shared" ref="D30:E30" si="7">IF(D22="",D28,D28+D22)</f>
        <v>281712.81599999999</v>
      </c>
      <c r="E30" s="336">
        <f t="shared" si="7"/>
        <v>325559.71799999999</v>
      </c>
      <c r="F30" s="491"/>
    </row>
    <row r="31" spans="1:6" ht="45" customHeight="1" x14ac:dyDescent="0.3">
      <c r="A31" s="496"/>
      <c r="B31" s="201" t="s">
        <v>9</v>
      </c>
      <c r="C31" s="333">
        <f>IF(C30=0,"",+C30/C14)</f>
        <v>0.86129999999999995</v>
      </c>
      <c r="D31" s="333">
        <f t="shared" ref="D31:E31" si="8">IF(D30=0,"",+D30/D14)</f>
        <v>0.89100000000000001</v>
      </c>
      <c r="E31" s="333">
        <f t="shared" si="8"/>
        <v>0.9405</v>
      </c>
      <c r="F31" s="471"/>
    </row>
    <row r="32" spans="1:6" ht="45" customHeight="1" x14ac:dyDescent="0.3">
      <c r="A32" s="449" t="str">
        <f ca="1">TranslationsTB!$A$36</f>
        <v xml:space="preserve">G. Remaining gap: A - F </v>
      </c>
      <c r="B32" s="203" t="s">
        <v>8</v>
      </c>
      <c r="C32" s="336">
        <f>IF(C30="","",C14-(C30))</f>
        <v>39858.912500000006</v>
      </c>
      <c r="D32" s="336">
        <f t="shared" ref="D32:E32" si="9">IF(D30="","",D14-(D30))</f>
        <v>34463.184000000008</v>
      </c>
      <c r="E32" s="336">
        <f t="shared" si="9"/>
        <v>20596.282000000007</v>
      </c>
      <c r="F32" s="491" t="s">
        <v>1673</v>
      </c>
    </row>
    <row r="33" spans="1:20" ht="45" customHeight="1" x14ac:dyDescent="0.3">
      <c r="A33" s="425"/>
      <c r="B33" s="201" t="s">
        <v>9</v>
      </c>
      <c r="C33" s="333">
        <f>IF(C32=0,"",C32/C14)</f>
        <v>0.13870000000000002</v>
      </c>
      <c r="D33" s="333">
        <f t="shared" ref="D33:E33" si="10">IF(D32=0,"",D32/D14)</f>
        <v>0.10900000000000003</v>
      </c>
      <c r="E33" s="333">
        <f t="shared" si="10"/>
        <v>5.9500000000000018E-2</v>
      </c>
      <c r="F33" s="471"/>
    </row>
    <row r="34" spans="1:20" x14ac:dyDescent="0.3">
      <c r="A34" s="141"/>
      <c r="B34" s="141"/>
      <c r="C34" s="172"/>
      <c r="D34" s="172"/>
      <c r="E34" s="172"/>
      <c r="F34" s="141"/>
    </row>
    <row r="35" spans="1:20" x14ac:dyDescent="0.3">
      <c r="A35" s="141"/>
      <c r="B35" s="141"/>
      <c r="C35" s="172"/>
      <c r="D35" s="172"/>
      <c r="E35" s="172"/>
      <c r="F35" s="141"/>
    </row>
    <row r="36" spans="1:20" ht="30" customHeight="1" thickBot="1" x14ac:dyDescent="0.35">
      <c r="A36" s="247" t="str">
        <f ca="1">TranslationsHIV!$A$117</f>
        <v>TB/HIV Programmatic Gap Table 2</v>
      </c>
      <c r="B36" s="248"/>
      <c r="C36" s="228"/>
      <c r="D36" s="228"/>
      <c r="E36" s="228"/>
      <c r="F36" s="229"/>
    </row>
    <row r="37" spans="1:20" ht="45" customHeight="1" x14ac:dyDescent="0.3">
      <c r="A37" s="138" t="str">
        <f ca="1">TranslationsHIV!$A$21</f>
        <v>Priority Module</v>
      </c>
      <c r="B37" s="446" t="s">
        <v>540</v>
      </c>
      <c r="C37" s="447"/>
      <c r="D37" s="447"/>
      <c r="E37" s="447"/>
      <c r="F37" s="448"/>
    </row>
    <row r="38" spans="1:20" ht="45" customHeight="1" x14ac:dyDescent="0.3">
      <c r="A38" s="138" t="str">
        <f ca="1">TranslationsHIV!$A$22</f>
        <v>Selected coverage indicator</v>
      </c>
      <c r="B38" s="416" t="str">
        <f ca="1">VLOOKUP($B$37,'TB drop-down'!A18:B22,2,FALSE)</f>
        <v>Percentage of HIV-positive TB patients (new and relapse) on ART during TB treatment</v>
      </c>
      <c r="C38" s="417"/>
      <c r="D38" s="417"/>
      <c r="E38" s="417"/>
      <c r="F38" s="418"/>
    </row>
    <row r="39" spans="1:20" ht="17.5" customHeight="1" x14ac:dyDescent="0.3">
      <c r="A39" s="211" t="str">
        <f ca="1">TranslationsHIV!$A$24</f>
        <v>Current national coverage</v>
      </c>
      <c r="B39" s="212"/>
      <c r="C39" s="150"/>
      <c r="D39" s="150"/>
      <c r="E39" s="150"/>
      <c r="F39" s="213"/>
    </row>
    <row r="40" spans="1:20" ht="45" customHeight="1" x14ac:dyDescent="0.3">
      <c r="A40" s="131" t="str">
        <f ca="1">TranslationsHIV!$A$25</f>
        <v>Insert latest results</v>
      </c>
      <c r="B40" s="355">
        <v>0.82</v>
      </c>
      <c r="C40" s="153" t="str">
        <f ca="1">TranslationsHIV!$A$26</f>
        <v>Year</v>
      </c>
      <c r="D40" s="215">
        <v>2021</v>
      </c>
      <c r="E40" s="153" t="str">
        <f ca="1">TranslationsHIV!$A$27</f>
        <v>Data source</v>
      </c>
      <c r="F40" s="18" t="s">
        <v>1662</v>
      </c>
    </row>
    <row r="41" spans="1:20" ht="45" customHeight="1" x14ac:dyDescent="0.3">
      <c r="A41" s="230" t="str">
        <f ca="1">TranslationsHIV!$A$28</f>
        <v>Comments</v>
      </c>
      <c r="B41" s="437" t="s">
        <v>1674</v>
      </c>
      <c r="C41" s="451"/>
      <c r="D41" s="451"/>
      <c r="E41" s="451"/>
      <c r="F41" s="439"/>
    </row>
    <row r="42" spans="1:20" ht="45" customHeight="1" x14ac:dyDescent="0.3">
      <c r="A42" s="193"/>
      <c r="B42" s="218"/>
      <c r="C42" s="246" t="str">
        <f ca="1">TranslationsHIV!$A$29</f>
        <v>Year 1</v>
      </c>
      <c r="D42" s="155" t="str">
        <f ca="1">TranslationsHIV!$A$30</f>
        <v>Year 2</v>
      </c>
      <c r="E42" s="155" t="str">
        <f ca="1">TranslationsHIV!$A$31</f>
        <v>Year 3</v>
      </c>
      <c r="F42" s="452" t="str">
        <f ca="1">TranslationsHIV!$A$34</f>
        <v>Comments / Assumptions</v>
      </c>
    </row>
    <row r="43" spans="1:20" s="89" customFormat="1" ht="45" customHeight="1" x14ac:dyDescent="0.3">
      <c r="A43" s="194"/>
      <c r="B43" s="219"/>
      <c r="C43" s="238">
        <v>2024</v>
      </c>
      <c r="D43" s="140">
        <v>2025</v>
      </c>
      <c r="E43" s="140">
        <v>2026</v>
      </c>
      <c r="F43" s="453"/>
      <c r="G43" s="12"/>
      <c r="H43" s="12"/>
      <c r="I43" s="12"/>
      <c r="J43" s="12"/>
      <c r="K43" s="12"/>
      <c r="L43" s="12"/>
      <c r="M43" s="12"/>
      <c r="N43" s="12"/>
      <c r="O43" s="12"/>
      <c r="P43" s="12"/>
      <c r="Q43" s="12"/>
      <c r="R43" s="12"/>
      <c r="S43" s="12"/>
      <c r="T43" s="12"/>
    </row>
    <row r="44" spans="1:20" ht="17.5" customHeight="1" x14ac:dyDescent="0.3">
      <c r="A44" s="211" t="str">
        <f ca="1">TranslationsHIV!$A$35</f>
        <v>Current estimated country need</v>
      </c>
      <c r="B44" s="214"/>
      <c r="C44" s="150"/>
      <c r="D44" s="150"/>
      <c r="E44" s="150"/>
      <c r="F44" s="213"/>
    </row>
    <row r="45" spans="1:20" ht="45" customHeight="1" x14ac:dyDescent="0.3">
      <c r="A45" s="231" t="str">
        <f ca="1">TranslationsTB!$A$25</f>
        <v>A. Total estimated population in need/at risk</v>
      </c>
      <c r="B45" s="195" t="s">
        <v>8</v>
      </c>
      <c r="C45" s="139">
        <v>18343</v>
      </c>
      <c r="D45" s="139">
        <v>19723</v>
      </c>
      <c r="E45" s="139">
        <v>21461</v>
      </c>
      <c r="F45" s="18" t="s">
        <v>1675</v>
      </c>
    </row>
    <row r="46" spans="1:20" ht="45" customHeight="1" x14ac:dyDescent="0.3">
      <c r="A46" s="419" t="str">
        <f ca="1">TranslationsTB!$A$26</f>
        <v>B. Country targets 
(from National Strategic Plan)</v>
      </c>
      <c r="B46" s="195" t="s">
        <v>8</v>
      </c>
      <c r="C46" s="139">
        <v>17425.849999999999</v>
      </c>
      <c r="D46" s="139">
        <v>18736.849999999999</v>
      </c>
      <c r="E46" s="139">
        <v>20387.95</v>
      </c>
      <c r="F46" s="18" t="s">
        <v>1676</v>
      </c>
    </row>
    <row r="47" spans="1:20" ht="45" customHeight="1" x14ac:dyDescent="0.3">
      <c r="A47" s="425"/>
      <c r="B47" s="195" t="s">
        <v>9</v>
      </c>
      <c r="C47" s="333">
        <f>IF(C46=0,"",+C46/C45)</f>
        <v>0.95</v>
      </c>
      <c r="D47" s="333">
        <f>IF(D46=0,"",+D46/D45)</f>
        <v>0.95</v>
      </c>
      <c r="E47" s="333">
        <f>IF(E46=0,"",+E46/E45)</f>
        <v>0.95000000000000007</v>
      </c>
      <c r="F47" s="18"/>
    </row>
    <row r="48" spans="1:20" ht="17.5" customHeight="1" x14ac:dyDescent="0.3">
      <c r="A48" s="211" t="str">
        <f ca="1">TranslationsHIV!$A$54</f>
        <v>Country target already covered</v>
      </c>
      <c r="B48" s="212"/>
      <c r="C48" s="212"/>
      <c r="D48" s="212"/>
      <c r="E48" s="212"/>
      <c r="F48" s="213"/>
    </row>
    <row r="49" spans="1:6" ht="45" customHeight="1" x14ac:dyDescent="0.3">
      <c r="A49" s="419" t="str">
        <f ca="1">TranslationsHIV!$A$55</f>
        <v>C1. Country need planned to be covered by domestic resources</v>
      </c>
      <c r="B49" s="195" t="s">
        <v>8</v>
      </c>
      <c r="C49" s="139">
        <v>174.2585</v>
      </c>
      <c r="D49" s="139">
        <v>187.36849999999998</v>
      </c>
      <c r="E49" s="139">
        <v>203.87950000000001</v>
      </c>
      <c r="F49" s="249" t="s">
        <v>1677</v>
      </c>
    </row>
    <row r="50" spans="1:6" ht="45" customHeight="1" x14ac:dyDescent="0.3">
      <c r="A50" s="425"/>
      <c r="B50" s="195" t="s">
        <v>9</v>
      </c>
      <c r="C50" s="333">
        <f>IF(C49=0,"",+C49/C45)</f>
        <v>9.4999999999999998E-3</v>
      </c>
      <c r="D50" s="333">
        <f t="shared" ref="D50:E50" si="11">IF(D49=0,"",+D49/D45)</f>
        <v>9.4999999999999998E-3</v>
      </c>
      <c r="E50" s="333">
        <f t="shared" si="11"/>
        <v>9.4999999999999998E-3</v>
      </c>
      <c r="F50" s="307"/>
    </row>
    <row r="51" spans="1:6" ht="45" customHeight="1" x14ac:dyDescent="0.3">
      <c r="A51" s="419" t="str">
        <f ca="1">TranslationsHIV!$A$56</f>
        <v>C2. Country need planned to be covered by external resources</v>
      </c>
      <c r="B51" s="195" t="s">
        <v>8</v>
      </c>
      <c r="C51" s="334">
        <v>6621.8229999999994</v>
      </c>
      <c r="D51" s="334">
        <v>7120.0029999999997</v>
      </c>
      <c r="E51" s="334">
        <v>7747.4210000000003</v>
      </c>
      <c r="F51" s="306" t="s">
        <v>1678</v>
      </c>
    </row>
    <row r="52" spans="1:6" ht="45" customHeight="1" x14ac:dyDescent="0.3">
      <c r="A52" s="425"/>
      <c r="B52" s="195" t="s">
        <v>9</v>
      </c>
      <c r="C52" s="333">
        <f>IF(C51=0,"",+C51/C45)</f>
        <v>0.36099999999999999</v>
      </c>
      <c r="D52" s="333">
        <f t="shared" ref="D52:E52" si="12">IF(D51=0,"",+D51/D45)</f>
        <v>0.36099999999999999</v>
      </c>
      <c r="E52" s="333">
        <f t="shared" si="12"/>
        <v>0.36099999999999999</v>
      </c>
      <c r="F52" s="308"/>
    </row>
    <row r="53" spans="1:6" ht="45" customHeight="1" x14ac:dyDescent="0.3">
      <c r="A53" s="419" t="str">
        <f ca="1">TranslationsHIV!$A$57</f>
        <v>C3. Total country need already covered</v>
      </c>
      <c r="B53" s="195" t="s">
        <v>8</v>
      </c>
      <c r="C53" s="335">
        <f>C49+C51</f>
        <v>6796.0814999999993</v>
      </c>
      <c r="D53" s="335">
        <f t="shared" ref="D53:E53" si="13">D49+D51</f>
        <v>7307.3714999999993</v>
      </c>
      <c r="E53" s="335">
        <f t="shared" si="13"/>
        <v>7951.3005000000003</v>
      </c>
      <c r="F53" s="306"/>
    </row>
    <row r="54" spans="1:6" ht="45" customHeight="1" x14ac:dyDescent="0.3">
      <c r="A54" s="425"/>
      <c r="B54" s="195" t="s">
        <v>9</v>
      </c>
      <c r="C54" s="333">
        <f>IF(C53=0,"",C53/C45)</f>
        <v>0.37049999999999994</v>
      </c>
      <c r="D54" s="333">
        <f t="shared" ref="D54:E54" si="14">IF(D53=0,"",D53/D45)</f>
        <v>0.37049999999999994</v>
      </c>
      <c r="E54" s="333">
        <f t="shared" si="14"/>
        <v>0.3705</v>
      </c>
      <c r="F54" s="308"/>
    </row>
    <row r="55" spans="1:6" ht="17.5" customHeight="1" x14ac:dyDescent="0.3">
      <c r="A55" s="211" t="str">
        <f ca="1">TranslationsHIV!$A$42</f>
        <v>Programmatic gap</v>
      </c>
      <c r="B55" s="212"/>
      <c r="C55" s="212"/>
      <c r="D55" s="212"/>
      <c r="E55" s="212"/>
      <c r="F55" s="213"/>
    </row>
    <row r="56" spans="1:6" ht="45" customHeight="1" x14ac:dyDescent="0.3">
      <c r="A56" s="495" t="str">
        <f ca="1">TranslationsTB!$A$32</f>
        <v>D. Expected annual gap in meeting the need: A - C3</v>
      </c>
      <c r="B56" s="195" t="s">
        <v>8</v>
      </c>
      <c r="C56" s="336">
        <f>IF(C53="","",C45-(C53))</f>
        <v>11546.9185</v>
      </c>
      <c r="D56" s="336">
        <f t="shared" ref="D56:E56" si="15">IF(D53="","",D45-(D53))</f>
        <v>12415.628500000001</v>
      </c>
      <c r="E56" s="336">
        <f t="shared" si="15"/>
        <v>13509.699499999999</v>
      </c>
      <c r="F56" s="470"/>
    </row>
    <row r="57" spans="1:6" ht="45" customHeight="1" x14ac:dyDescent="0.3">
      <c r="A57" s="496"/>
      <c r="B57" s="195" t="s">
        <v>9</v>
      </c>
      <c r="C57" s="333">
        <f>IF(C56=0,"",+C56/C45)</f>
        <v>0.62949999999999995</v>
      </c>
      <c r="D57" s="333">
        <f t="shared" ref="D57:E57" si="16">IF(D56=0,"",+D56/D45)</f>
        <v>0.62950000000000006</v>
      </c>
      <c r="E57" s="333">
        <f t="shared" si="16"/>
        <v>0.62949999999999995</v>
      </c>
      <c r="F57" s="471"/>
    </row>
    <row r="58" spans="1:6" ht="17.5" customHeight="1" x14ac:dyDescent="0.3">
      <c r="A58" s="211" t="str">
        <f ca="1">TranslationsHIV!$A$59</f>
        <v>Country target covered with the allocation amount</v>
      </c>
      <c r="B58" s="212"/>
      <c r="C58" s="212"/>
      <c r="D58" s="212"/>
      <c r="E58" s="212"/>
      <c r="F58" s="213"/>
    </row>
    <row r="59" spans="1:6" ht="45" customHeight="1" x14ac:dyDescent="0.3">
      <c r="A59" s="495" t="str">
        <f ca="1">TranslationsTB!$A$34</f>
        <v>E. Targets to be financed by funding request allocation amount</v>
      </c>
      <c r="B59" s="201" t="s">
        <v>8</v>
      </c>
      <c r="C59" s="139">
        <v>10804.026999999998</v>
      </c>
      <c r="D59" s="139">
        <v>11616.847</v>
      </c>
      <c r="E59" s="139">
        <v>12640.529</v>
      </c>
      <c r="F59" s="420" t="s">
        <v>1679</v>
      </c>
    </row>
    <row r="60" spans="1:6" ht="45" customHeight="1" x14ac:dyDescent="0.3">
      <c r="A60" s="496"/>
      <c r="B60" s="201" t="s">
        <v>9</v>
      </c>
      <c r="C60" s="333">
        <f>IF(C59=0,"",+C59/C45)</f>
        <v>0.58899999999999986</v>
      </c>
      <c r="D60" s="333">
        <f t="shared" ref="D60:E60" si="17">IF(D59=0,"",+D59/D45)</f>
        <v>0.58899999999999997</v>
      </c>
      <c r="E60" s="333">
        <f t="shared" si="17"/>
        <v>0.58899999999999997</v>
      </c>
      <c r="F60" s="426"/>
    </row>
    <row r="61" spans="1:6" ht="45" customHeight="1" x14ac:dyDescent="0.3">
      <c r="A61" s="501" t="str">
        <f ca="1">TranslationsTB!$A$35</f>
        <v>F. Total coverage from allocation amount and other resources: E + C3</v>
      </c>
      <c r="B61" s="203" t="s">
        <v>8</v>
      </c>
      <c r="C61" s="336">
        <f>IF(C53="",C59,C59+C53)</f>
        <v>17600.108499999998</v>
      </c>
      <c r="D61" s="336">
        <f t="shared" ref="D61:E61" si="18">IF(D53="",D59,D59+D53)</f>
        <v>18924.218499999999</v>
      </c>
      <c r="E61" s="336">
        <f t="shared" si="18"/>
        <v>20591.8295</v>
      </c>
      <c r="F61" s="491"/>
    </row>
    <row r="62" spans="1:6" ht="45" customHeight="1" x14ac:dyDescent="0.3">
      <c r="A62" s="496"/>
      <c r="B62" s="201" t="s">
        <v>9</v>
      </c>
      <c r="C62" s="333">
        <f>IF(C61=0,"",+C61/C45)</f>
        <v>0.95949999999999991</v>
      </c>
      <c r="D62" s="333">
        <f t="shared" ref="D62:E62" si="19">IF(D61=0,"",+D61/D45)</f>
        <v>0.95949999999999991</v>
      </c>
      <c r="E62" s="333">
        <f t="shared" si="19"/>
        <v>0.95950000000000002</v>
      </c>
      <c r="F62" s="471"/>
    </row>
    <row r="63" spans="1:6" ht="45" customHeight="1" x14ac:dyDescent="0.3">
      <c r="A63" s="449" t="str">
        <f ca="1">TranslationsTB!$A$36</f>
        <v xml:space="preserve">G. Remaining gap: A - F </v>
      </c>
      <c r="B63" s="203" t="s">
        <v>8</v>
      </c>
      <c r="C63" s="336">
        <f>IF(C61="","",C45-(C61))</f>
        <v>742.89150000000154</v>
      </c>
      <c r="D63" s="336">
        <f t="shared" ref="D63:E63" si="20">IF(D61="","",D45-(D61))</f>
        <v>798.78150000000096</v>
      </c>
      <c r="E63" s="336">
        <f t="shared" si="20"/>
        <v>869.17050000000017</v>
      </c>
      <c r="F63" s="491" t="s">
        <v>1680</v>
      </c>
    </row>
    <row r="64" spans="1:6" ht="45" customHeight="1" x14ac:dyDescent="0.3">
      <c r="A64" s="425"/>
      <c r="B64" s="201" t="s">
        <v>9</v>
      </c>
      <c r="C64" s="333">
        <f>IF(C63=0,"",C63/C45)</f>
        <v>4.0500000000000085E-2</v>
      </c>
      <c r="D64" s="333">
        <f t="shared" ref="D64:E64" si="21">IF(D63=0,"",D63/D45)</f>
        <v>4.050000000000005E-2</v>
      </c>
      <c r="E64" s="333">
        <f t="shared" si="21"/>
        <v>4.0500000000000008E-2</v>
      </c>
      <c r="F64" s="471"/>
    </row>
    <row r="65" spans="1:6" x14ac:dyDescent="0.3">
      <c r="A65" s="141"/>
      <c r="B65" s="141"/>
      <c r="C65" s="172"/>
      <c r="D65" s="172"/>
      <c r="E65" s="172"/>
      <c r="F65" s="141"/>
    </row>
    <row r="66" spans="1:6" x14ac:dyDescent="0.3">
      <c r="A66" s="141"/>
      <c r="B66" s="141"/>
      <c r="C66" s="172"/>
      <c r="D66" s="172"/>
      <c r="E66" s="172"/>
      <c r="F66" s="141"/>
    </row>
    <row r="67" spans="1:6" ht="30" customHeight="1" thickBot="1" x14ac:dyDescent="0.35">
      <c r="A67" s="247" t="str">
        <f ca="1">TranslationsHIV!$A$118</f>
        <v>TB/HIV Programmatic Gap Table 3</v>
      </c>
      <c r="B67" s="248"/>
      <c r="C67" s="228"/>
      <c r="D67" s="228"/>
      <c r="E67" s="228"/>
      <c r="F67" s="229"/>
    </row>
    <row r="68" spans="1:6" ht="45" customHeight="1" x14ac:dyDescent="0.3">
      <c r="A68" s="138" t="str">
        <f ca="1">TranslationsHIV!$A$21</f>
        <v>Priority Module</v>
      </c>
      <c r="B68" s="446" t="s">
        <v>184</v>
      </c>
      <c r="C68" s="447"/>
      <c r="D68" s="447"/>
      <c r="E68" s="447"/>
      <c r="F68" s="448"/>
    </row>
    <row r="69" spans="1:6" ht="45" customHeight="1" x14ac:dyDescent="0.3">
      <c r="A69" s="138" t="str">
        <f ca="1">TranslationsHIV!$A$22</f>
        <v>Selected coverage indicator</v>
      </c>
      <c r="B69" s="416" t="str">
        <f ca="1">VLOOKUP($B$68,'TB drop-down'!A18:B22,2,FALSE)</f>
        <v>Percentage of people living with HIV newly initiated on ART who were screened for TB</v>
      </c>
      <c r="C69" s="417"/>
      <c r="D69" s="417"/>
      <c r="E69" s="417"/>
      <c r="F69" s="418"/>
    </row>
    <row r="70" spans="1:6" ht="17.5" customHeight="1" x14ac:dyDescent="0.3">
      <c r="A70" s="211" t="str">
        <f ca="1">TranslationsHIV!$A$24</f>
        <v>Current national coverage</v>
      </c>
      <c r="B70" s="212"/>
      <c r="C70" s="150"/>
      <c r="D70" s="150"/>
      <c r="E70" s="150"/>
      <c r="F70" s="213"/>
    </row>
    <row r="71" spans="1:6" ht="45" customHeight="1" x14ac:dyDescent="0.3">
      <c r="A71" s="131" t="str">
        <f ca="1">TranslationsHIV!$A$25</f>
        <v>Insert latest results</v>
      </c>
      <c r="B71" s="356">
        <v>0.78</v>
      </c>
      <c r="C71" s="155" t="str">
        <f ca="1">TranslationsHIV!$A$26</f>
        <v>Year</v>
      </c>
      <c r="D71" s="215">
        <v>2021</v>
      </c>
      <c r="E71" s="153" t="str">
        <f ca="1">TranslationsHIV!$A$27</f>
        <v>Data source</v>
      </c>
      <c r="F71" s="18" t="s">
        <v>1681</v>
      </c>
    </row>
    <row r="72" spans="1:6" ht="45" customHeight="1" x14ac:dyDescent="0.3">
      <c r="A72" s="230" t="str">
        <f ca="1">TranslationsHIV!$A$28</f>
        <v>Comments</v>
      </c>
      <c r="B72" s="437" t="s">
        <v>1682</v>
      </c>
      <c r="C72" s="451"/>
      <c r="D72" s="451"/>
      <c r="E72" s="451"/>
      <c r="F72" s="439"/>
    </row>
    <row r="73" spans="1:6" ht="45" customHeight="1" x14ac:dyDescent="0.3">
      <c r="A73" s="193"/>
      <c r="B73" s="218"/>
      <c r="C73" s="246" t="str">
        <f ca="1">TranslationsHIV!$A$29</f>
        <v>Year 1</v>
      </c>
      <c r="D73" s="155" t="str">
        <f ca="1">TranslationsHIV!$A$30</f>
        <v>Year 2</v>
      </c>
      <c r="E73" s="155" t="str">
        <f ca="1">TranslationsHIV!$A$31</f>
        <v>Year 3</v>
      </c>
      <c r="F73" s="452" t="str">
        <f ca="1">TranslationsHIV!$A$34</f>
        <v>Comments / Assumptions</v>
      </c>
    </row>
    <row r="74" spans="1:6" ht="45" customHeight="1" x14ac:dyDescent="0.3">
      <c r="A74" s="194"/>
      <c r="B74" s="219"/>
      <c r="C74" s="238">
        <v>2024</v>
      </c>
      <c r="D74" s="140">
        <v>2025</v>
      </c>
      <c r="E74" s="140">
        <v>2026</v>
      </c>
      <c r="F74" s="453"/>
    </row>
    <row r="75" spans="1:6" ht="17.5" customHeight="1" x14ac:dyDescent="0.3">
      <c r="A75" s="211" t="str">
        <f ca="1">TranslationsHIV!$A$35</f>
        <v>Current estimated country need</v>
      </c>
      <c r="B75" s="214"/>
      <c r="C75" s="150"/>
      <c r="D75" s="150"/>
      <c r="E75" s="150"/>
      <c r="F75" s="213"/>
    </row>
    <row r="76" spans="1:6" ht="45" customHeight="1" x14ac:dyDescent="0.3">
      <c r="A76" s="231" t="str">
        <f ca="1">TranslationsTB!$A$25</f>
        <v>A. Total estimated population in need/at risk</v>
      </c>
      <c r="B76" s="195" t="s">
        <v>8</v>
      </c>
      <c r="C76" s="139">
        <v>55370</v>
      </c>
      <c r="D76" s="139">
        <v>53656</v>
      </c>
      <c r="E76" s="139">
        <v>51664</v>
      </c>
      <c r="F76" s="18" t="s">
        <v>1683</v>
      </c>
    </row>
    <row r="77" spans="1:6" ht="45" customHeight="1" x14ac:dyDescent="0.3">
      <c r="A77" s="419" t="str">
        <f ca="1">TranslationsTB!$A$26</f>
        <v>B. Country targets 
(from National Strategic Plan)</v>
      </c>
      <c r="B77" s="195" t="s">
        <v>8</v>
      </c>
      <c r="C77" s="139">
        <v>55370</v>
      </c>
      <c r="D77" s="139">
        <v>53656</v>
      </c>
      <c r="E77" s="139">
        <v>51664</v>
      </c>
      <c r="F77" s="18" t="s">
        <v>1684</v>
      </c>
    </row>
    <row r="78" spans="1:6" ht="45" customHeight="1" x14ac:dyDescent="0.3">
      <c r="A78" s="425"/>
      <c r="B78" s="195" t="s">
        <v>9</v>
      </c>
      <c r="C78" s="333">
        <f>IF(C77=0,"",+C77/C76)</f>
        <v>1</v>
      </c>
      <c r="D78" s="333">
        <f>IF(D77=0,"",+D77/D76)</f>
        <v>1</v>
      </c>
      <c r="E78" s="333">
        <f>IF(E77=0,"",+E77/E76)</f>
        <v>1</v>
      </c>
      <c r="F78" s="18"/>
    </row>
    <row r="79" spans="1:6" ht="17.5" customHeight="1" x14ac:dyDescent="0.3">
      <c r="A79" s="211" t="str">
        <f ca="1">TranslationsHIV!$A$54</f>
        <v>Country target already covered</v>
      </c>
      <c r="B79" s="212"/>
      <c r="C79" s="212"/>
      <c r="D79" s="212"/>
      <c r="E79" s="212"/>
      <c r="F79" s="213"/>
    </row>
    <row r="80" spans="1:6" ht="45" customHeight="1" x14ac:dyDescent="0.3">
      <c r="A80" s="419" t="str">
        <f ca="1">TranslationsHIV!$A$55</f>
        <v>C1. Country need planned to be covered by domestic resources</v>
      </c>
      <c r="B80" s="195" t="s">
        <v>8</v>
      </c>
      <c r="C80" s="139">
        <v>554</v>
      </c>
      <c r="D80" s="139">
        <v>537</v>
      </c>
      <c r="E80" s="139">
        <v>517</v>
      </c>
      <c r="F80" s="249" t="s">
        <v>1685</v>
      </c>
    </row>
    <row r="81" spans="1:6" ht="45" customHeight="1" x14ac:dyDescent="0.3">
      <c r="A81" s="425"/>
      <c r="B81" s="195" t="s">
        <v>9</v>
      </c>
      <c r="C81" s="333">
        <f>IF(C80=0,"",+C80/C76)</f>
        <v>1.0005418096442117E-2</v>
      </c>
      <c r="D81" s="333">
        <f t="shared" ref="D81:E81" si="22">IF(D80=0,"",+D80/D76)</f>
        <v>1.000820038765469E-2</v>
      </c>
      <c r="E81" s="333">
        <f t="shared" si="22"/>
        <v>1.0006968101579436E-2</v>
      </c>
      <c r="F81" s="307"/>
    </row>
    <row r="82" spans="1:6" ht="45" customHeight="1" x14ac:dyDescent="0.3">
      <c r="A82" s="419" t="str">
        <f ca="1">TranslationsHIV!$A$56</f>
        <v>C2. Country need planned to be covered by external resources</v>
      </c>
      <c r="B82" s="195" t="s">
        <v>8</v>
      </c>
      <c r="C82" s="334">
        <v>23023</v>
      </c>
      <c r="D82" s="334">
        <v>22310</v>
      </c>
      <c r="E82" s="334">
        <v>21481</v>
      </c>
      <c r="F82" s="306" t="s">
        <v>1686</v>
      </c>
    </row>
    <row r="83" spans="1:6" ht="45" customHeight="1" x14ac:dyDescent="0.3">
      <c r="A83" s="425"/>
      <c r="B83" s="195" t="s">
        <v>9</v>
      </c>
      <c r="C83" s="333">
        <f>IF(C82=0,"",+C82/C76)</f>
        <v>0.41580278128950693</v>
      </c>
      <c r="D83" s="333">
        <f t="shared" ref="D83:E83" si="23">IF(D82=0,"",+D82/D76)</f>
        <v>0.41579692858207845</v>
      </c>
      <c r="E83" s="333">
        <f t="shared" si="23"/>
        <v>0.41578275007742332</v>
      </c>
      <c r="F83" s="308"/>
    </row>
    <row r="84" spans="1:6" ht="45" customHeight="1" x14ac:dyDescent="0.3">
      <c r="A84" s="419" t="str">
        <f ca="1">TranslationsHIV!$A$57</f>
        <v>C3. Total country need already covered</v>
      </c>
      <c r="B84" s="195" t="s">
        <v>8</v>
      </c>
      <c r="C84" s="335">
        <f>C80+C82</f>
        <v>23577</v>
      </c>
      <c r="D84" s="335">
        <f t="shared" ref="D84:E84" si="24">D80+D82</f>
        <v>22847</v>
      </c>
      <c r="E84" s="335">
        <f t="shared" si="24"/>
        <v>21998</v>
      </c>
      <c r="F84" s="306"/>
    </row>
    <row r="85" spans="1:6" ht="45" customHeight="1" x14ac:dyDescent="0.3">
      <c r="A85" s="425"/>
      <c r="B85" s="195" t="s">
        <v>9</v>
      </c>
      <c r="C85" s="333">
        <f>IF(C84=0,"",C84/C76)</f>
        <v>0.42580819938594905</v>
      </c>
      <c r="D85" s="333">
        <f t="shared" ref="D85:E85" si="25">IF(D84=0,"",D84/D76)</f>
        <v>0.4258051289697331</v>
      </c>
      <c r="E85" s="333">
        <f t="shared" si="25"/>
        <v>0.4257897181790028</v>
      </c>
      <c r="F85" s="308"/>
    </row>
    <row r="86" spans="1:6" ht="17.5" customHeight="1" x14ac:dyDescent="0.3">
      <c r="A86" s="211" t="str">
        <f ca="1">TranslationsHIV!$A$42</f>
        <v>Programmatic gap</v>
      </c>
      <c r="B86" s="212"/>
      <c r="C86" s="212"/>
      <c r="D86" s="212"/>
      <c r="E86" s="212"/>
      <c r="F86" s="213"/>
    </row>
    <row r="87" spans="1:6" ht="45" customHeight="1" x14ac:dyDescent="0.3">
      <c r="A87" s="495" t="str">
        <f ca="1">TranslationsTB!$A$32</f>
        <v>D. Expected annual gap in meeting the need: A - C3</v>
      </c>
      <c r="B87" s="195" t="s">
        <v>8</v>
      </c>
      <c r="C87" s="336">
        <f>IF(C84="","",C76-(C84))</f>
        <v>31793</v>
      </c>
      <c r="D87" s="336">
        <f t="shared" ref="D87:E87" si="26">IF(D84="","",D76-(D84))</f>
        <v>30809</v>
      </c>
      <c r="E87" s="336">
        <f t="shared" si="26"/>
        <v>29666</v>
      </c>
      <c r="F87" s="470"/>
    </row>
    <row r="88" spans="1:6" ht="45" customHeight="1" x14ac:dyDescent="0.3">
      <c r="A88" s="496"/>
      <c r="B88" s="195" t="s">
        <v>9</v>
      </c>
      <c r="C88" s="333">
        <f>IF(C87=0,"",+C87/C76)</f>
        <v>0.57419180061405095</v>
      </c>
      <c r="D88" s="333">
        <f t="shared" ref="D88:E88" si="27">IF(D87=0,"",+D87/D76)</f>
        <v>0.5741948710302669</v>
      </c>
      <c r="E88" s="333">
        <f t="shared" si="27"/>
        <v>0.5742102818209972</v>
      </c>
      <c r="F88" s="471"/>
    </row>
    <row r="89" spans="1:6" ht="17.5" customHeight="1" x14ac:dyDescent="0.3">
      <c r="A89" s="211" t="str">
        <f ca="1">TranslationsHIV!$A$59</f>
        <v>Country target covered with the allocation amount</v>
      </c>
      <c r="B89" s="212"/>
      <c r="C89" s="212"/>
      <c r="D89" s="212"/>
      <c r="E89" s="212"/>
      <c r="F89" s="213"/>
    </row>
    <row r="90" spans="1:6" ht="45" customHeight="1" x14ac:dyDescent="0.3">
      <c r="A90" s="495" t="str">
        <f ca="1">TranslationsTB!$A$34</f>
        <v>E. Targets to be financed by funding request allocation amount</v>
      </c>
      <c r="B90" s="201" t="s">
        <v>8</v>
      </c>
      <c r="C90" s="139">
        <v>31793</v>
      </c>
      <c r="D90" s="139">
        <v>30809</v>
      </c>
      <c r="E90" s="139">
        <v>29666</v>
      </c>
      <c r="F90" s="420" t="s">
        <v>1687</v>
      </c>
    </row>
    <row r="91" spans="1:6" ht="45" customHeight="1" x14ac:dyDescent="0.3">
      <c r="A91" s="496"/>
      <c r="B91" s="201" t="s">
        <v>9</v>
      </c>
      <c r="C91" s="333">
        <f>IF(C90=0,"",+C90/C76)</f>
        <v>0.57419180061405095</v>
      </c>
      <c r="D91" s="333">
        <f t="shared" ref="D91:E91" si="28">IF(D90=0,"",+D90/D76)</f>
        <v>0.5741948710302669</v>
      </c>
      <c r="E91" s="333">
        <f t="shared" si="28"/>
        <v>0.5742102818209972</v>
      </c>
      <c r="F91" s="426"/>
    </row>
    <row r="92" spans="1:6" ht="45" customHeight="1" x14ac:dyDescent="0.3">
      <c r="A92" s="501" t="str">
        <f ca="1">TranslationsTB!$A$35</f>
        <v>F. Total coverage from allocation amount and other resources: E + C3</v>
      </c>
      <c r="B92" s="203" t="s">
        <v>8</v>
      </c>
      <c r="C92" s="336">
        <f>IF(C84="",C90,C90+C84)</f>
        <v>55370</v>
      </c>
      <c r="D92" s="336">
        <f t="shared" ref="D92:E92" si="29">IF(D84="",D90,D90+D84)</f>
        <v>53656</v>
      </c>
      <c r="E92" s="336">
        <f t="shared" si="29"/>
        <v>51664</v>
      </c>
      <c r="F92" s="491"/>
    </row>
    <row r="93" spans="1:6" ht="45" customHeight="1" x14ac:dyDescent="0.3">
      <c r="A93" s="496"/>
      <c r="B93" s="201" t="s">
        <v>9</v>
      </c>
      <c r="C93" s="333">
        <f>IF(C92=0,"",+C92/C76)</f>
        <v>1</v>
      </c>
      <c r="D93" s="333">
        <f t="shared" ref="D93:E93" si="30">IF(D92=0,"",+D92/D76)</f>
        <v>1</v>
      </c>
      <c r="E93" s="333">
        <f t="shared" si="30"/>
        <v>1</v>
      </c>
      <c r="F93" s="471"/>
    </row>
    <row r="94" spans="1:6" ht="45" customHeight="1" x14ac:dyDescent="0.3">
      <c r="A94" s="449" t="str">
        <f ca="1">TranslationsTB!$A$36</f>
        <v xml:space="preserve">G. Remaining gap: A - F </v>
      </c>
      <c r="B94" s="203" t="s">
        <v>8</v>
      </c>
      <c r="C94" s="336">
        <f>IF(C92="","",C76-(C92))</f>
        <v>0</v>
      </c>
      <c r="D94" s="336">
        <f t="shared" ref="D94:E94" si="31">IF(D92="","",D76-(D92))</f>
        <v>0</v>
      </c>
      <c r="E94" s="336">
        <f t="shared" si="31"/>
        <v>0</v>
      </c>
      <c r="F94" s="491"/>
    </row>
    <row r="95" spans="1:6" ht="45" customHeight="1" x14ac:dyDescent="0.3">
      <c r="A95" s="425"/>
      <c r="B95" s="201" t="s">
        <v>9</v>
      </c>
      <c r="C95" s="333" t="str">
        <f>IF(C94=0,"",C94/C76)</f>
        <v/>
      </c>
      <c r="D95" s="333" t="str">
        <f t="shared" ref="D95:E95" si="32">IF(D94=0,"",D94/D76)</f>
        <v/>
      </c>
      <c r="E95" s="333" t="str">
        <f t="shared" si="32"/>
        <v/>
      </c>
      <c r="F95" s="471"/>
    </row>
    <row r="96" spans="1:6" x14ac:dyDescent="0.3">
      <c r="A96" s="144"/>
      <c r="B96" s="141"/>
      <c r="C96" s="172"/>
      <c r="D96" s="172"/>
      <c r="E96" s="172"/>
      <c r="F96" s="141"/>
    </row>
    <row r="97" spans="1:6" x14ac:dyDescent="0.3">
      <c r="A97" s="144"/>
      <c r="B97" s="141"/>
      <c r="C97" s="172"/>
      <c r="D97" s="172"/>
      <c r="E97" s="172"/>
      <c r="F97" s="141"/>
    </row>
    <row r="98" spans="1:6" ht="30" customHeight="1" thickBot="1" x14ac:dyDescent="0.35">
      <c r="A98" s="247" t="str">
        <f ca="1">TranslationsHIV!$A$119</f>
        <v>TB/HIV Programmatic Gap Table 4</v>
      </c>
      <c r="B98" s="248"/>
      <c r="C98" s="228"/>
      <c r="D98" s="228"/>
      <c r="E98" s="228"/>
      <c r="F98" s="229"/>
    </row>
    <row r="99" spans="1:6" ht="45" customHeight="1" x14ac:dyDescent="0.3">
      <c r="A99" s="138" t="str">
        <f ca="1">TranslationsHIV!$A$21</f>
        <v>Priority Module</v>
      </c>
      <c r="B99" s="446" t="s">
        <v>258</v>
      </c>
      <c r="C99" s="447"/>
      <c r="D99" s="447"/>
      <c r="E99" s="447"/>
      <c r="F99" s="448"/>
    </row>
    <row r="100" spans="1:6" ht="45" customHeight="1" x14ac:dyDescent="0.3">
      <c r="A100" s="138" t="str">
        <f ca="1">TranslationsHIV!$A$22</f>
        <v>Selected coverage indicator</v>
      </c>
      <c r="B100" s="416" t="str">
        <f ca="1">VLOOKUP($B$99,'TB drop-down'!A18:B22,2,FALSE)</f>
        <v>Percentage of PLHIV currently enrolled in ART who started TB preventive therapy during the reporting period</v>
      </c>
      <c r="C100" s="417"/>
      <c r="D100" s="417"/>
      <c r="E100" s="417"/>
      <c r="F100" s="418"/>
    </row>
    <row r="101" spans="1:6" ht="17.5" customHeight="1" x14ac:dyDescent="0.3">
      <c r="A101" s="211" t="str">
        <f ca="1">TranslationsHIV!$A$24</f>
        <v>Current national coverage</v>
      </c>
      <c r="B101" s="212"/>
      <c r="C101" s="150"/>
      <c r="D101" s="150"/>
      <c r="E101" s="150"/>
      <c r="F101" s="213"/>
    </row>
    <row r="102" spans="1:6" ht="45" customHeight="1" x14ac:dyDescent="0.3">
      <c r="A102" s="131" t="str">
        <f ca="1">TranslationsHIV!$A$25</f>
        <v>Insert latest results</v>
      </c>
      <c r="B102" s="87">
        <v>0.78</v>
      </c>
      <c r="C102" s="155" t="str">
        <f ca="1">TranslationsHIV!$A$26</f>
        <v>Year</v>
      </c>
      <c r="D102" s="215">
        <v>2021</v>
      </c>
      <c r="E102" s="155" t="str">
        <f ca="1">TranslationsHIV!$A$27</f>
        <v>Data source</v>
      </c>
      <c r="F102" s="18" t="s">
        <v>1688</v>
      </c>
    </row>
    <row r="103" spans="1:6" ht="45" customHeight="1" x14ac:dyDescent="0.3">
      <c r="A103" s="230" t="str">
        <f ca="1">TranslationsHIV!$A$28</f>
        <v>Comments</v>
      </c>
      <c r="B103" s="437" t="s">
        <v>1689</v>
      </c>
      <c r="C103" s="451"/>
      <c r="D103" s="451"/>
      <c r="E103" s="451"/>
      <c r="F103" s="439"/>
    </row>
    <row r="104" spans="1:6" ht="45" customHeight="1" x14ac:dyDescent="0.3">
      <c r="A104" s="193"/>
      <c r="B104" s="218"/>
      <c r="C104" s="246" t="str">
        <f ca="1">TranslationsHIV!$A$29</f>
        <v>Year 1</v>
      </c>
      <c r="D104" s="155" t="str">
        <f ca="1">TranslationsHIV!$A$30</f>
        <v>Year 2</v>
      </c>
      <c r="E104" s="155" t="str">
        <f ca="1">TranslationsHIV!$A$31</f>
        <v>Year 3</v>
      </c>
      <c r="F104" s="452" t="str">
        <f ca="1">TranslationsHIV!$A$34</f>
        <v>Comments / Assumptions</v>
      </c>
    </row>
    <row r="105" spans="1:6" ht="45" customHeight="1" x14ac:dyDescent="0.3">
      <c r="A105" s="194"/>
      <c r="B105" s="219"/>
      <c r="C105" s="238">
        <v>2024</v>
      </c>
      <c r="D105" s="140">
        <v>2025</v>
      </c>
      <c r="E105" s="140">
        <v>2026</v>
      </c>
      <c r="F105" s="453"/>
    </row>
    <row r="106" spans="1:6" ht="17.5" customHeight="1" x14ac:dyDescent="0.3">
      <c r="A106" s="211" t="str">
        <f ca="1">TranslationsHIV!$A$35</f>
        <v>Current estimated country need</v>
      </c>
      <c r="B106" s="214"/>
      <c r="C106" s="150"/>
      <c r="D106" s="150"/>
      <c r="E106" s="150"/>
      <c r="F106" s="213"/>
    </row>
    <row r="107" spans="1:6" ht="45" customHeight="1" x14ac:dyDescent="0.3">
      <c r="A107" s="231" t="str">
        <f ca="1">TranslationsTB!$A$25</f>
        <v>A. Total estimated population in need/at risk</v>
      </c>
      <c r="B107" s="195" t="s">
        <v>8</v>
      </c>
      <c r="C107" s="139">
        <v>35538</v>
      </c>
      <c r="D107" s="139">
        <v>36251</v>
      </c>
      <c r="E107" s="139">
        <v>34905</v>
      </c>
      <c r="F107" s="18" t="s">
        <v>1690</v>
      </c>
    </row>
    <row r="108" spans="1:6" ht="45" customHeight="1" x14ac:dyDescent="0.3">
      <c r="A108" s="419" t="str">
        <f ca="1">TranslationsTB!$A$26</f>
        <v>B. Country targets 
(from National Strategic Plan)</v>
      </c>
      <c r="B108" s="195" t="s">
        <v>8</v>
      </c>
      <c r="C108" s="139">
        <v>35538</v>
      </c>
      <c r="D108" s="139">
        <v>36251</v>
      </c>
      <c r="E108" s="139">
        <v>34905</v>
      </c>
      <c r="F108" s="18" t="s">
        <v>1691</v>
      </c>
    </row>
    <row r="109" spans="1:6" ht="45" customHeight="1" x14ac:dyDescent="0.3">
      <c r="A109" s="425"/>
      <c r="B109" s="195" t="s">
        <v>9</v>
      </c>
      <c r="C109" s="333">
        <f>IF(C108=0,"",+C108/C107)</f>
        <v>1</v>
      </c>
      <c r="D109" s="333">
        <f>IF(D108=0,"",+D108/D107)</f>
        <v>1</v>
      </c>
      <c r="E109" s="333">
        <f>IF(E108=0,"",+E108/E107)</f>
        <v>1</v>
      </c>
      <c r="F109" s="18"/>
    </row>
    <row r="110" spans="1:6" ht="17.5" customHeight="1" x14ac:dyDescent="0.3">
      <c r="A110" s="211" t="str">
        <f ca="1">TranslationsHIV!$A$54</f>
        <v>Country target already covered</v>
      </c>
      <c r="B110" s="212"/>
      <c r="C110" s="212"/>
      <c r="D110" s="212"/>
      <c r="E110" s="212"/>
      <c r="F110" s="213"/>
    </row>
    <row r="111" spans="1:6" ht="45" customHeight="1" x14ac:dyDescent="0.3">
      <c r="A111" s="419" t="str">
        <f ca="1">TranslationsHIV!$A$55</f>
        <v>C1. Country need planned to be covered by domestic resources</v>
      </c>
      <c r="B111" s="195" t="s">
        <v>8</v>
      </c>
      <c r="C111" s="139">
        <v>355</v>
      </c>
      <c r="D111" s="139">
        <v>363</v>
      </c>
      <c r="E111" s="139">
        <v>349</v>
      </c>
      <c r="F111" s="249" t="s">
        <v>1806</v>
      </c>
    </row>
    <row r="112" spans="1:6" ht="45" customHeight="1" x14ac:dyDescent="0.3">
      <c r="A112" s="425"/>
      <c r="B112" s="195" t="s">
        <v>9</v>
      </c>
      <c r="C112" s="333">
        <f>IF(C111=0,"",+C111/C107)</f>
        <v>9.9893072204400926E-3</v>
      </c>
      <c r="D112" s="333">
        <f t="shared" ref="D112:E112" si="33">IF(D111=0,"",+D111/D107)</f>
        <v>1.001351686850018E-2</v>
      </c>
      <c r="E112" s="333">
        <f t="shared" si="33"/>
        <v>9.9985675404669818E-3</v>
      </c>
      <c r="F112" s="307"/>
    </row>
    <row r="113" spans="1:6" ht="45" customHeight="1" x14ac:dyDescent="0.3">
      <c r="A113" s="419" t="str">
        <f ca="1">TranslationsHIV!$A$56</f>
        <v>C2. Country need planned to be covered by external resources</v>
      </c>
      <c r="B113" s="195" t="s">
        <v>8</v>
      </c>
      <c r="C113" s="334">
        <v>14777</v>
      </c>
      <c r="D113" s="334">
        <v>15073</v>
      </c>
      <c r="E113" s="334">
        <v>14514</v>
      </c>
      <c r="F113" s="306" t="s">
        <v>1692</v>
      </c>
    </row>
    <row r="114" spans="1:6" ht="45" customHeight="1" x14ac:dyDescent="0.3">
      <c r="A114" s="425"/>
      <c r="B114" s="195" t="s">
        <v>9</v>
      </c>
      <c r="C114" s="333">
        <f>IF(C113=0,"",+C113/C107)</f>
        <v>0.41580843041251619</v>
      </c>
      <c r="D114" s="333">
        <f t="shared" ref="D114:E114" si="34">IF(D113=0,"",+D113/D107)</f>
        <v>0.41579542633306665</v>
      </c>
      <c r="E114" s="333">
        <f t="shared" si="34"/>
        <v>0.41581435324452082</v>
      </c>
      <c r="F114" s="308"/>
    </row>
    <row r="115" spans="1:6" ht="45" customHeight="1" x14ac:dyDescent="0.3">
      <c r="A115" s="419" t="str">
        <f ca="1">TranslationsHIV!$A$57</f>
        <v>C3. Total country need already covered</v>
      </c>
      <c r="B115" s="195" t="s">
        <v>8</v>
      </c>
      <c r="C115" s="335">
        <f>C111+C113</f>
        <v>15132</v>
      </c>
      <c r="D115" s="335">
        <f t="shared" ref="D115:E115" si="35">D111+D113</f>
        <v>15436</v>
      </c>
      <c r="E115" s="335">
        <f t="shared" si="35"/>
        <v>14863</v>
      </c>
      <c r="F115" s="306"/>
    </row>
    <row r="116" spans="1:6" ht="45" customHeight="1" x14ac:dyDescent="0.3">
      <c r="A116" s="425"/>
      <c r="B116" s="195" t="s">
        <v>9</v>
      </c>
      <c r="C116" s="333">
        <f>IF(C115=0,"",C115/C107)</f>
        <v>0.42579773763295625</v>
      </c>
      <c r="D116" s="333">
        <f t="shared" ref="D116:E116" si="36">IF(D115=0,"",D115/D107)</f>
        <v>0.42580894320156687</v>
      </c>
      <c r="E116" s="333">
        <f t="shared" si="36"/>
        <v>0.42581292078498784</v>
      </c>
      <c r="F116" s="308"/>
    </row>
    <row r="117" spans="1:6" ht="17.5" customHeight="1" x14ac:dyDescent="0.3">
      <c r="A117" s="211" t="str">
        <f ca="1">TranslationsHIV!$A$42</f>
        <v>Programmatic gap</v>
      </c>
      <c r="B117" s="212"/>
      <c r="C117" s="212"/>
      <c r="D117" s="212"/>
      <c r="E117" s="212"/>
      <c r="F117" s="213"/>
    </row>
    <row r="118" spans="1:6" ht="45" customHeight="1" x14ac:dyDescent="0.3">
      <c r="A118" s="495" t="str">
        <f ca="1">TranslationsTB!$A$32</f>
        <v>D. Expected annual gap in meeting the need: A - C3</v>
      </c>
      <c r="B118" s="195" t="s">
        <v>8</v>
      </c>
      <c r="C118" s="336">
        <f>IF(C115="","",C107-(C115))</f>
        <v>20406</v>
      </c>
      <c r="D118" s="336">
        <f t="shared" ref="D118:E118" si="37">IF(D115="","",D107-(D115))</f>
        <v>20815</v>
      </c>
      <c r="E118" s="336">
        <f t="shared" si="37"/>
        <v>20042</v>
      </c>
      <c r="F118" s="470"/>
    </row>
    <row r="119" spans="1:6" ht="45" customHeight="1" x14ac:dyDescent="0.3">
      <c r="A119" s="496"/>
      <c r="B119" s="195" t="s">
        <v>9</v>
      </c>
      <c r="C119" s="333">
        <f>IF(C118=0,"",+C118/C107)</f>
        <v>0.57420226236704375</v>
      </c>
      <c r="D119" s="333">
        <f t="shared" ref="D119:E119" si="38">IF(D118=0,"",+D118/D107)</f>
        <v>0.57419105679843319</v>
      </c>
      <c r="E119" s="333">
        <f t="shared" si="38"/>
        <v>0.57418707921501222</v>
      </c>
      <c r="F119" s="471"/>
    </row>
    <row r="120" spans="1:6" ht="17.5" customHeight="1" x14ac:dyDescent="0.3">
      <c r="A120" s="211" t="str">
        <f ca="1">TranslationsHIV!$A$59</f>
        <v>Country target covered with the allocation amount</v>
      </c>
      <c r="B120" s="212"/>
      <c r="C120" s="212"/>
      <c r="D120" s="212"/>
      <c r="E120" s="212"/>
      <c r="F120" s="213"/>
    </row>
    <row r="121" spans="1:6" ht="45" customHeight="1" x14ac:dyDescent="0.3">
      <c r="A121" s="495" t="str">
        <f ca="1">TranslationsTB!$A$34</f>
        <v>E. Targets to be financed by funding request allocation amount</v>
      </c>
      <c r="B121" s="201" t="s">
        <v>8</v>
      </c>
      <c r="C121" s="139">
        <v>20406</v>
      </c>
      <c r="D121" s="139">
        <v>20815</v>
      </c>
      <c r="E121" s="139">
        <v>20042</v>
      </c>
      <c r="F121" s="420" t="s">
        <v>1693</v>
      </c>
    </row>
    <row r="122" spans="1:6" ht="117" customHeight="1" x14ac:dyDescent="0.3">
      <c r="A122" s="496"/>
      <c r="B122" s="201" t="s">
        <v>9</v>
      </c>
      <c r="C122" s="333">
        <f>IF(C121=0,"",+C121/C107)</f>
        <v>0.57420226236704375</v>
      </c>
      <c r="D122" s="333">
        <f t="shared" ref="D122:E122" si="39">IF(D121=0,"",+D121/D107)</f>
        <v>0.57419105679843319</v>
      </c>
      <c r="E122" s="333">
        <f t="shared" si="39"/>
        <v>0.57418707921501222</v>
      </c>
      <c r="F122" s="426"/>
    </row>
    <row r="123" spans="1:6" ht="45" customHeight="1" x14ac:dyDescent="0.3">
      <c r="A123" s="501" t="str">
        <f ca="1">TranslationsTB!$A$35</f>
        <v>F. Total coverage from allocation amount and other resources: E + C3</v>
      </c>
      <c r="B123" s="203" t="s">
        <v>8</v>
      </c>
      <c r="C123" s="336">
        <f>IF(C115="",C121,C121+C115)</f>
        <v>35538</v>
      </c>
      <c r="D123" s="336">
        <f t="shared" ref="D123:E123" si="40">IF(D115="",D121,D121+D115)</f>
        <v>36251</v>
      </c>
      <c r="E123" s="336">
        <f t="shared" si="40"/>
        <v>34905</v>
      </c>
      <c r="F123" s="491"/>
    </row>
    <row r="124" spans="1:6" ht="45" customHeight="1" x14ac:dyDescent="0.3">
      <c r="A124" s="496"/>
      <c r="B124" s="201" t="s">
        <v>9</v>
      </c>
      <c r="C124" s="333">
        <f>IF(C123=0,"",+C123/C107)</f>
        <v>1</v>
      </c>
      <c r="D124" s="333">
        <f t="shared" ref="D124:E124" si="41">IF(D123=0,"",+D123/D107)</f>
        <v>1</v>
      </c>
      <c r="E124" s="333">
        <f t="shared" si="41"/>
        <v>1</v>
      </c>
      <c r="F124" s="471"/>
    </row>
    <row r="125" spans="1:6" ht="45" customHeight="1" x14ac:dyDescent="0.3">
      <c r="A125" s="449" t="str">
        <f ca="1">TranslationsTB!$A$36</f>
        <v xml:space="preserve">G. Remaining gap: A - F </v>
      </c>
      <c r="B125" s="203" t="s">
        <v>8</v>
      </c>
      <c r="C125" s="336">
        <f>IF(C123="","",C107-(C123))</f>
        <v>0</v>
      </c>
      <c r="D125" s="336">
        <f t="shared" ref="D125:E125" si="42">IF(D123="","",D107-(D123))</f>
        <v>0</v>
      </c>
      <c r="E125" s="336">
        <f t="shared" si="42"/>
        <v>0</v>
      </c>
      <c r="F125" s="491"/>
    </row>
    <row r="126" spans="1:6" ht="45" customHeight="1" x14ac:dyDescent="0.3">
      <c r="A126" s="449"/>
      <c r="B126" s="257" t="s">
        <v>9</v>
      </c>
      <c r="C126" s="333" t="str">
        <f>IF(C125=0,"",C125/C107)</f>
        <v/>
      </c>
      <c r="D126" s="333" t="str">
        <f t="shared" ref="D126:E126" si="43">IF(D125=0,"",D125/D107)</f>
        <v/>
      </c>
      <c r="E126" s="333" t="str">
        <f t="shared" si="43"/>
        <v/>
      </c>
      <c r="F126" s="491"/>
    </row>
    <row r="127" spans="1:6" x14ac:dyDescent="0.3">
      <c r="A127" s="482" t="s">
        <v>10</v>
      </c>
      <c r="B127" s="483"/>
      <c r="C127" s="483"/>
      <c r="D127" s="483"/>
      <c r="E127" s="483"/>
      <c r="F127" s="484"/>
    </row>
    <row r="128" spans="1:6" x14ac:dyDescent="0.3">
      <c r="A128" s="485"/>
      <c r="B128" s="486"/>
      <c r="C128" s="486"/>
      <c r="D128" s="486"/>
      <c r="E128" s="486"/>
      <c r="F128" s="487"/>
    </row>
    <row r="129" spans="1:6" x14ac:dyDescent="0.3">
      <c r="A129" s="485"/>
      <c r="B129" s="486"/>
      <c r="C129" s="486"/>
      <c r="D129" s="486"/>
      <c r="E129" s="486"/>
      <c r="F129" s="487"/>
    </row>
    <row r="130" spans="1:6" x14ac:dyDescent="0.3">
      <c r="A130" s="485"/>
      <c r="B130" s="486"/>
      <c r="C130" s="486"/>
      <c r="D130" s="486"/>
      <c r="E130" s="486"/>
      <c r="F130" s="487"/>
    </row>
    <row r="131" spans="1:6" x14ac:dyDescent="0.3">
      <c r="A131" s="485"/>
      <c r="B131" s="486"/>
      <c r="C131" s="486"/>
      <c r="D131" s="486"/>
      <c r="E131" s="486"/>
      <c r="F131" s="487"/>
    </row>
    <row r="132" spans="1:6" x14ac:dyDescent="0.3">
      <c r="A132" s="485"/>
      <c r="B132" s="486"/>
      <c r="C132" s="486"/>
      <c r="D132" s="486"/>
      <c r="E132" s="486"/>
      <c r="F132" s="487"/>
    </row>
    <row r="133" spans="1:6" x14ac:dyDescent="0.3">
      <c r="A133" s="485"/>
      <c r="B133" s="486"/>
      <c r="C133" s="486"/>
      <c r="D133" s="486"/>
      <c r="E133" s="486"/>
      <c r="F133" s="487"/>
    </row>
    <row r="134" spans="1:6" x14ac:dyDescent="0.3">
      <c r="A134" s="485"/>
      <c r="B134" s="486"/>
      <c r="C134" s="486"/>
      <c r="D134" s="486"/>
      <c r="E134" s="486"/>
      <c r="F134" s="487"/>
    </row>
    <row r="135" spans="1:6" x14ac:dyDescent="0.3">
      <c r="A135" s="485"/>
      <c r="B135" s="486"/>
      <c r="C135" s="486"/>
      <c r="D135" s="486"/>
      <c r="E135" s="486"/>
      <c r="F135" s="487"/>
    </row>
    <row r="136" spans="1:6" x14ac:dyDescent="0.3">
      <c r="A136" s="485"/>
      <c r="B136" s="486"/>
      <c r="C136" s="486"/>
      <c r="D136" s="486"/>
      <c r="E136" s="486"/>
      <c r="F136" s="487"/>
    </row>
    <row r="137" spans="1:6" x14ac:dyDescent="0.3">
      <c r="A137" s="488"/>
      <c r="B137" s="489"/>
      <c r="C137" s="489"/>
      <c r="D137" s="489"/>
      <c r="E137" s="489"/>
      <c r="F137" s="490"/>
    </row>
  </sheetData>
  <sheetProtection algorithmName="SHA-512" hashValue="HuXUZ+CAkZBUWwD1AQs4gk6QmJIE02soru2ycVBWvj1VqBXoii+NjeB4pEhiJX3BDQc0gu3NAUEQndP0hq7PSw==" saltValue="5FPmx2N9dBJhUEYzEkNYgg==" spinCount="100000" sheet="1" formatColumns="0" formatRows="0"/>
  <mergeCells count="70">
    <mergeCell ref="A127:F137"/>
    <mergeCell ref="A123:A124"/>
    <mergeCell ref="F123:F124"/>
    <mergeCell ref="A125:A126"/>
    <mergeCell ref="F125:F126"/>
    <mergeCell ref="A121:A122"/>
    <mergeCell ref="F121:F122"/>
    <mergeCell ref="B99:F99"/>
    <mergeCell ref="B100:F100"/>
    <mergeCell ref="B103:F103"/>
    <mergeCell ref="F104:F105"/>
    <mergeCell ref="A108:A109"/>
    <mergeCell ref="A111:A112"/>
    <mergeCell ref="A113:A114"/>
    <mergeCell ref="A115:A116"/>
    <mergeCell ref="A118:A119"/>
    <mergeCell ref="F118:F119"/>
    <mergeCell ref="A90:A91"/>
    <mergeCell ref="F90:F91"/>
    <mergeCell ref="A92:A93"/>
    <mergeCell ref="F92:F93"/>
    <mergeCell ref="A94:A95"/>
    <mergeCell ref="F94:F95"/>
    <mergeCell ref="F87:F88"/>
    <mergeCell ref="A63:A64"/>
    <mergeCell ref="F63:F64"/>
    <mergeCell ref="B68:F68"/>
    <mergeCell ref="B69:F69"/>
    <mergeCell ref="B72:F72"/>
    <mergeCell ref="F73:F74"/>
    <mergeCell ref="A77:A78"/>
    <mergeCell ref="A80:A81"/>
    <mergeCell ref="A82:A83"/>
    <mergeCell ref="A84:A85"/>
    <mergeCell ref="A87:A88"/>
    <mergeCell ref="A61:A62"/>
    <mergeCell ref="F61:F62"/>
    <mergeCell ref="B41:F41"/>
    <mergeCell ref="F42:F43"/>
    <mergeCell ref="A46:A47"/>
    <mergeCell ref="A49:A50"/>
    <mergeCell ref="A51:A52"/>
    <mergeCell ref="A53:A54"/>
    <mergeCell ref="A56:A57"/>
    <mergeCell ref="F56:F57"/>
    <mergeCell ref="A59:A60"/>
    <mergeCell ref="F59:F60"/>
    <mergeCell ref="B38:F38"/>
    <mergeCell ref="A20:A21"/>
    <mergeCell ref="A22:A23"/>
    <mergeCell ref="A25:A26"/>
    <mergeCell ref="F25:F26"/>
    <mergeCell ref="A28:A29"/>
    <mergeCell ref="F28:F29"/>
    <mergeCell ref="A30:A31"/>
    <mergeCell ref="F30:F31"/>
    <mergeCell ref="A32:A33"/>
    <mergeCell ref="F32:F33"/>
    <mergeCell ref="B37:F37"/>
    <mergeCell ref="A18:A19"/>
    <mergeCell ref="A1:E1"/>
    <mergeCell ref="F1:F3"/>
    <mergeCell ref="A2:E2"/>
    <mergeCell ref="A3:E3"/>
    <mergeCell ref="A4:F4"/>
    <mergeCell ref="B6:F6"/>
    <mergeCell ref="B7:F7"/>
    <mergeCell ref="B10:F10"/>
    <mergeCell ref="F11:F12"/>
    <mergeCell ref="A15:A16"/>
  </mergeCells>
  <pageMargins left="0.7" right="0.7" top="0.75" bottom="0.75" header="0.3" footer="0.3"/>
  <pageSetup paperSize="9" scale="55" orientation="portrait" r:id="rId1"/>
  <rowBreaks count="2" manualBreakCount="2">
    <brk id="35" max="5" man="1"/>
    <brk id="103" max="5" man="1"/>
  </rowBreaks>
  <extLst>
    <ext xmlns:x14="http://schemas.microsoft.com/office/spreadsheetml/2009/9/main" uri="{CCE6A557-97BC-4b89-ADB6-D9C93CAAB3DF}">
      <x14:dataValidations xmlns:xm="http://schemas.microsoft.com/office/excel/2006/main" count="1">
        <x14:dataValidation type="list" allowBlank="1" showInputMessage="1" showErrorMessage="1" xr:uid="{FE2FA726-FBB6-4F88-9E75-1BCFED64FB64}">
          <x14:formula1>
            <xm:f>'TB drop-down'!$A$18:$A$22</xm:f>
          </x14:formula1>
          <xm:sqref>B6:F6 B37:F37 B68:F68 B99:F99</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7">
    <pageSetUpPr fitToPage="1"/>
  </sheetPr>
  <dimension ref="A1:U250"/>
  <sheetViews>
    <sheetView view="pageBreakPreview" zoomScale="60" zoomScaleNormal="80" zoomScalePageLayoutView="80" workbookViewId="0">
      <pane ySplit="4" topLeftCell="A5" activePane="bottomLeft" state="frozen"/>
      <selection activeCell="Q211" sqref="Q211:Q246"/>
      <selection pane="bottomLeft" activeCell="D31" sqref="D31"/>
    </sheetView>
  </sheetViews>
  <sheetFormatPr defaultColWidth="9" defaultRowHeight="14" x14ac:dyDescent="0.3"/>
  <cols>
    <col min="1" max="1" width="30.58203125" style="89" customWidth="1"/>
    <col min="2" max="5" width="11.58203125" style="89" customWidth="1"/>
    <col min="6" max="6" width="68.33203125" style="89" customWidth="1"/>
    <col min="7" max="7" width="48.08203125" style="89" customWidth="1"/>
    <col min="8" max="8" width="9" style="89"/>
    <col min="9" max="9" width="10.08203125" style="89" customWidth="1"/>
    <col min="10" max="10" width="10.58203125" style="89" customWidth="1"/>
    <col min="11" max="11" width="12.08203125" style="89" customWidth="1"/>
    <col min="12" max="16384" width="9" style="89"/>
  </cols>
  <sheetData>
    <row r="1" spans="1:21" s="12" customFormat="1" ht="22" customHeight="1" x14ac:dyDescent="0.3">
      <c r="A1" s="421" t="s">
        <v>3</v>
      </c>
      <c r="B1" s="421"/>
      <c r="C1" s="421"/>
      <c r="D1" s="421"/>
      <c r="E1" s="421"/>
      <c r="F1" s="472" t="str">
        <f ca="1">TranslationsHIV!$G$118</f>
        <v>Latest version updated: 13 March 2023</v>
      </c>
      <c r="G1" s="102"/>
      <c r="H1" s="123"/>
      <c r="I1" s="123"/>
      <c r="J1" s="123"/>
      <c r="K1" s="123"/>
      <c r="L1" s="123"/>
      <c r="M1" s="123"/>
      <c r="N1" s="124"/>
      <c r="O1" s="124"/>
      <c r="P1" s="124"/>
      <c r="Q1" s="124"/>
      <c r="R1" s="124"/>
      <c r="S1" s="124"/>
      <c r="T1" s="124"/>
      <c r="U1" s="124"/>
    </row>
    <row r="2" spans="1:21" s="12" customFormat="1" ht="22" customHeight="1" x14ac:dyDescent="0.3">
      <c r="A2" s="421" t="s">
        <v>4</v>
      </c>
      <c r="B2" s="421"/>
      <c r="C2" s="421"/>
      <c r="D2" s="421"/>
      <c r="E2" s="421"/>
      <c r="F2" s="473"/>
      <c r="G2" s="102"/>
      <c r="H2" s="123"/>
      <c r="I2" s="123"/>
      <c r="J2" s="123"/>
      <c r="K2" s="123"/>
      <c r="L2" s="123"/>
      <c r="M2" s="123"/>
      <c r="N2" s="124"/>
      <c r="O2" s="124"/>
      <c r="P2" s="124"/>
      <c r="Q2" s="124"/>
      <c r="R2" s="124"/>
      <c r="S2" s="124"/>
      <c r="T2" s="124"/>
      <c r="U2" s="124"/>
    </row>
    <row r="3" spans="1:21" s="12" customFormat="1" ht="22" customHeight="1" x14ac:dyDescent="0.3">
      <c r="A3" s="502" t="s">
        <v>5</v>
      </c>
      <c r="B3" s="502"/>
      <c r="C3" s="502"/>
      <c r="D3" s="502"/>
      <c r="E3" s="502"/>
      <c r="F3" s="473"/>
      <c r="G3" s="102"/>
      <c r="H3" s="123"/>
      <c r="I3" s="123"/>
      <c r="J3" s="123"/>
      <c r="K3" s="123"/>
      <c r="L3" s="123"/>
      <c r="M3" s="123"/>
      <c r="N3" s="124"/>
      <c r="O3" s="124"/>
      <c r="P3" s="124"/>
      <c r="Q3" s="124"/>
      <c r="R3" s="124"/>
      <c r="S3" s="124"/>
      <c r="T3" s="124"/>
      <c r="U3" s="124"/>
    </row>
    <row r="4" spans="1:21" ht="74.900000000000006" customHeight="1" x14ac:dyDescent="0.3">
      <c r="A4" s="506" t="s">
        <v>1207</v>
      </c>
      <c r="B4" s="507"/>
      <c r="C4" s="507"/>
      <c r="D4" s="507"/>
      <c r="E4" s="507"/>
      <c r="F4" s="508"/>
      <c r="G4" s="145"/>
    </row>
    <row r="5" spans="1:21" ht="45" customHeight="1" x14ac:dyDescent="0.3">
      <c r="A5" s="320" t="str">
        <f ca="1">TranslationsHIV!$A$21</f>
        <v>Priority Module</v>
      </c>
      <c r="B5" s="514"/>
      <c r="C5" s="515"/>
      <c r="D5" s="515"/>
      <c r="E5" s="515"/>
      <c r="F5" s="516"/>
    </row>
    <row r="6" spans="1:21" ht="45" customHeight="1" x14ac:dyDescent="0.3">
      <c r="A6" s="321" t="str">
        <f ca="1">TranslationsHIV!$A$22</f>
        <v>Selected coverage indicator</v>
      </c>
      <c r="B6" s="517"/>
      <c r="C6" s="518"/>
      <c r="D6" s="518"/>
      <c r="E6" s="518"/>
      <c r="F6" s="519"/>
    </row>
    <row r="7" spans="1:21" ht="45" customHeight="1" x14ac:dyDescent="0.3">
      <c r="A7" s="322" t="str">
        <f ca="1">TranslationsHIV!$A$23</f>
        <v>Target Population</v>
      </c>
      <c r="B7" s="520"/>
      <c r="C7" s="521"/>
      <c r="D7" s="521"/>
      <c r="E7" s="521"/>
      <c r="F7" s="522"/>
    </row>
    <row r="8" spans="1:21" ht="17.5" customHeight="1" x14ac:dyDescent="0.3">
      <c r="A8" s="259" t="str">
        <f ca="1">TranslationsHIV!$A$24</f>
        <v>Current national coverage</v>
      </c>
      <c r="B8" s="154"/>
      <c r="C8" s="154"/>
      <c r="D8" s="154"/>
      <c r="E8" s="154"/>
      <c r="F8" s="258"/>
    </row>
    <row r="9" spans="1:21" ht="45" customHeight="1" x14ac:dyDescent="0.3">
      <c r="A9" s="323" t="str">
        <f ca="1">TranslationsHIV!$A$25</f>
        <v>Insert latest results</v>
      </c>
      <c r="B9" s="87"/>
      <c r="C9" s="313" t="str">
        <f ca="1">TranslationsHIV!$A$26</f>
        <v>Year</v>
      </c>
      <c r="D9" s="18"/>
      <c r="E9" s="313" t="str">
        <f ca="1">TranslationsHIV!$A$27</f>
        <v>Data source</v>
      </c>
      <c r="F9" s="18"/>
    </row>
    <row r="10" spans="1:21" ht="45" customHeight="1" x14ac:dyDescent="0.3">
      <c r="A10" s="324" t="str">
        <f ca="1">TranslationsHIV!$A$28</f>
        <v>Comments</v>
      </c>
      <c r="B10" s="523"/>
      <c r="C10" s="524"/>
      <c r="D10" s="524"/>
      <c r="E10" s="524"/>
      <c r="F10" s="525"/>
    </row>
    <row r="11" spans="1:21" ht="45" customHeight="1" x14ac:dyDescent="0.3">
      <c r="A11" s="528"/>
      <c r="B11" s="530"/>
      <c r="C11" s="314" t="str">
        <f ca="1">TranslationsHIV!$A$29</f>
        <v>Year 1</v>
      </c>
      <c r="D11" s="314" t="str">
        <f ca="1">TranslationsHIV!$A$30</f>
        <v>Year 2</v>
      </c>
      <c r="E11" s="314" t="str">
        <f ca="1">TranslationsHIV!$A$31</f>
        <v>Year 3</v>
      </c>
      <c r="F11" s="526" t="str">
        <f ca="1">TranslationsHIV!$A$34</f>
        <v>Comments / Assumptions</v>
      </c>
    </row>
    <row r="12" spans="1:21" ht="45" customHeight="1" x14ac:dyDescent="0.3">
      <c r="A12" s="529"/>
      <c r="B12" s="531"/>
      <c r="C12" s="19" t="str">
        <f ca="1">TranslationsHIV!$A$33</f>
        <v>Insert year</v>
      </c>
      <c r="D12" s="19" t="str">
        <f ca="1">TranslationsHIV!$A$33</f>
        <v>Insert year</v>
      </c>
      <c r="E12" s="19" t="str">
        <f ca="1">TranslationsHIV!$A$33</f>
        <v>Insert year</v>
      </c>
      <c r="F12" s="527"/>
    </row>
    <row r="13" spans="1:21" ht="17.5" customHeight="1" x14ac:dyDescent="0.3">
      <c r="A13" s="259" t="str">
        <f ca="1">TranslationsHIV!$A$35</f>
        <v>Current estimated country need</v>
      </c>
      <c r="B13" s="154"/>
      <c r="C13" s="154"/>
      <c r="D13" s="154"/>
      <c r="E13" s="154"/>
      <c r="F13" s="258"/>
    </row>
    <row r="14" spans="1:21" ht="45" customHeight="1" x14ac:dyDescent="0.3">
      <c r="A14" s="325" t="str">
        <f ca="1">TranslationsTB!$A$25</f>
        <v>A. Total estimated population in need/at risk</v>
      </c>
      <c r="B14" s="204" t="s">
        <v>8</v>
      </c>
      <c r="C14" s="20"/>
      <c r="D14" s="20"/>
      <c r="E14" s="20"/>
      <c r="F14" s="311"/>
    </row>
    <row r="15" spans="1:21" ht="45" customHeight="1" x14ac:dyDescent="0.3">
      <c r="A15" s="512" t="str">
        <f ca="1">TranslationsHIV!$A$37</f>
        <v>B2. Country targets 
(from National Strategic Plan)</v>
      </c>
      <c r="B15" s="205" t="s">
        <v>8</v>
      </c>
      <c r="C15" s="20"/>
      <c r="D15" s="20"/>
      <c r="E15" s="20"/>
      <c r="F15" s="399"/>
    </row>
    <row r="16" spans="1:21" ht="45" customHeight="1" x14ac:dyDescent="0.3">
      <c r="A16" s="513"/>
      <c r="B16" s="205" t="s">
        <v>9</v>
      </c>
      <c r="C16" s="315" t="str">
        <f>IF(C15=0,"",+C15/C14)</f>
        <v/>
      </c>
      <c r="D16" s="315" t="str">
        <f t="shared" ref="D16:E16" si="0">IF(D15=0,"",+D15/D14)</f>
        <v/>
      </c>
      <c r="E16" s="315" t="str">
        <f t="shared" si="0"/>
        <v/>
      </c>
      <c r="F16" s="511"/>
    </row>
    <row r="17" spans="1:6" ht="17.5" customHeight="1" x14ac:dyDescent="0.3">
      <c r="A17" s="259" t="str">
        <f ca="1">TranslationsHIV!$A$38</f>
        <v>Country need to meet global targets already covered</v>
      </c>
      <c r="B17" s="154"/>
      <c r="C17" s="154"/>
      <c r="D17" s="154"/>
      <c r="E17" s="154"/>
      <c r="F17" s="258"/>
    </row>
    <row r="18" spans="1:6" ht="45" customHeight="1" x14ac:dyDescent="0.3">
      <c r="A18" s="512" t="str">
        <f ca="1">TranslationsHIV!$A$39</f>
        <v>C1. Global target planned to be covered by domestic resources</v>
      </c>
      <c r="B18" s="204" t="s">
        <v>8</v>
      </c>
      <c r="C18" s="139"/>
      <c r="D18" s="139"/>
      <c r="E18" s="139"/>
      <c r="F18" s="399"/>
    </row>
    <row r="19" spans="1:6" ht="45" customHeight="1" x14ac:dyDescent="0.3">
      <c r="A19" s="513"/>
      <c r="B19" s="204" t="s">
        <v>9</v>
      </c>
      <c r="C19" s="315" t="str">
        <f>IF(C18=0,"",+C18/C14)</f>
        <v/>
      </c>
      <c r="D19" s="315" t="str">
        <f>IF(D18=0,"",+D18/D14)</f>
        <v/>
      </c>
      <c r="E19" s="315" t="str">
        <f>IF(E18=0,"",+E18/E14)</f>
        <v/>
      </c>
      <c r="F19" s="511"/>
    </row>
    <row r="20" spans="1:6" ht="45" customHeight="1" x14ac:dyDescent="0.3">
      <c r="A20" s="512" t="str">
        <f ca="1">TranslationsHIV!$A$40</f>
        <v>C2. Global target planned to be covered by external resources</v>
      </c>
      <c r="B20" s="204" t="s">
        <v>8</v>
      </c>
      <c r="C20" s="139"/>
      <c r="D20" s="139"/>
      <c r="E20" s="139"/>
      <c r="F20" s="260"/>
    </row>
    <row r="21" spans="1:6" ht="45" customHeight="1" x14ac:dyDescent="0.3">
      <c r="A21" s="513"/>
      <c r="B21" s="204" t="s">
        <v>9</v>
      </c>
      <c r="C21" s="315" t="str">
        <f>IF(C20=0,"",+C20/C14)</f>
        <v/>
      </c>
      <c r="D21" s="315" t="str">
        <f>IF(D20=0,"",+D20/D14)</f>
        <v/>
      </c>
      <c r="E21" s="315" t="str">
        <f>IF(E20=0,"",+E20/E14)</f>
        <v/>
      </c>
      <c r="F21" s="260"/>
    </row>
    <row r="22" spans="1:6" ht="45" customHeight="1" x14ac:dyDescent="0.3">
      <c r="A22" s="512" t="str">
        <f ca="1">TranslationsHIV!$A$41</f>
        <v>C3. Total global target already covered</v>
      </c>
      <c r="B22" s="204" t="s">
        <v>8</v>
      </c>
      <c r="C22" s="316">
        <f>+C18+C20</f>
        <v>0</v>
      </c>
      <c r="D22" s="316">
        <f>+D18+D20</f>
        <v>0</v>
      </c>
      <c r="E22" s="316">
        <f>+E18+E20</f>
        <v>0</v>
      </c>
      <c r="F22" s="260"/>
    </row>
    <row r="23" spans="1:6" ht="45" customHeight="1" x14ac:dyDescent="0.3">
      <c r="A23" s="513"/>
      <c r="B23" s="204" t="s">
        <v>9</v>
      </c>
      <c r="C23" s="315" t="str">
        <f>IF(C22=0,"",+C22/C14)</f>
        <v/>
      </c>
      <c r="D23" s="315" t="str">
        <f>IF(D22=0,"",+D22/D14)</f>
        <v/>
      </c>
      <c r="E23" s="315" t="str">
        <f>IF(E22=0,"",+E22/E14)</f>
        <v/>
      </c>
      <c r="F23" s="260"/>
    </row>
    <row r="24" spans="1:6" ht="17.5" customHeight="1" x14ac:dyDescent="0.3">
      <c r="A24" s="259" t="str">
        <f ca="1">TranslationsHIV!$A$42</f>
        <v>Programmatic gap</v>
      </c>
      <c r="B24" s="154"/>
      <c r="C24" s="154"/>
      <c r="D24" s="154"/>
      <c r="E24" s="154"/>
      <c r="F24" s="258"/>
    </row>
    <row r="25" spans="1:6" ht="45" customHeight="1" x14ac:dyDescent="0.3">
      <c r="A25" s="509" t="str">
        <f ca="1">TranslationsHIV!$A$43</f>
        <v>D. Expected annual gap in meeting the need: B1 - C3</v>
      </c>
      <c r="B25" s="204" t="s">
        <v>8</v>
      </c>
      <c r="C25" s="317">
        <f>+C14-(C22)</f>
        <v>0</v>
      </c>
      <c r="D25" s="317">
        <f>+D14-(D22)</f>
        <v>0</v>
      </c>
      <c r="E25" s="317">
        <f>+E14-(E22)</f>
        <v>0</v>
      </c>
      <c r="F25" s="399"/>
    </row>
    <row r="26" spans="1:6" ht="45" customHeight="1" x14ac:dyDescent="0.3">
      <c r="A26" s="510"/>
      <c r="B26" s="204" t="s">
        <v>9</v>
      </c>
      <c r="C26" s="315" t="str">
        <f>IF(C25=0,"",+C25/C14)</f>
        <v/>
      </c>
      <c r="D26" s="315" t="str">
        <f>IF(D25=0,"",+D25/D14)</f>
        <v/>
      </c>
      <c r="E26" s="315" t="str">
        <f>IF(E25=0,"",+E25/E14)</f>
        <v/>
      </c>
      <c r="F26" s="511"/>
    </row>
    <row r="27" spans="1:6" ht="17.5" customHeight="1" x14ac:dyDescent="0.3">
      <c r="A27" s="259" t="str">
        <f ca="1">TranslationsHIV!$A$44</f>
        <v>Country need to meet global targets covered with the allocation amount</v>
      </c>
      <c r="B27" s="154"/>
      <c r="C27" s="154"/>
      <c r="D27" s="154"/>
      <c r="E27" s="154"/>
      <c r="F27" s="258"/>
    </row>
    <row r="28" spans="1:6" ht="45" customHeight="1" x14ac:dyDescent="0.3">
      <c r="A28" s="509" t="str">
        <f ca="1">TranslationsHIV!$A$45</f>
        <v>E. Targets to be financed by allocation amount</v>
      </c>
      <c r="B28" s="205" t="s">
        <v>8</v>
      </c>
      <c r="C28" s="139"/>
      <c r="D28" s="139"/>
      <c r="E28" s="139"/>
      <c r="F28" s="399"/>
    </row>
    <row r="29" spans="1:6" ht="45" customHeight="1" x14ac:dyDescent="0.3">
      <c r="A29" s="510"/>
      <c r="B29" s="205" t="s">
        <v>9</v>
      </c>
      <c r="C29" s="315" t="str">
        <f>IF(C28=0,"",+C28/C14)</f>
        <v/>
      </c>
      <c r="D29" s="315" t="str">
        <f>IF(D28=0,"",+D28/D14)</f>
        <v/>
      </c>
      <c r="E29" s="315" t="str">
        <f>IF(E28=0,"",+E28/E14)</f>
        <v/>
      </c>
      <c r="F29" s="511"/>
    </row>
    <row r="30" spans="1:6" ht="45" customHeight="1" x14ac:dyDescent="0.3">
      <c r="A30" s="509" t="str">
        <f ca="1">TranslationsHIV!$A$46</f>
        <v>F. Coverage from allocation amount and other resources: E + C3</v>
      </c>
      <c r="B30" s="205" t="s">
        <v>8</v>
      </c>
      <c r="C30" s="317">
        <f>+C28+C22</f>
        <v>0</v>
      </c>
      <c r="D30" s="317">
        <f>+D28+D22</f>
        <v>0</v>
      </c>
      <c r="E30" s="317">
        <f>+E28+E22</f>
        <v>0</v>
      </c>
      <c r="F30" s="399"/>
    </row>
    <row r="31" spans="1:6" ht="45" customHeight="1" x14ac:dyDescent="0.3">
      <c r="A31" s="510"/>
      <c r="B31" s="205" t="s">
        <v>9</v>
      </c>
      <c r="C31" s="315" t="str">
        <f>IF(C30=0,"",+C30/C14)</f>
        <v/>
      </c>
      <c r="D31" s="315" t="str">
        <f>IF(D30=0,"",+D30/D14)</f>
        <v/>
      </c>
      <c r="E31" s="315" t="str">
        <f>IF(E30=0,"",+E30/E14)</f>
        <v/>
      </c>
      <c r="F31" s="511"/>
    </row>
    <row r="32" spans="1:6" ht="45" customHeight="1" x14ac:dyDescent="0.3">
      <c r="A32" s="509" t="str">
        <f ca="1">TranslationsHIV!$A$47</f>
        <v xml:space="preserve">G. Remaining gap: B1 - F </v>
      </c>
      <c r="B32" s="205" t="s">
        <v>8</v>
      </c>
      <c r="C32" s="318">
        <f>+C14-(C30)</f>
        <v>0</v>
      </c>
      <c r="D32" s="318">
        <f>+D14-(D30)</f>
        <v>0</v>
      </c>
      <c r="E32" s="318">
        <f>+E14-(E30)</f>
        <v>0</v>
      </c>
      <c r="F32" s="399"/>
    </row>
    <row r="33" spans="1:6" ht="45" customHeight="1" x14ac:dyDescent="0.3">
      <c r="A33" s="510"/>
      <c r="B33" s="205" t="s">
        <v>9</v>
      </c>
      <c r="C33" s="319" t="str">
        <f>IF(C32=0,"",+C32/C14)</f>
        <v/>
      </c>
      <c r="D33" s="319" t="str">
        <f>IF(D32=0,"",+D32/D14)</f>
        <v/>
      </c>
      <c r="E33" s="319" t="str">
        <f>IF(E32=0,"",+E32/E14)</f>
        <v/>
      </c>
      <c r="F33" s="511"/>
    </row>
    <row r="34" spans="1:6" x14ac:dyDescent="0.3">
      <c r="A34" s="312"/>
      <c r="B34" s="312"/>
      <c r="C34" s="312"/>
      <c r="D34" s="312"/>
      <c r="E34" s="312"/>
      <c r="F34" s="312"/>
    </row>
    <row r="35" spans="1:6" x14ac:dyDescent="0.3">
      <c r="A35" s="312"/>
      <c r="B35" s="312"/>
      <c r="C35" s="312"/>
      <c r="D35" s="312"/>
      <c r="E35" s="312"/>
      <c r="F35" s="312"/>
    </row>
    <row r="36" spans="1:6" ht="45" customHeight="1" x14ac:dyDescent="0.3">
      <c r="A36" s="320" t="str">
        <f ca="1">TranslationsHIV!$A$21</f>
        <v>Priority Module</v>
      </c>
      <c r="B36" s="514"/>
      <c r="C36" s="515"/>
      <c r="D36" s="515"/>
      <c r="E36" s="515"/>
      <c r="F36" s="516"/>
    </row>
    <row r="37" spans="1:6" ht="45" customHeight="1" x14ac:dyDescent="0.3">
      <c r="A37" s="321" t="str">
        <f ca="1">TranslationsHIV!$A$22</f>
        <v>Selected coverage indicator</v>
      </c>
      <c r="B37" s="517"/>
      <c r="C37" s="518"/>
      <c r="D37" s="518"/>
      <c r="E37" s="518"/>
      <c r="F37" s="519"/>
    </row>
    <row r="38" spans="1:6" ht="45" customHeight="1" x14ac:dyDescent="0.3">
      <c r="A38" s="322" t="str">
        <f ca="1">TranslationsHIV!$A$23</f>
        <v>Target Population</v>
      </c>
      <c r="B38" s="520"/>
      <c r="C38" s="521"/>
      <c r="D38" s="521"/>
      <c r="E38" s="521"/>
      <c r="F38" s="522"/>
    </row>
    <row r="39" spans="1:6" x14ac:dyDescent="0.3">
      <c r="A39" s="259" t="str">
        <f ca="1">TranslationsHIV!$A$24</f>
        <v>Current national coverage</v>
      </c>
      <c r="B39" s="154"/>
      <c r="C39" s="154"/>
      <c r="D39" s="154"/>
      <c r="E39" s="154"/>
      <c r="F39" s="258"/>
    </row>
    <row r="40" spans="1:6" ht="45" customHeight="1" x14ac:dyDescent="0.3">
      <c r="A40" s="323" t="str">
        <f ca="1">TranslationsHIV!$A$25</f>
        <v>Insert latest results</v>
      </c>
      <c r="B40" s="87"/>
      <c r="C40" s="313" t="str">
        <f ca="1">TranslationsHIV!$A$26</f>
        <v>Year</v>
      </c>
      <c r="D40" s="18"/>
      <c r="E40" s="313" t="str">
        <f ca="1">TranslationsHIV!$A$27</f>
        <v>Data source</v>
      </c>
      <c r="F40" s="18"/>
    </row>
    <row r="41" spans="1:6" ht="45" customHeight="1" x14ac:dyDescent="0.3">
      <c r="A41" s="324" t="str">
        <f ca="1">TranslationsHIV!$A$28</f>
        <v>Comments</v>
      </c>
      <c r="B41" s="523"/>
      <c r="C41" s="524"/>
      <c r="D41" s="524"/>
      <c r="E41" s="524"/>
      <c r="F41" s="525"/>
    </row>
    <row r="42" spans="1:6" ht="45" customHeight="1" x14ac:dyDescent="0.3">
      <c r="A42" s="528"/>
      <c r="B42" s="530"/>
      <c r="C42" s="314" t="str">
        <f ca="1">TranslationsHIV!$A$29</f>
        <v>Year 1</v>
      </c>
      <c r="D42" s="314" t="str">
        <f ca="1">TranslationsHIV!$A$30</f>
        <v>Year 2</v>
      </c>
      <c r="E42" s="314" t="str">
        <f ca="1">TranslationsHIV!$A$31</f>
        <v>Year 3</v>
      </c>
      <c r="F42" s="526" t="str">
        <f ca="1">TranslationsHIV!$A$34</f>
        <v>Comments / Assumptions</v>
      </c>
    </row>
    <row r="43" spans="1:6" ht="45" customHeight="1" x14ac:dyDescent="0.3">
      <c r="A43" s="529"/>
      <c r="B43" s="531"/>
      <c r="C43" s="19" t="str">
        <f ca="1">TranslationsHIV!$A$33</f>
        <v>Insert year</v>
      </c>
      <c r="D43" s="19" t="str">
        <f ca="1">TranslationsHIV!$A$33</f>
        <v>Insert year</v>
      </c>
      <c r="E43" s="19" t="str">
        <f ca="1">TranslationsHIV!$A$33</f>
        <v>Insert year</v>
      </c>
      <c r="F43" s="527"/>
    </row>
    <row r="44" spans="1:6" x14ac:dyDescent="0.3">
      <c r="A44" s="259" t="str">
        <f ca="1">TranslationsHIV!$A$35</f>
        <v>Current estimated country need</v>
      </c>
      <c r="B44" s="154"/>
      <c r="C44" s="154"/>
      <c r="D44" s="154"/>
      <c r="E44" s="154"/>
      <c r="F44" s="258"/>
    </row>
    <row r="45" spans="1:6" ht="45" customHeight="1" x14ac:dyDescent="0.3">
      <c r="A45" s="325" t="str">
        <f ca="1">TranslationsTB!$A$25</f>
        <v>A. Total estimated population in need/at risk</v>
      </c>
      <c r="B45" s="204" t="s">
        <v>8</v>
      </c>
      <c r="C45" s="20"/>
      <c r="D45" s="20"/>
      <c r="E45" s="20"/>
      <c r="F45" s="311"/>
    </row>
    <row r="46" spans="1:6" ht="45" customHeight="1" x14ac:dyDescent="0.3">
      <c r="A46" s="512" t="str">
        <f ca="1">TranslationsHIV!$A$37</f>
        <v>B2. Country targets 
(from National Strategic Plan)</v>
      </c>
      <c r="B46" s="205" t="s">
        <v>8</v>
      </c>
      <c r="C46" s="20"/>
      <c r="D46" s="20"/>
      <c r="E46" s="20"/>
      <c r="F46" s="399"/>
    </row>
    <row r="47" spans="1:6" ht="45" customHeight="1" x14ac:dyDescent="0.3">
      <c r="A47" s="513"/>
      <c r="B47" s="205" t="s">
        <v>9</v>
      </c>
      <c r="C47" s="315" t="str">
        <f>IF(C46=0,"",+C46/C45)</f>
        <v/>
      </c>
      <c r="D47" s="315" t="str">
        <f t="shared" ref="D47:E47" si="1">IF(D46=0,"",+D46/D45)</f>
        <v/>
      </c>
      <c r="E47" s="315" t="str">
        <f t="shared" si="1"/>
        <v/>
      </c>
      <c r="F47" s="511"/>
    </row>
    <row r="48" spans="1:6" x14ac:dyDescent="0.3">
      <c r="A48" s="259" t="str">
        <f ca="1">TranslationsHIV!$A$38</f>
        <v>Country need to meet global targets already covered</v>
      </c>
      <c r="B48" s="154"/>
      <c r="C48" s="154"/>
      <c r="D48" s="154"/>
      <c r="E48" s="154"/>
      <c r="F48" s="258"/>
    </row>
    <row r="49" spans="1:6" ht="45" customHeight="1" x14ac:dyDescent="0.3">
      <c r="A49" s="512" t="str">
        <f ca="1">TranslationsHIV!$A$39</f>
        <v>C1. Global target planned to be covered by domestic resources</v>
      </c>
      <c r="B49" s="204" t="s">
        <v>8</v>
      </c>
      <c r="C49" s="139"/>
      <c r="D49" s="139"/>
      <c r="E49" s="139"/>
      <c r="F49" s="399"/>
    </row>
    <row r="50" spans="1:6" ht="45" customHeight="1" x14ac:dyDescent="0.3">
      <c r="A50" s="513"/>
      <c r="B50" s="204" t="s">
        <v>9</v>
      </c>
      <c r="C50" s="315" t="str">
        <f>IF(C49=0,"",+C49/C45)</f>
        <v/>
      </c>
      <c r="D50" s="315" t="str">
        <f>IF(D49=0,"",+D49/D45)</f>
        <v/>
      </c>
      <c r="E50" s="315" t="str">
        <f>IF(E49=0,"",+E49/E45)</f>
        <v/>
      </c>
      <c r="F50" s="511"/>
    </row>
    <row r="51" spans="1:6" ht="45" customHeight="1" x14ac:dyDescent="0.3">
      <c r="A51" s="512" t="str">
        <f ca="1">TranslationsHIV!$A$40</f>
        <v>C2. Global target planned to be covered by external resources</v>
      </c>
      <c r="B51" s="204" t="s">
        <v>8</v>
      </c>
      <c r="C51" s="139"/>
      <c r="D51" s="139"/>
      <c r="E51" s="139"/>
      <c r="F51" s="260"/>
    </row>
    <row r="52" spans="1:6" ht="45" customHeight="1" x14ac:dyDescent="0.3">
      <c r="A52" s="513"/>
      <c r="B52" s="204" t="s">
        <v>9</v>
      </c>
      <c r="C52" s="315" t="str">
        <f>IF(C51=0,"",+C51/C45)</f>
        <v/>
      </c>
      <c r="D52" s="315" t="str">
        <f>IF(D51=0,"",+D51/D45)</f>
        <v/>
      </c>
      <c r="E52" s="315" t="str">
        <f>IF(E51=0,"",+E51/E45)</f>
        <v/>
      </c>
      <c r="F52" s="260"/>
    </row>
    <row r="53" spans="1:6" ht="45" customHeight="1" x14ac:dyDescent="0.3">
      <c r="A53" s="512" t="str">
        <f ca="1">TranslationsHIV!$A$41</f>
        <v>C3. Total global target already covered</v>
      </c>
      <c r="B53" s="204" t="s">
        <v>8</v>
      </c>
      <c r="C53" s="316">
        <f>+C49+C51</f>
        <v>0</v>
      </c>
      <c r="D53" s="316">
        <f>+D49+D51</f>
        <v>0</v>
      </c>
      <c r="E53" s="316">
        <f>+E49+E51</f>
        <v>0</v>
      </c>
      <c r="F53" s="260"/>
    </row>
    <row r="54" spans="1:6" ht="45" customHeight="1" x14ac:dyDescent="0.3">
      <c r="A54" s="513"/>
      <c r="B54" s="204" t="s">
        <v>9</v>
      </c>
      <c r="C54" s="315" t="str">
        <f>IF(C53=0,"",+C53/C45)</f>
        <v/>
      </c>
      <c r="D54" s="315" t="str">
        <f>IF(D53=0,"",+D53/D45)</f>
        <v/>
      </c>
      <c r="E54" s="315" t="str">
        <f>IF(E53=0,"",+E53/E45)</f>
        <v/>
      </c>
      <c r="F54" s="260"/>
    </row>
    <row r="55" spans="1:6" x14ac:dyDescent="0.3">
      <c r="A55" s="259" t="str">
        <f ca="1">TranslationsHIV!$A$42</f>
        <v>Programmatic gap</v>
      </c>
      <c r="B55" s="154"/>
      <c r="C55" s="154"/>
      <c r="D55" s="154"/>
      <c r="E55" s="154"/>
      <c r="F55" s="258"/>
    </row>
    <row r="56" spans="1:6" ht="45" customHeight="1" x14ac:dyDescent="0.3">
      <c r="A56" s="509" t="str">
        <f ca="1">TranslationsHIV!$A$43</f>
        <v>D. Expected annual gap in meeting the need: B1 - C3</v>
      </c>
      <c r="B56" s="204" t="s">
        <v>8</v>
      </c>
      <c r="C56" s="317">
        <f>+C45-(C53)</f>
        <v>0</v>
      </c>
      <c r="D56" s="317">
        <f>+D45-(D53)</f>
        <v>0</v>
      </c>
      <c r="E56" s="317">
        <f>+E45-(E53)</f>
        <v>0</v>
      </c>
      <c r="F56" s="399"/>
    </row>
    <row r="57" spans="1:6" ht="45" customHeight="1" x14ac:dyDescent="0.3">
      <c r="A57" s="510"/>
      <c r="B57" s="204" t="s">
        <v>9</v>
      </c>
      <c r="C57" s="315" t="str">
        <f>IF(C56=0,"",+C56/C45)</f>
        <v/>
      </c>
      <c r="D57" s="315" t="str">
        <f>IF(D56=0,"",+D56/D45)</f>
        <v/>
      </c>
      <c r="E57" s="315" t="str">
        <f>IF(E56=0,"",+E56/E45)</f>
        <v/>
      </c>
      <c r="F57" s="511"/>
    </row>
    <row r="58" spans="1:6" x14ac:dyDescent="0.3">
      <c r="A58" s="259" t="str">
        <f ca="1">TranslationsHIV!$A$44</f>
        <v>Country need to meet global targets covered with the allocation amount</v>
      </c>
      <c r="B58" s="154"/>
      <c r="C58" s="154"/>
      <c r="D58" s="154"/>
      <c r="E58" s="154"/>
      <c r="F58" s="258"/>
    </row>
    <row r="59" spans="1:6" ht="45" customHeight="1" x14ac:dyDescent="0.3">
      <c r="A59" s="509" t="str">
        <f ca="1">TranslationsHIV!$A$45</f>
        <v>E. Targets to be financed by allocation amount</v>
      </c>
      <c r="B59" s="205" t="s">
        <v>8</v>
      </c>
      <c r="C59" s="139"/>
      <c r="D59" s="139"/>
      <c r="E59" s="139"/>
      <c r="F59" s="399"/>
    </row>
    <row r="60" spans="1:6" ht="45" customHeight="1" x14ac:dyDescent="0.3">
      <c r="A60" s="510"/>
      <c r="B60" s="205" t="s">
        <v>9</v>
      </c>
      <c r="C60" s="315" t="str">
        <f>IF(C59=0,"",+C59/C45)</f>
        <v/>
      </c>
      <c r="D60" s="315" t="str">
        <f>IF(D59=0,"",+D59/D45)</f>
        <v/>
      </c>
      <c r="E60" s="315" t="str">
        <f>IF(E59=0,"",+E59/E45)</f>
        <v/>
      </c>
      <c r="F60" s="511"/>
    </row>
    <row r="61" spans="1:6" ht="45" customHeight="1" x14ac:dyDescent="0.3">
      <c r="A61" s="509" t="str">
        <f ca="1">TranslationsHIV!$A$46</f>
        <v>F. Coverage from allocation amount and other resources: E + C3</v>
      </c>
      <c r="B61" s="205" t="s">
        <v>8</v>
      </c>
      <c r="C61" s="317">
        <f>+C59+C53</f>
        <v>0</v>
      </c>
      <c r="D61" s="317">
        <f>+D59+D53</f>
        <v>0</v>
      </c>
      <c r="E61" s="317">
        <f>+E59+E53</f>
        <v>0</v>
      </c>
      <c r="F61" s="399"/>
    </row>
    <row r="62" spans="1:6" ht="45" customHeight="1" x14ac:dyDescent="0.3">
      <c r="A62" s="510"/>
      <c r="B62" s="205" t="s">
        <v>9</v>
      </c>
      <c r="C62" s="315" t="str">
        <f>IF(C61=0,"",+C61/C45)</f>
        <v/>
      </c>
      <c r="D62" s="315" t="str">
        <f>IF(D61=0,"",+D61/D45)</f>
        <v/>
      </c>
      <c r="E62" s="315" t="str">
        <f>IF(E61=0,"",+E61/E45)</f>
        <v/>
      </c>
      <c r="F62" s="511"/>
    </row>
    <row r="63" spans="1:6" ht="45" customHeight="1" x14ac:dyDescent="0.3">
      <c r="A63" s="509" t="str">
        <f ca="1">TranslationsHIV!$A$47</f>
        <v xml:space="preserve">G. Remaining gap: B1 - F </v>
      </c>
      <c r="B63" s="205" t="s">
        <v>8</v>
      </c>
      <c r="C63" s="318">
        <f>+C45-(C61)</f>
        <v>0</v>
      </c>
      <c r="D63" s="318">
        <f>+D45-(D61)</f>
        <v>0</v>
      </c>
      <c r="E63" s="318">
        <f>+E45-(E61)</f>
        <v>0</v>
      </c>
      <c r="F63" s="399"/>
    </row>
    <row r="64" spans="1:6" ht="45" customHeight="1" x14ac:dyDescent="0.3">
      <c r="A64" s="510"/>
      <c r="B64" s="205" t="s">
        <v>9</v>
      </c>
      <c r="C64" s="319" t="str">
        <f>IF(C63=0,"",+C63/C45)</f>
        <v/>
      </c>
      <c r="D64" s="319" t="str">
        <f>IF(D63=0,"",+D63/D45)</f>
        <v/>
      </c>
      <c r="E64" s="319" t="str">
        <f>IF(E63=0,"",+E63/E45)</f>
        <v/>
      </c>
      <c r="F64" s="511"/>
    </row>
    <row r="65" spans="1:6" ht="20.149999999999999" customHeight="1" x14ac:dyDescent="0.3">
      <c r="A65" s="312"/>
      <c r="B65" s="312"/>
      <c r="C65" s="312"/>
      <c r="D65" s="312"/>
      <c r="E65" s="312"/>
      <c r="F65" s="312"/>
    </row>
    <row r="66" spans="1:6" ht="20.149999999999999" customHeight="1" x14ac:dyDescent="0.3">
      <c r="A66" s="312"/>
      <c r="B66" s="312"/>
      <c r="C66" s="312"/>
      <c r="D66" s="312"/>
      <c r="E66" s="312"/>
      <c r="F66" s="312"/>
    </row>
    <row r="67" spans="1:6" ht="45" customHeight="1" x14ac:dyDescent="0.3">
      <c r="A67" s="320" t="str">
        <f ca="1">TranslationsHIV!$A$21</f>
        <v>Priority Module</v>
      </c>
      <c r="B67" s="514"/>
      <c r="C67" s="515"/>
      <c r="D67" s="515"/>
      <c r="E67" s="515"/>
      <c r="F67" s="516"/>
    </row>
    <row r="68" spans="1:6" ht="45" customHeight="1" x14ac:dyDescent="0.3">
      <c r="A68" s="321" t="str">
        <f ca="1">TranslationsHIV!$A$22</f>
        <v>Selected coverage indicator</v>
      </c>
      <c r="B68" s="517"/>
      <c r="C68" s="518"/>
      <c r="D68" s="518"/>
      <c r="E68" s="518"/>
      <c r="F68" s="519"/>
    </row>
    <row r="69" spans="1:6" ht="45" customHeight="1" x14ac:dyDescent="0.3">
      <c r="A69" s="322" t="str">
        <f ca="1">TranslationsHIV!$A$23</f>
        <v>Target Population</v>
      </c>
      <c r="B69" s="520"/>
      <c r="C69" s="521"/>
      <c r="D69" s="521"/>
      <c r="E69" s="521"/>
      <c r="F69" s="522"/>
    </row>
    <row r="70" spans="1:6" x14ac:dyDescent="0.3">
      <c r="A70" s="259" t="str">
        <f ca="1">TranslationsHIV!$A$24</f>
        <v>Current national coverage</v>
      </c>
      <c r="B70" s="154"/>
      <c r="C70" s="154"/>
      <c r="D70" s="154"/>
      <c r="E70" s="154"/>
      <c r="F70" s="258"/>
    </row>
    <row r="71" spans="1:6" ht="45" customHeight="1" x14ac:dyDescent="0.3">
      <c r="A71" s="323" t="str">
        <f ca="1">TranslationsHIV!$A$25</f>
        <v>Insert latest results</v>
      </c>
      <c r="B71" s="87"/>
      <c r="C71" s="313" t="str">
        <f ca="1">TranslationsHIV!$A$26</f>
        <v>Year</v>
      </c>
      <c r="D71" s="18"/>
      <c r="E71" s="313" t="str">
        <f ca="1">TranslationsHIV!$A$27</f>
        <v>Data source</v>
      </c>
      <c r="F71" s="18"/>
    </row>
    <row r="72" spans="1:6" ht="45" customHeight="1" x14ac:dyDescent="0.3">
      <c r="A72" s="324" t="str">
        <f ca="1">TranslationsHIV!$A$28</f>
        <v>Comments</v>
      </c>
      <c r="B72" s="523"/>
      <c r="C72" s="524"/>
      <c r="D72" s="524"/>
      <c r="E72" s="524"/>
      <c r="F72" s="525"/>
    </row>
    <row r="73" spans="1:6" ht="45" customHeight="1" x14ac:dyDescent="0.3">
      <c r="A73" s="528"/>
      <c r="B73" s="530"/>
      <c r="C73" s="314" t="str">
        <f ca="1">TranslationsHIV!$A$29</f>
        <v>Year 1</v>
      </c>
      <c r="D73" s="314" t="str">
        <f ca="1">TranslationsHIV!$A$30</f>
        <v>Year 2</v>
      </c>
      <c r="E73" s="314" t="str">
        <f ca="1">TranslationsHIV!$A$31</f>
        <v>Year 3</v>
      </c>
      <c r="F73" s="526" t="str">
        <f ca="1">TranslationsHIV!$A$34</f>
        <v>Comments / Assumptions</v>
      </c>
    </row>
    <row r="74" spans="1:6" ht="45" customHeight="1" x14ac:dyDescent="0.3">
      <c r="A74" s="529"/>
      <c r="B74" s="531"/>
      <c r="C74" s="19" t="str">
        <f ca="1">TranslationsHIV!$A$33</f>
        <v>Insert year</v>
      </c>
      <c r="D74" s="19" t="str">
        <f ca="1">TranslationsHIV!$A$33</f>
        <v>Insert year</v>
      </c>
      <c r="E74" s="19" t="str">
        <f ca="1">TranslationsHIV!$A$33</f>
        <v>Insert year</v>
      </c>
      <c r="F74" s="527"/>
    </row>
    <row r="75" spans="1:6" x14ac:dyDescent="0.3">
      <c r="A75" s="259" t="str">
        <f ca="1">TranslationsHIV!$A$35</f>
        <v>Current estimated country need</v>
      </c>
      <c r="B75" s="154"/>
      <c r="C75" s="154"/>
      <c r="D75" s="154"/>
      <c r="E75" s="154"/>
      <c r="F75" s="258"/>
    </row>
    <row r="76" spans="1:6" ht="45" customHeight="1" x14ac:dyDescent="0.3">
      <c r="A76" s="325" t="str">
        <f ca="1">TranslationsTB!$A$25</f>
        <v>A. Total estimated population in need/at risk</v>
      </c>
      <c r="B76" s="204" t="s">
        <v>8</v>
      </c>
      <c r="C76" s="20"/>
      <c r="D76" s="20"/>
      <c r="E76" s="20"/>
      <c r="F76" s="311"/>
    </row>
    <row r="77" spans="1:6" ht="45" customHeight="1" x14ac:dyDescent="0.3">
      <c r="A77" s="512" t="str">
        <f ca="1">TranslationsHIV!$A$37</f>
        <v>B2. Country targets 
(from National Strategic Plan)</v>
      </c>
      <c r="B77" s="205" t="s">
        <v>8</v>
      </c>
      <c r="C77" s="20"/>
      <c r="D77" s="20"/>
      <c r="E77" s="20"/>
      <c r="F77" s="399"/>
    </row>
    <row r="78" spans="1:6" ht="45" customHeight="1" x14ac:dyDescent="0.3">
      <c r="A78" s="513"/>
      <c r="B78" s="205" t="s">
        <v>9</v>
      </c>
      <c r="C78" s="315" t="str">
        <f>IF(C77=0,"",+C77/C76)</f>
        <v/>
      </c>
      <c r="D78" s="315" t="str">
        <f t="shared" ref="D78:E78" si="2">IF(D77=0,"",+D77/D76)</f>
        <v/>
      </c>
      <c r="E78" s="315" t="str">
        <f t="shared" si="2"/>
        <v/>
      </c>
      <c r="F78" s="511"/>
    </row>
    <row r="79" spans="1:6" x14ac:dyDescent="0.3">
      <c r="A79" s="259" t="str">
        <f ca="1">TranslationsHIV!$A$38</f>
        <v>Country need to meet global targets already covered</v>
      </c>
      <c r="B79" s="154"/>
      <c r="C79" s="154"/>
      <c r="D79" s="154"/>
      <c r="E79" s="154"/>
      <c r="F79" s="258"/>
    </row>
    <row r="80" spans="1:6" ht="45" customHeight="1" x14ac:dyDescent="0.3">
      <c r="A80" s="512" t="str">
        <f ca="1">TranslationsHIV!$A$39</f>
        <v>C1. Global target planned to be covered by domestic resources</v>
      </c>
      <c r="B80" s="204" t="s">
        <v>8</v>
      </c>
      <c r="C80" s="139"/>
      <c r="D80" s="139"/>
      <c r="E80" s="139"/>
      <c r="F80" s="399"/>
    </row>
    <row r="81" spans="1:6" ht="45" customHeight="1" x14ac:dyDescent="0.3">
      <c r="A81" s="513"/>
      <c r="B81" s="204" t="s">
        <v>9</v>
      </c>
      <c r="C81" s="315" t="str">
        <f>IF(C80=0,"",+C80/C76)</f>
        <v/>
      </c>
      <c r="D81" s="315" t="str">
        <f>IF(D80=0,"",+D80/D76)</f>
        <v/>
      </c>
      <c r="E81" s="315" t="str">
        <f>IF(E80=0,"",+E80/E76)</f>
        <v/>
      </c>
      <c r="F81" s="511"/>
    </row>
    <row r="82" spans="1:6" ht="45" customHeight="1" x14ac:dyDescent="0.3">
      <c r="A82" s="512" t="str">
        <f ca="1">TranslationsHIV!$A$40</f>
        <v>C2. Global target planned to be covered by external resources</v>
      </c>
      <c r="B82" s="204" t="s">
        <v>8</v>
      </c>
      <c r="C82" s="139"/>
      <c r="D82" s="139"/>
      <c r="E82" s="139"/>
      <c r="F82" s="260"/>
    </row>
    <row r="83" spans="1:6" ht="45" customHeight="1" x14ac:dyDescent="0.3">
      <c r="A83" s="513"/>
      <c r="B83" s="204" t="s">
        <v>9</v>
      </c>
      <c r="C83" s="315" t="str">
        <f>IF(C82=0,"",+C82/C76)</f>
        <v/>
      </c>
      <c r="D83" s="315" t="str">
        <f>IF(D82=0,"",+D82/D76)</f>
        <v/>
      </c>
      <c r="E83" s="315" t="str">
        <f>IF(E82=0,"",+E82/E76)</f>
        <v/>
      </c>
      <c r="F83" s="260"/>
    </row>
    <row r="84" spans="1:6" ht="45" customHeight="1" x14ac:dyDescent="0.3">
      <c r="A84" s="512" t="str">
        <f ca="1">TranslationsHIV!$A$41</f>
        <v>C3. Total global target already covered</v>
      </c>
      <c r="B84" s="204" t="s">
        <v>8</v>
      </c>
      <c r="C84" s="316">
        <f>+C80+C82</f>
        <v>0</v>
      </c>
      <c r="D84" s="316">
        <f>+D80+D82</f>
        <v>0</v>
      </c>
      <c r="E84" s="316">
        <f>+E80+E82</f>
        <v>0</v>
      </c>
      <c r="F84" s="260"/>
    </row>
    <row r="85" spans="1:6" ht="45" customHeight="1" x14ac:dyDescent="0.3">
      <c r="A85" s="513"/>
      <c r="B85" s="204" t="s">
        <v>9</v>
      </c>
      <c r="C85" s="315" t="str">
        <f>IF(C84=0,"",+C84/C76)</f>
        <v/>
      </c>
      <c r="D85" s="315" t="str">
        <f>IF(D84=0,"",+D84/D76)</f>
        <v/>
      </c>
      <c r="E85" s="315" t="str">
        <f>IF(E84=0,"",+E84/E76)</f>
        <v/>
      </c>
      <c r="F85" s="260"/>
    </row>
    <row r="86" spans="1:6" x14ac:dyDescent="0.3">
      <c r="A86" s="259" t="str">
        <f ca="1">TranslationsHIV!$A$42</f>
        <v>Programmatic gap</v>
      </c>
      <c r="B86" s="154"/>
      <c r="C86" s="154"/>
      <c r="D86" s="154"/>
      <c r="E86" s="154"/>
      <c r="F86" s="258"/>
    </row>
    <row r="87" spans="1:6" ht="45" customHeight="1" x14ac:dyDescent="0.3">
      <c r="A87" s="509" t="str">
        <f ca="1">TranslationsHIV!$A$43</f>
        <v>D. Expected annual gap in meeting the need: B1 - C3</v>
      </c>
      <c r="B87" s="204" t="s">
        <v>8</v>
      </c>
      <c r="C87" s="317">
        <f>+C76-(C84)</f>
        <v>0</v>
      </c>
      <c r="D87" s="317">
        <f>+D76-(D84)</f>
        <v>0</v>
      </c>
      <c r="E87" s="317">
        <f>+E76-(E84)</f>
        <v>0</v>
      </c>
      <c r="F87" s="399"/>
    </row>
    <row r="88" spans="1:6" ht="45" customHeight="1" x14ac:dyDescent="0.3">
      <c r="A88" s="510"/>
      <c r="B88" s="204" t="s">
        <v>9</v>
      </c>
      <c r="C88" s="315" t="str">
        <f>IF(C87=0,"",+C87/C76)</f>
        <v/>
      </c>
      <c r="D88" s="315" t="str">
        <f>IF(D87=0,"",+D87/D76)</f>
        <v/>
      </c>
      <c r="E88" s="315" t="str">
        <f>IF(E87=0,"",+E87/E76)</f>
        <v/>
      </c>
      <c r="F88" s="511"/>
    </row>
    <row r="89" spans="1:6" x14ac:dyDescent="0.3">
      <c r="A89" s="259" t="str">
        <f ca="1">TranslationsHIV!$A$44</f>
        <v>Country need to meet global targets covered with the allocation amount</v>
      </c>
      <c r="B89" s="154"/>
      <c r="C89" s="154"/>
      <c r="D89" s="154"/>
      <c r="E89" s="154"/>
      <c r="F89" s="258"/>
    </row>
    <row r="90" spans="1:6" ht="45" customHeight="1" x14ac:dyDescent="0.3">
      <c r="A90" s="509" t="str">
        <f ca="1">TranslationsHIV!$A$45</f>
        <v>E. Targets to be financed by allocation amount</v>
      </c>
      <c r="B90" s="205" t="s">
        <v>8</v>
      </c>
      <c r="C90" s="139"/>
      <c r="D90" s="139"/>
      <c r="E90" s="139"/>
      <c r="F90" s="399"/>
    </row>
    <row r="91" spans="1:6" ht="45" customHeight="1" x14ac:dyDescent="0.3">
      <c r="A91" s="510"/>
      <c r="B91" s="205" t="s">
        <v>9</v>
      </c>
      <c r="C91" s="315" t="str">
        <f>IF(C90=0,"",+C90/C76)</f>
        <v/>
      </c>
      <c r="D91" s="315" t="str">
        <f>IF(D90=0,"",+D90/D76)</f>
        <v/>
      </c>
      <c r="E91" s="315" t="str">
        <f>IF(E90=0,"",+E90/E76)</f>
        <v/>
      </c>
      <c r="F91" s="511"/>
    </row>
    <row r="92" spans="1:6" ht="45" customHeight="1" x14ac:dyDescent="0.3">
      <c r="A92" s="509" t="str">
        <f ca="1">TranslationsHIV!$A$46</f>
        <v>F. Coverage from allocation amount and other resources: E + C3</v>
      </c>
      <c r="B92" s="205" t="s">
        <v>8</v>
      </c>
      <c r="C92" s="317">
        <f>+C90+C84</f>
        <v>0</v>
      </c>
      <c r="D92" s="317">
        <f>+D90+D84</f>
        <v>0</v>
      </c>
      <c r="E92" s="317">
        <f>+E90+E84</f>
        <v>0</v>
      </c>
      <c r="F92" s="399"/>
    </row>
    <row r="93" spans="1:6" ht="45" customHeight="1" x14ac:dyDescent="0.3">
      <c r="A93" s="510"/>
      <c r="B93" s="205" t="s">
        <v>9</v>
      </c>
      <c r="C93" s="315" t="str">
        <f>IF(C92=0,"",+C92/C76)</f>
        <v/>
      </c>
      <c r="D93" s="315" t="str">
        <f>IF(D92=0,"",+D92/D76)</f>
        <v/>
      </c>
      <c r="E93" s="315" t="str">
        <f>IF(E92=0,"",+E92/E76)</f>
        <v/>
      </c>
      <c r="F93" s="511"/>
    </row>
    <row r="94" spans="1:6" ht="45" customHeight="1" x14ac:dyDescent="0.3">
      <c r="A94" s="509" t="str">
        <f ca="1">TranslationsHIV!$A$47</f>
        <v xml:space="preserve">G. Remaining gap: B1 - F </v>
      </c>
      <c r="B94" s="205" t="s">
        <v>8</v>
      </c>
      <c r="C94" s="318">
        <f>+C76-(C92)</f>
        <v>0</v>
      </c>
      <c r="D94" s="318">
        <f>+D76-(D92)</f>
        <v>0</v>
      </c>
      <c r="E94" s="318">
        <f>+E76-(E92)</f>
        <v>0</v>
      </c>
      <c r="F94" s="399"/>
    </row>
    <row r="95" spans="1:6" ht="45" customHeight="1" x14ac:dyDescent="0.3">
      <c r="A95" s="510"/>
      <c r="B95" s="205" t="s">
        <v>9</v>
      </c>
      <c r="C95" s="319" t="str">
        <f>IF(C94=0,"",+C94/C76)</f>
        <v/>
      </c>
      <c r="D95" s="319" t="str">
        <f>IF(D94=0,"",+D94/D76)</f>
        <v/>
      </c>
      <c r="E95" s="319" t="str">
        <f>IF(E94=0,"",+E94/E76)</f>
        <v/>
      </c>
      <c r="F95" s="511"/>
    </row>
    <row r="96" spans="1:6" ht="17.149999999999999" customHeight="1" x14ac:dyDescent="0.3">
      <c r="A96" s="312"/>
      <c r="B96" s="312"/>
      <c r="C96" s="312"/>
      <c r="D96" s="312"/>
      <c r="E96" s="312"/>
      <c r="F96" s="312"/>
    </row>
    <row r="97" spans="1:6" ht="17.149999999999999" customHeight="1" x14ac:dyDescent="0.3">
      <c r="A97" s="312"/>
      <c r="B97" s="312"/>
      <c r="C97" s="312"/>
      <c r="D97" s="312"/>
      <c r="E97" s="312"/>
      <c r="F97" s="312"/>
    </row>
    <row r="98" spans="1:6" ht="45" customHeight="1" x14ac:dyDescent="0.3">
      <c r="A98" s="320" t="str">
        <f ca="1">TranslationsHIV!$A$21</f>
        <v>Priority Module</v>
      </c>
      <c r="B98" s="514"/>
      <c r="C98" s="515"/>
      <c r="D98" s="515"/>
      <c r="E98" s="515"/>
      <c r="F98" s="516"/>
    </row>
    <row r="99" spans="1:6" ht="45" customHeight="1" x14ac:dyDescent="0.3">
      <c r="A99" s="321" t="str">
        <f ca="1">TranslationsHIV!$A$22</f>
        <v>Selected coverage indicator</v>
      </c>
      <c r="B99" s="517"/>
      <c r="C99" s="518"/>
      <c r="D99" s="518"/>
      <c r="E99" s="518"/>
      <c r="F99" s="519"/>
    </row>
    <row r="100" spans="1:6" ht="45" customHeight="1" x14ac:dyDescent="0.3">
      <c r="A100" s="322" t="str">
        <f ca="1">TranslationsHIV!$A$23</f>
        <v>Target Population</v>
      </c>
      <c r="B100" s="520"/>
      <c r="C100" s="521"/>
      <c r="D100" s="521"/>
      <c r="E100" s="521"/>
      <c r="F100" s="522"/>
    </row>
    <row r="101" spans="1:6" ht="45" customHeight="1" x14ac:dyDescent="0.3">
      <c r="A101" s="259" t="str">
        <f ca="1">TranslationsHIV!$A$24</f>
        <v>Current national coverage</v>
      </c>
      <c r="B101" s="154"/>
      <c r="C101" s="154"/>
      <c r="D101" s="154"/>
      <c r="E101" s="154"/>
      <c r="F101" s="258"/>
    </row>
    <row r="102" spans="1:6" ht="45" customHeight="1" x14ac:dyDescent="0.3">
      <c r="A102" s="323" t="str">
        <f ca="1">TranslationsHIV!$A$25</f>
        <v>Insert latest results</v>
      </c>
      <c r="B102" s="87"/>
      <c r="C102" s="313" t="str">
        <f ca="1">TranslationsHIV!$A$26</f>
        <v>Year</v>
      </c>
      <c r="D102" s="18"/>
      <c r="E102" s="313" t="str">
        <f ca="1">TranslationsHIV!$A$27</f>
        <v>Data source</v>
      </c>
      <c r="F102" s="18"/>
    </row>
    <row r="103" spans="1:6" ht="45" customHeight="1" x14ac:dyDescent="0.3">
      <c r="A103" s="324" t="str">
        <f ca="1">TranslationsHIV!$A$28</f>
        <v>Comments</v>
      </c>
      <c r="B103" s="523"/>
      <c r="C103" s="524"/>
      <c r="D103" s="524"/>
      <c r="E103" s="524"/>
      <c r="F103" s="525"/>
    </row>
    <row r="104" spans="1:6" ht="45" customHeight="1" x14ac:dyDescent="0.3">
      <c r="A104" s="528"/>
      <c r="B104" s="530"/>
      <c r="C104" s="314" t="str">
        <f ca="1">TranslationsHIV!$A$29</f>
        <v>Year 1</v>
      </c>
      <c r="D104" s="314" t="str">
        <f ca="1">TranslationsHIV!$A$30</f>
        <v>Year 2</v>
      </c>
      <c r="E104" s="314" t="str">
        <f ca="1">TranslationsHIV!$A$31</f>
        <v>Year 3</v>
      </c>
      <c r="F104" s="526" t="str">
        <f ca="1">TranslationsHIV!$A$34</f>
        <v>Comments / Assumptions</v>
      </c>
    </row>
    <row r="105" spans="1:6" ht="45" customHeight="1" x14ac:dyDescent="0.3">
      <c r="A105" s="529"/>
      <c r="B105" s="531"/>
      <c r="C105" s="19" t="str">
        <f ca="1">TranslationsHIV!$A$33</f>
        <v>Insert year</v>
      </c>
      <c r="D105" s="19" t="str">
        <f ca="1">TranslationsHIV!$A$33</f>
        <v>Insert year</v>
      </c>
      <c r="E105" s="19" t="str">
        <f ca="1">TranslationsHIV!$A$33</f>
        <v>Insert year</v>
      </c>
      <c r="F105" s="527"/>
    </row>
    <row r="106" spans="1:6" x14ac:dyDescent="0.3">
      <c r="A106" s="259" t="str">
        <f ca="1">TranslationsHIV!$A$35</f>
        <v>Current estimated country need</v>
      </c>
      <c r="B106" s="154"/>
      <c r="C106" s="154"/>
      <c r="D106" s="154"/>
      <c r="E106" s="154"/>
      <c r="F106" s="258"/>
    </row>
    <row r="107" spans="1:6" ht="45" customHeight="1" x14ac:dyDescent="0.3">
      <c r="A107" s="325" t="str">
        <f ca="1">TranslationsTB!$A$25</f>
        <v>A. Total estimated population in need/at risk</v>
      </c>
      <c r="B107" s="204" t="s">
        <v>8</v>
      </c>
      <c r="C107" s="20"/>
      <c r="D107" s="20"/>
      <c r="E107" s="20"/>
      <c r="F107" s="311"/>
    </row>
    <row r="108" spans="1:6" ht="45" customHeight="1" x14ac:dyDescent="0.3">
      <c r="A108" s="512" t="str">
        <f ca="1">TranslationsHIV!$A$37</f>
        <v>B2. Country targets 
(from National Strategic Plan)</v>
      </c>
      <c r="B108" s="205" t="s">
        <v>8</v>
      </c>
      <c r="C108" s="20"/>
      <c r="D108" s="20"/>
      <c r="E108" s="20"/>
      <c r="F108" s="399"/>
    </row>
    <row r="109" spans="1:6" ht="45" customHeight="1" x14ac:dyDescent="0.3">
      <c r="A109" s="513"/>
      <c r="B109" s="205" t="s">
        <v>9</v>
      </c>
      <c r="C109" s="315" t="str">
        <f>IF(C108=0,"",+C108/C107)</f>
        <v/>
      </c>
      <c r="D109" s="315" t="str">
        <f t="shared" ref="D109:E109" si="3">IF(D108=0,"",+D108/D107)</f>
        <v/>
      </c>
      <c r="E109" s="315" t="str">
        <f t="shared" si="3"/>
        <v/>
      </c>
      <c r="F109" s="511"/>
    </row>
    <row r="110" spans="1:6" x14ac:dyDescent="0.3">
      <c r="A110" s="259" t="str">
        <f ca="1">TranslationsHIV!$A$38</f>
        <v>Country need to meet global targets already covered</v>
      </c>
      <c r="B110" s="154"/>
      <c r="C110" s="154"/>
      <c r="D110" s="154"/>
      <c r="E110" s="154"/>
      <c r="F110" s="258"/>
    </row>
    <row r="111" spans="1:6" ht="45" customHeight="1" x14ac:dyDescent="0.3">
      <c r="A111" s="512" t="str">
        <f ca="1">TranslationsHIV!$A$39</f>
        <v>C1. Global target planned to be covered by domestic resources</v>
      </c>
      <c r="B111" s="204" t="s">
        <v>8</v>
      </c>
      <c r="C111" s="139"/>
      <c r="D111" s="139"/>
      <c r="E111" s="139"/>
      <c r="F111" s="399"/>
    </row>
    <row r="112" spans="1:6" ht="45" customHeight="1" x14ac:dyDescent="0.3">
      <c r="A112" s="513"/>
      <c r="B112" s="204" t="s">
        <v>9</v>
      </c>
      <c r="C112" s="315" t="str">
        <f>IF(C111=0,"",+C111/C107)</f>
        <v/>
      </c>
      <c r="D112" s="315" t="str">
        <f>IF(D111=0,"",+D111/D107)</f>
        <v/>
      </c>
      <c r="E112" s="315" t="str">
        <f>IF(E111=0,"",+E111/E107)</f>
        <v/>
      </c>
      <c r="F112" s="511"/>
    </row>
    <row r="113" spans="1:6" ht="45" customHeight="1" x14ac:dyDescent="0.3">
      <c r="A113" s="512" t="str">
        <f ca="1">TranslationsHIV!$A$40</f>
        <v>C2. Global target planned to be covered by external resources</v>
      </c>
      <c r="B113" s="204" t="s">
        <v>8</v>
      </c>
      <c r="C113" s="139"/>
      <c r="D113" s="139"/>
      <c r="E113" s="139"/>
      <c r="F113" s="260"/>
    </row>
    <row r="114" spans="1:6" ht="45" customHeight="1" x14ac:dyDescent="0.3">
      <c r="A114" s="513"/>
      <c r="B114" s="204" t="s">
        <v>9</v>
      </c>
      <c r="C114" s="315" t="str">
        <f>IF(C113=0,"",+C113/C107)</f>
        <v/>
      </c>
      <c r="D114" s="315" t="str">
        <f>IF(D113=0,"",+D113/D107)</f>
        <v/>
      </c>
      <c r="E114" s="315" t="str">
        <f>IF(E113=0,"",+E113/E107)</f>
        <v/>
      </c>
      <c r="F114" s="260"/>
    </row>
    <row r="115" spans="1:6" ht="45" customHeight="1" x14ac:dyDescent="0.3">
      <c r="A115" s="512" t="str">
        <f ca="1">TranslationsHIV!$A$41</f>
        <v>C3. Total global target already covered</v>
      </c>
      <c r="B115" s="204" t="s">
        <v>8</v>
      </c>
      <c r="C115" s="316">
        <f>+C111+C113</f>
        <v>0</v>
      </c>
      <c r="D115" s="316">
        <f>+D111+D113</f>
        <v>0</v>
      </c>
      <c r="E115" s="316">
        <f>+E111+E113</f>
        <v>0</v>
      </c>
      <c r="F115" s="260"/>
    </row>
    <row r="116" spans="1:6" ht="45" customHeight="1" x14ac:dyDescent="0.3">
      <c r="A116" s="513"/>
      <c r="B116" s="204" t="s">
        <v>9</v>
      </c>
      <c r="C116" s="315" t="str">
        <f>IF(C115=0,"",+C115/C107)</f>
        <v/>
      </c>
      <c r="D116" s="315" t="str">
        <f>IF(D115=0,"",+D115/D107)</f>
        <v/>
      </c>
      <c r="E116" s="315" t="str">
        <f>IF(E115=0,"",+E115/E107)</f>
        <v/>
      </c>
      <c r="F116" s="260"/>
    </row>
    <row r="117" spans="1:6" x14ac:dyDescent="0.3">
      <c r="A117" s="259" t="str">
        <f ca="1">TranslationsHIV!$A$42</f>
        <v>Programmatic gap</v>
      </c>
      <c r="B117" s="154"/>
      <c r="C117" s="154"/>
      <c r="D117" s="154"/>
      <c r="E117" s="154"/>
      <c r="F117" s="258"/>
    </row>
    <row r="118" spans="1:6" ht="45" customHeight="1" x14ac:dyDescent="0.3">
      <c r="A118" s="509" t="str">
        <f ca="1">TranslationsHIV!$A$43</f>
        <v>D. Expected annual gap in meeting the need: B1 - C3</v>
      </c>
      <c r="B118" s="204" t="s">
        <v>8</v>
      </c>
      <c r="C118" s="317">
        <f>+C107-(C115)</f>
        <v>0</v>
      </c>
      <c r="D118" s="317">
        <f>+D107-(D115)</f>
        <v>0</v>
      </c>
      <c r="E118" s="317">
        <f>+E107-(E115)</f>
        <v>0</v>
      </c>
      <c r="F118" s="399"/>
    </row>
    <row r="119" spans="1:6" ht="45" customHeight="1" x14ac:dyDescent="0.3">
      <c r="A119" s="510"/>
      <c r="B119" s="204" t="s">
        <v>9</v>
      </c>
      <c r="C119" s="315" t="str">
        <f>IF(C118=0,"",+C118/C107)</f>
        <v/>
      </c>
      <c r="D119" s="315" t="str">
        <f>IF(D118=0,"",+D118/D107)</f>
        <v/>
      </c>
      <c r="E119" s="315" t="str">
        <f>IF(E118=0,"",+E118/E107)</f>
        <v/>
      </c>
      <c r="F119" s="511"/>
    </row>
    <row r="120" spans="1:6" x14ac:dyDescent="0.3">
      <c r="A120" s="259" t="str">
        <f ca="1">TranslationsHIV!$A$44</f>
        <v>Country need to meet global targets covered with the allocation amount</v>
      </c>
      <c r="B120" s="154"/>
      <c r="C120" s="154"/>
      <c r="D120" s="154"/>
      <c r="E120" s="154"/>
      <c r="F120" s="258"/>
    </row>
    <row r="121" spans="1:6" ht="45" customHeight="1" x14ac:dyDescent="0.3">
      <c r="A121" s="509" t="str">
        <f ca="1">TranslationsHIV!$A$45</f>
        <v>E. Targets to be financed by allocation amount</v>
      </c>
      <c r="B121" s="205" t="s">
        <v>8</v>
      </c>
      <c r="C121" s="139"/>
      <c r="D121" s="139"/>
      <c r="E121" s="139"/>
      <c r="F121" s="399"/>
    </row>
    <row r="122" spans="1:6" ht="45" customHeight="1" x14ac:dyDescent="0.3">
      <c r="A122" s="510"/>
      <c r="B122" s="205" t="s">
        <v>9</v>
      </c>
      <c r="C122" s="315" t="str">
        <f>IF(C121=0,"",+C121/C107)</f>
        <v/>
      </c>
      <c r="D122" s="315" t="str">
        <f>IF(D121=0,"",+D121/D107)</f>
        <v/>
      </c>
      <c r="E122" s="315" t="str">
        <f>IF(E121=0,"",+E121/E107)</f>
        <v/>
      </c>
      <c r="F122" s="511"/>
    </row>
    <row r="123" spans="1:6" ht="45" customHeight="1" x14ac:dyDescent="0.3">
      <c r="A123" s="509" t="str">
        <f ca="1">TranslationsHIV!$A$46</f>
        <v>F. Coverage from allocation amount and other resources: E + C3</v>
      </c>
      <c r="B123" s="205" t="s">
        <v>8</v>
      </c>
      <c r="C123" s="317">
        <f>+C121+C115</f>
        <v>0</v>
      </c>
      <c r="D123" s="317">
        <f>+D121+D115</f>
        <v>0</v>
      </c>
      <c r="E123" s="317">
        <f>+E121+E115</f>
        <v>0</v>
      </c>
      <c r="F123" s="399"/>
    </row>
    <row r="124" spans="1:6" ht="45" customHeight="1" x14ac:dyDescent="0.3">
      <c r="A124" s="510"/>
      <c r="B124" s="205" t="s">
        <v>9</v>
      </c>
      <c r="C124" s="315" t="str">
        <f>IF(C123=0,"",+C123/C107)</f>
        <v/>
      </c>
      <c r="D124" s="315" t="str">
        <f>IF(D123=0,"",+D123/D107)</f>
        <v/>
      </c>
      <c r="E124" s="315" t="str">
        <f>IF(E123=0,"",+E123/E107)</f>
        <v/>
      </c>
      <c r="F124" s="511"/>
    </row>
    <row r="125" spans="1:6" ht="45" customHeight="1" x14ac:dyDescent="0.3">
      <c r="A125" s="509" t="str">
        <f ca="1">TranslationsHIV!$A$47</f>
        <v xml:space="preserve">G. Remaining gap: B1 - F </v>
      </c>
      <c r="B125" s="205" t="s">
        <v>8</v>
      </c>
      <c r="C125" s="318">
        <f>+C107-(C123)</f>
        <v>0</v>
      </c>
      <c r="D125" s="318">
        <f>+D107-(D123)</f>
        <v>0</v>
      </c>
      <c r="E125" s="318">
        <f>+E107-(E123)</f>
        <v>0</v>
      </c>
      <c r="F125" s="399"/>
    </row>
    <row r="126" spans="1:6" ht="45" customHeight="1" x14ac:dyDescent="0.3">
      <c r="A126" s="510"/>
      <c r="B126" s="205" t="s">
        <v>9</v>
      </c>
      <c r="C126" s="319" t="str">
        <f>IF(C125=0,"",+C125/C107)</f>
        <v/>
      </c>
      <c r="D126" s="319" t="str">
        <f>IF(D125=0,"",+D125/D107)</f>
        <v/>
      </c>
      <c r="E126" s="319" t="str">
        <f>IF(E125=0,"",+E125/E107)</f>
        <v/>
      </c>
      <c r="F126" s="511"/>
    </row>
    <row r="127" spans="1:6" ht="15" customHeight="1" x14ac:dyDescent="0.3">
      <c r="A127" s="312"/>
      <c r="B127" s="312"/>
      <c r="C127" s="312"/>
      <c r="D127" s="312"/>
      <c r="E127" s="312"/>
      <c r="F127" s="312"/>
    </row>
    <row r="128" spans="1:6" ht="15" customHeight="1" x14ac:dyDescent="0.3">
      <c r="A128" s="312"/>
      <c r="B128" s="312"/>
      <c r="C128" s="312"/>
      <c r="D128" s="312"/>
      <c r="E128" s="312"/>
      <c r="F128" s="312"/>
    </row>
    <row r="129" spans="1:6" ht="45" customHeight="1" x14ac:dyDescent="0.3">
      <c r="A129" s="320" t="str">
        <f ca="1">TranslationsHIV!$A$21</f>
        <v>Priority Module</v>
      </c>
      <c r="B129" s="514"/>
      <c r="C129" s="515"/>
      <c r="D129" s="515"/>
      <c r="E129" s="515"/>
      <c r="F129" s="516"/>
    </row>
    <row r="130" spans="1:6" ht="45" customHeight="1" x14ac:dyDescent="0.3">
      <c r="A130" s="321" t="str">
        <f ca="1">TranslationsHIV!$A$22</f>
        <v>Selected coverage indicator</v>
      </c>
      <c r="B130" s="517"/>
      <c r="C130" s="518"/>
      <c r="D130" s="518"/>
      <c r="E130" s="518"/>
      <c r="F130" s="519"/>
    </row>
    <row r="131" spans="1:6" ht="45" customHeight="1" x14ac:dyDescent="0.3">
      <c r="A131" s="322" t="str">
        <f ca="1">TranslationsHIV!$A$23</f>
        <v>Target Population</v>
      </c>
      <c r="B131" s="520"/>
      <c r="C131" s="521"/>
      <c r="D131" s="521"/>
      <c r="E131" s="521"/>
      <c r="F131" s="522"/>
    </row>
    <row r="132" spans="1:6" x14ac:dyDescent="0.3">
      <c r="A132" s="259" t="str">
        <f ca="1">TranslationsHIV!$A$24</f>
        <v>Current national coverage</v>
      </c>
      <c r="B132" s="154"/>
      <c r="C132" s="154"/>
      <c r="D132" s="154"/>
      <c r="E132" s="154"/>
      <c r="F132" s="258"/>
    </row>
    <row r="133" spans="1:6" ht="45" customHeight="1" x14ac:dyDescent="0.3">
      <c r="A133" s="323" t="str">
        <f ca="1">TranslationsHIV!$A$25</f>
        <v>Insert latest results</v>
      </c>
      <c r="B133" s="87"/>
      <c r="C133" s="313" t="str">
        <f ca="1">TranslationsHIV!$A$26</f>
        <v>Year</v>
      </c>
      <c r="D133" s="18"/>
      <c r="E133" s="313" t="str">
        <f ca="1">TranslationsHIV!$A$27</f>
        <v>Data source</v>
      </c>
      <c r="F133" s="18"/>
    </row>
    <row r="134" spans="1:6" ht="45" customHeight="1" x14ac:dyDescent="0.3">
      <c r="A134" s="324" t="str">
        <f ca="1">TranslationsHIV!$A$28</f>
        <v>Comments</v>
      </c>
      <c r="B134" s="523"/>
      <c r="C134" s="524"/>
      <c r="D134" s="524"/>
      <c r="E134" s="524"/>
      <c r="F134" s="525"/>
    </row>
    <row r="135" spans="1:6" ht="45" customHeight="1" x14ac:dyDescent="0.3">
      <c r="A135" s="528"/>
      <c r="B135" s="530"/>
      <c r="C135" s="314" t="str">
        <f ca="1">TranslationsHIV!$A$29</f>
        <v>Year 1</v>
      </c>
      <c r="D135" s="314" t="str">
        <f ca="1">TranslationsHIV!$A$30</f>
        <v>Year 2</v>
      </c>
      <c r="E135" s="314" t="str">
        <f ca="1">TranslationsHIV!$A$31</f>
        <v>Year 3</v>
      </c>
      <c r="F135" s="526" t="str">
        <f ca="1">TranslationsHIV!$A$34</f>
        <v>Comments / Assumptions</v>
      </c>
    </row>
    <row r="136" spans="1:6" ht="45" customHeight="1" x14ac:dyDescent="0.3">
      <c r="A136" s="529"/>
      <c r="B136" s="531"/>
      <c r="C136" s="19" t="str">
        <f ca="1">TranslationsHIV!$A$33</f>
        <v>Insert year</v>
      </c>
      <c r="D136" s="19" t="str">
        <f ca="1">TranslationsHIV!$A$33</f>
        <v>Insert year</v>
      </c>
      <c r="E136" s="19" t="str">
        <f ca="1">TranslationsHIV!$A$33</f>
        <v>Insert year</v>
      </c>
      <c r="F136" s="527"/>
    </row>
    <row r="137" spans="1:6" ht="21" customHeight="1" x14ac:dyDescent="0.3">
      <c r="A137" s="259" t="str">
        <f ca="1">TranslationsHIV!$A$35</f>
        <v>Current estimated country need</v>
      </c>
      <c r="B137" s="154"/>
      <c r="C137" s="154"/>
      <c r="D137" s="154"/>
      <c r="E137" s="154"/>
      <c r="F137" s="258"/>
    </row>
    <row r="138" spans="1:6" ht="45" customHeight="1" x14ac:dyDescent="0.3">
      <c r="A138" s="325" t="str">
        <f ca="1">TranslationsTB!$A$25</f>
        <v>A. Total estimated population in need/at risk</v>
      </c>
      <c r="B138" s="204" t="s">
        <v>8</v>
      </c>
      <c r="C138" s="20"/>
      <c r="D138" s="20"/>
      <c r="E138" s="20"/>
      <c r="F138" s="311"/>
    </row>
    <row r="139" spans="1:6" ht="45" customHeight="1" x14ac:dyDescent="0.3">
      <c r="A139" s="512" t="str">
        <f ca="1">TranslationsHIV!$A$37</f>
        <v>B2. Country targets 
(from National Strategic Plan)</v>
      </c>
      <c r="B139" s="205" t="s">
        <v>8</v>
      </c>
      <c r="C139" s="20"/>
      <c r="D139" s="20"/>
      <c r="E139" s="20"/>
      <c r="F139" s="399"/>
    </row>
    <row r="140" spans="1:6" ht="45" customHeight="1" x14ac:dyDescent="0.3">
      <c r="A140" s="513"/>
      <c r="B140" s="205" t="s">
        <v>9</v>
      </c>
      <c r="C140" s="315" t="str">
        <f>IF(C139=0,"",+C139/C138)</f>
        <v/>
      </c>
      <c r="D140" s="315" t="str">
        <f t="shared" ref="D140:E140" si="4">IF(D139=0,"",+D139/D138)</f>
        <v/>
      </c>
      <c r="E140" s="315" t="str">
        <f t="shared" si="4"/>
        <v/>
      </c>
      <c r="F140" s="511"/>
    </row>
    <row r="141" spans="1:6" x14ac:dyDescent="0.3">
      <c r="A141" s="259" t="str">
        <f ca="1">TranslationsHIV!$A$38</f>
        <v>Country need to meet global targets already covered</v>
      </c>
      <c r="B141" s="154"/>
      <c r="C141" s="154"/>
      <c r="D141" s="154"/>
      <c r="E141" s="154"/>
      <c r="F141" s="258"/>
    </row>
    <row r="142" spans="1:6" ht="45" customHeight="1" x14ac:dyDescent="0.3">
      <c r="A142" s="512" t="str">
        <f ca="1">TranslationsHIV!$A$39</f>
        <v>C1. Global target planned to be covered by domestic resources</v>
      </c>
      <c r="B142" s="204" t="s">
        <v>8</v>
      </c>
      <c r="C142" s="139"/>
      <c r="D142" s="139"/>
      <c r="E142" s="139"/>
      <c r="F142" s="399"/>
    </row>
    <row r="143" spans="1:6" ht="45" customHeight="1" x14ac:dyDescent="0.3">
      <c r="A143" s="513"/>
      <c r="B143" s="204" t="s">
        <v>9</v>
      </c>
      <c r="C143" s="315" t="str">
        <f>IF(C142=0,"",+C142/C138)</f>
        <v/>
      </c>
      <c r="D143" s="315" t="str">
        <f>IF(D142=0,"",+D142/D138)</f>
        <v/>
      </c>
      <c r="E143" s="315" t="str">
        <f>IF(E142=0,"",+E142/E138)</f>
        <v/>
      </c>
      <c r="F143" s="511"/>
    </row>
    <row r="144" spans="1:6" ht="45" customHeight="1" x14ac:dyDescent="0.3">
      <c r="A144" s="512" t="str">
        <f ca="1">TranslationsHIV!$A$40</f>
        <v>C2. Global target planned to be covered by external resources</v>
      </c>
      <c r="B144" s="204" t="s">
        <v>8</v>
      </c>
      <c r="C144" s="139"/>
      <c r="D144" s="139"/>
      <c r="E144" s="139"/>
      <c r="F144" s="260"/>
    </row>
    <row r="145" spans="1:6" ht="45" customHeight="1" x14ac:dyDescent="0.3">
      <c r="A145" s="513"/>
      <c r="B145" s="204" t="s">
        <v>9</v>
      </c>
      <c r="C145" s="315" t="str">
        <f>IF(C144=0,"",+C144/C138)</f>
        <v/>
      </c>
      <c r="D145" s="315" t="str">
        <f>IF(D144=0,"",+D144/D138)</f>
        <v/>
      </c>
      <c r="E145" s="315" t="str">
        <f>IF(E144=0,"",+E144/E138)</f>
        <v/>
      </c>
      <c r="F145" s="260"/>
    </row>
    <row r="146" spans="1:6" ht="45" customHeight="1" x14ac:dyDescent="0.3">
      <c r="A146" s="512" t="str">
        <f ca="1">TranslationsHIV!$A$41</f>
        <v>C3. Total global target already covered</v>
      </c>
      <c r="B146" s="204" t="s">
        <v>8</v>
      </c>
      <c r="C146" s="316">
        <f>+C142+C144</f>
        <v>0</v>
      </c>
      <c r="D146" s="316">
        <f>+D142+D144</f>
        <v>0</v>
      </c>
      <c r="E146" s="316">
        <f>+E142+E144</f>
        <v>0</v>
      </c>
      <c r="F146" s="260"/>
    </row>
    <row r="147" spans="1:6" ht="45" customHeight="1" x14ac:dyDescent="0.3">
      <c r="A147" s="513"/>
      <c r="B147" s="204" t="s">
        <v>9</v>
      </c>
      <c r="C147" s="315" t="str">
        <f>IF(C146=0,"",+C146/C138)</f>
        <v/>
      </c>
      <c r="D147" s="315" t="str">
        <f>IF(D146=0,"",+D146/D138)</f>
        <v/>
      </c>
      <c r="E147" s="315" t="str">
        <f>IF(E146=0,"",+E146/E138)</f>
        <v/>
      </c>
      <c r="F147" s="260"/>
    </row>
    <row r="148" spans="1:6" x14ac:dyDescent="0.3">
      <c r="A148" s="259" t="str">
        <f ca="1">TranslationsHIV!$A$42</f>
        <v>Programmatic gap</v>
      </c>
      <c r="B148" s="154"/>
      <c r="C148" s="154"/>
      <c r="D148" s="154"/>
      <c r="E148" s="154"/>
      <c r="F148" s="258"/>
    </row>
    <row r="149" spans="1:6" ht="45" customHeight="1" x14ac:dyDescent="0.3">
      <c r="A149" s="509" t="str">
        <f ca="1">TranslationsHIV!$A$43</f>
        <v>D. Expected annual gap in meeting the need: B1 - C3</v>
      </c>
      <c r="B149" s="204" t="s">
        <v>8</v>
      </c>
      <c r="C149" s="317">
        <f>+C138-(C146)</f>
        <v>0</v>
      </c>
      <c r="D149" s="317">
        <f>+D138-(D146)</f>
        <v>0</v>
      </c>
      <c r="E149" s="317">
        <f>+E138-(E146)</f>
        <v>0</v>
      </c>
      <c r="F149" s="399"/>
    </row>
    <row r="150" spans="1:6" ht="45" customHeight="1" x14ac:dyDescent="0.3">
      <c r="A150" s="510"/>
      <c r="B150" s="204" t="s">
        <v>9</v>
      </c>
      <c r="C150" s="315" t="str">
        <f>IF(C149=0,"",+C149/C138)</f>
        <v/>
      </c>
      <c r="D150" s="315" t="str">
        <f>IF(D149=0,"",+D149/D138)</f>
        <v/>
      </c>
      <c r="E150" s="315" t="str">
        <f>IF(E149=0,"",+E149/E138)</f>
        <v/>
      </c>
      <c r="F150" s="511"/>
    </row>
    <row r="151" spans="1:6" x14ac:dyDescent="0.3">
      <c r="A151" s="259" t="str">
        <f ca="1">TranslationsHIV!$A$44</f>
        <v>Country need to meet global targets covered with the allocation amount</v>
      </c>
      <c r="B151" s="154"/>
      <c r="C151" s="154"/>
      <c r="D151" s="154"/>
      <c r="E151" s="154"/>
      <c r="F151" s="258"/>
    </row>
    <row r="152" spans="1:6" ht="45" customHeight="1" x14ac:dyDescent="0.3">
      <c r="A152" s="509" t="str">
        <f ca="1">TranslationsHIV!$A$45</f>
        <v>E. Targets to be financed by allocation amount</v>
      </c>
      <c r="B152" s="205" t="s">
        <v>8</v>
      </c>
      <c r="C152" s="139"/>
      <c r="D152" s="139"/>
      <c r="E152" s="139"/>
      <c r="F152" s="399"/>
    </row>
    <row r="153" spans="1:6" ht="45" customHeight="1" x14ac:dyDescent="0.3">
      <c r="A153" s="510"/>
      <c r="B153" s="205" t="s">
        <v>9</v>
      </c>
      <c r="C153" s="315" t="str">
        <f>IF(C152=0,"",+C152/C138)</f>
        <v/>
      </c>
      <c r="D153" s="315" t="str">
        <f>IF(D152=0,"",+D152/D138)</f>
        <v/>
      </c>
      <c r="E153" s="315" t="str">
        <f>IF(E152=0,"",+E152/E138)</f>
        <v/>
      </c>
      <c r="F153" s="511"/>
    </row>
    <row r="154" spans="1:6" ht="45" customHeight="1" x14ac:dyDescent="0.3">
      <c r="A154" s="509" t="str">
        <f ca="1">TranslationsHIV!$A$46</f>
        <v>F. Coverage from allocation amount and other resources: E + C3</v>
      </c>
      <c r="B154" s="205" t="s">
        <v>8</v>
      </c>
      <c r="C154" s="317">
        <f>+C152+C146</f>
        <v>0</v>
      </c>
      <c r="D154" s="317">
        <f>+D152+D146</f>
        <v>0</v>
      </c>
      <c r="E154" s="317">
        <f>+E152+E146</f>
        <v>0</v>
      </c>
      <c r="F154" s="399"/>
    </row>
    <row r="155" spans="1:6" ht="45" customHeight="1" x14ac:dyDescent="0.3">
      <c r="A155" s="510"/>
      <c r="B155" s="205" t="s">
        <v>9</v>
      </c>
      <c r="C155" s="315" t="str">
        <f>IF(C154=0,"",+C154/C138)</f>
        <v/>
      </c>
      <c r="D155" s="315" t="str">
        <f>IF(D154=0,"",+D154/D138)</f>
        <v/>
      </c>
      <c r="E155" s="315" t="str">
        <f>IF(E154=0,"",+E154/E138)</f>
        <v/>
      </c>
      <c r="F155" s="511"/>
    </row>
    <row r="156" spans="1:6" ht="45" customHeight="1" x14ac:dyDescent="0.3">
      <c r="A156" s="509" t="str">
        <f ca="1">TranslationsHIV!$A$47</f>
        <v xml:space="preserve">G. Remaining gap: B1 - F </v>
      </c>
      <c r="B156" s="205" t="s">
        <v>8</v>
      </c>
      <c r="C156" s="318">
        <f>+C138-(C154)</f>
        <v>0</v>
      </c>
      <c r="D156" s="318">
        <f>+D138-(D154)</f>
        <v>0</v>
      </c>
      <c r="E156" s="318">
        <f>+E138-(E154)</f>
        <v>0</v>
      </c>
      <c r="F156" s="399"/>
    </row>
    <row r="157" spans="1:6" ht="45" customHeight="1" x14ac:dyDescent="0.3">
      <c r="A157" s="510"/>
      <c r="B157" s="205" t="s">
        <v>9</v>
      </c>
      <c r="C157" s="319" t="str">
        <f>IF(C156=0,"",+C156/C138)</f>
        <v/>
      </c>
      <c r="D157" s="319" t="str">
        <f>IF(D156=0,"",+D156/D138)</f>
        <v/>
      </c>
      <c r="E157" s="319" t="str">
        <f>IF(E156=0,"",+E156/E138)</f>
        <v/>
      </c>
      <c r="F157" s="511"/>
    </row>
    <row r="158" spans="1:6" ht="16.5" customHeight="1" x14ac:dyDescent="0.3">
      <c r="A158" s="312"/>
      <c r="B158" s="312"/>
      <c r="C158" s="312"/>
      <c r="D158" s="312"/>
      <c r="E158" s="312"/>
      <c r="F158" s="312"/>
    </row>
    <row r="159" spans="1:6" ht="16.5" customHeight="1" x14ac:dyDescent="0.3">
      <c r="A159" s="312"/>
      <c r="B159" s="312"/>
      <c r="C159" s="312"/>
      <c r="D159" s="312"/>
      <c r="E159" s="312"/>
      <c r="F159" s="312"/>
    </row>
    <row r="160" spans="1:6" ht="45" customHeight="1" x14ac:dyDescent="0.3">
      <c r="A160" s="320" t="str">
        <f ca="1">TranslationsHIV!$A$21</f>
        <v>Priority Module</v>
      </c>
      <c r="B160" s="514"/>
      <c r="C160" s="515"/>
      <c r="D160" s="515"/>
      <c r="E160" s="515"/>
      <c r="F160" s="516"/>
    </row>
    <row r="161" spans="1:6" ht="45" customHeight="1" x14ac:dyDescent="0.3">
      <c r="A161" s="321" t="str">
        <f ca="1">TranslationsHIV!$A$22</f>
        <v>Selected coverage indicator</v>
      </c>
      <c r="B161" s="517"/>
      <c r="C161" s="518"/>
      <c r="D161" s="518"/>
      <c r="E161" s="518"/>
      <c r="F161" s="519"/>
    </row>
    <row r="162" spans="1:6" ht="45" customHeight="1" x14ac:dyDescent="0.3">
      <c r="A162" s="322" t="str">
        <f ca="1">TranslationsHIV!$A$23</f>
        <v>Target Population</v>
      </c>
      <c r="B162" s="520"/>
      <c r="C162" s="521"/>
      <c r="D162" s="521"/>
      <c r="E162" s="521"/>
      <c r="F162" s="522"/>
    </row>
    <row r="163" spans="1:6" x14ac:dyDescent="0.3">
      <c r="A163" s="259" t="str">
        <f ca="1">TranslationsHIV!$A$24</f>
        <v>Current national coverage</v>
      </c>
      <c r="B163" s="154"/>
      <c r="C163" s="154"/>
      <c r="D163" s="154"/>
      <c r="E163" s="154"/>
      <c r="F163" s="258"/>
    </row>
    <row r="164" spans="1:6" ht="45" customHeight="1" x14ac:dyDescent="0.3">
      <c r="A164" s="323" t="str">
        <f ca="1">TranslationsHIV!$A$25</f>
        <v>Insert latest results</v>
      </c>
      <c r="B164" s="87"/>
      <c r="C164" s="313" t="str">
        <f ca="1">TranslationsHIV!$A$26</f>
        <v>Year</v>
      </c>
      <c r="D164" s="18"/>
      <c r="E164" s="313" t="str">
        <f ca="1">TranslationsHIV!$A$27</f>
        <v>Data source</v>
      </c>
      <c r="F164" s="18"/>
    </row>
    <row r="165" spans="1:6" ht="45" customHeight="1" x14ac:dyDescent="0.3">
      <c r="A165" s="324" t="str">
        <f ca="1">TranslationsHIV!$A$28</f>
        <v>Comments</v>
      </c>
      <c r="B165" s="523"/>
      <c r="C165" s="524"/>
      <c r="D165" s="524"/>
      <c r="E165" s="524"/>
      <c r="F165" s="525"/>
    </row>
    <row r="166" spans="1:6" ht="45" customHeight="1" x14ac:dyDescent="0.3">
      <c r="A166" s="528"/>
      <c r="B166" s="530"/>
      <c r="C166" s="314" t="str">
        <f ca="1">TranslationsHIV!$A$29</f>
        <v>Year 1</v>
      </c>
      <c r="D166" s="314" t="str">
        <f ca="1">TranslationsHIV!$A$30</f>
        <v>Year 2</v>
      </c>
      <c r="E166" s="314" t="str">
        <f ca="1">TranslationsHIV!$A$31</f>
        <v>Year 3</v>
      </c>
      <c r="F166" s="526" t="str">
        <f ca="1">TranslationsHIV!$A$34</f>
        <v>Comments / Assumptions</v>
      </c>
    </row>
    <row r="167" spans="1:6" ht="45" customHeight="1" x14ac:dyDescent="0.3">
      <c r="A167" s="529"/>
      <c r="B167" s="531"/>
      <c r="C167" s="19" t="str">
        <f ca="1">TranslationsHIV!$A$33</f>
        <v>Insert year</v>
      </c>
      <c r="D167" s="19" t="str">
        <f ca="1">TranslationsHIV!$A$33</f>
        <v>Insert year</v>
      </c>
      <c r="E167" s="19" t="str">
        <f ca="1">TranslationsHIV!$A$33</f>
        <v>Insert year</v>
      </c>
      <c r="F167" s="527"/>
    </row>
    <row r="168" spans="1:6" x14ac:dyDescent="0.3">
      <c r="A168" s="259" t="str">
        <f ca="1">TranslationsHIV!$A$35</f>
        <v>Current estimated country need</v>
      </c>
      <c r="B168" s="154"/>
      <c r="C168" s="154"/>
      <c r="D168" s="154"/>
      <c r="E168" s="154"/>
      <c r="F168" s="258"/>
    </row>
    <row r="169" spans="1:6" ht="45" customHeight="1" x14ac:dyDescent="0.3">
      <c r="A169" s="325" t="str">
        <f ca="1">TranslationsTB!$A$25</f>
        <v>A. Total estimated population in need/at risk</v>
      </c>
      <c r="B169" s="204" t="s">
        <v>8</v>
      </c>
      <c r="C169" s="20"/>
      <c r="D169" s="20"/>
      <c r="E169" s="20"/>
      <c r="F169" s="311"/>
    </row>
    <row r="170" spans="1:6" ht="45" customHeight="1" x14ac:dyDescent="0.3">
      <c r="A170" s="512" t="str">
        <f ca="1">TranslationsHIV!$A$37</f>
        <v>B2. Country targets 
(from National Strategic Plan)</v>
      </c>
      <c r="B170" s="205" t="s">
        <v>8</v>
      </c>
      <c r="C170" s="20"/>
      <c r="D170" s="20"/>
      <c r="E170" s="20"/>
      <c r="F170" s="399"/>
    </row>
    <row r="171" spans="1:6" ht="45" customHeight="1" x14ac:dyDescent="0.3">
      <c r="A171" s="513"/>
      <c r="B171" s="205" t="s">
        <v>9</v>
      </c>
      <c r="C171" s="315" t="str">
        <f>IF(C170=0,"",+C170/C169)</f>
        <v/>
      </c>
      <c r="D171" s="315" t="str">
        <f t="shared" ref="D171:E171" si="5">IF(D170=0,"",+D170/D169)</f>
        <v/>
      </c>
      <c r="E171" s="315" t="str">
        <f t="shared" si="5"/>
        <v/>
      </c>
      <c r="F171" s="511"/>
    </row>
    <row r="172" spans="1:6" x14ac:dyDescent="0.3">
      <c r="A172" s="259" t="str">
        <f ca="1">TranslationsHIV!$A$38</f>
        <v>Country need to meet global targets already covered</v>
      </c>
      <c r="B172" s="154"/>
      <c r="C172" s="154"/>
      <c r="D172" s="154"/>
      <c r="E172" s="154"/>
      <c r="F172" s="258"/>
    </row>
    <row r="173" spans="1:6" ht="45" customHeight="1" x14ac:dyDescent="0.3">
      <c r="A173" s="512" t="str">
        <f ca="1">TranslationsHIV!$A$39</f>
        <v>C1. Global target planned to be covered by domestic resources</v>
      </c>
      <c r="B173" s="204" t="s">
        <v>8</v>
      </c>
      <c r="C173" s="139"/>
      <c r="D173" s="139"/>
      <c r="E173" s="139"/>
      <c r="F173" s="399"/>
    </row>
    <row r="174" spans="1:6" ht="45" customHeight="1" x14ac:dyDescent="0.3">
      <c r="A174" s="513"/>
      <c r="B174" s="204" t="s">
        <v>9</v>
      </c>
      <c r="C174" s="315" t="str">
        <f>IF(C173=0,"",+C173/C169)</f>
        <v/>
      </c>
      <c r="D174" s="315" t="str">
        <f>IF(D173=0,"",+D173/D169)</f>
        <v/>
      </c>
      <c r="E174" s="315" t="str">
        <f>IF(E173=0,"",+E173/E169)</f>
        <v/>
      </c>
      <c r="F174" s="511"/>
    </row>
    <row r="175" spans="1:6" ht="45" customHeight="1" x14ac:dyDescent="0.3">
      <c r="A175" s="512" t="str">
        <f ca="1">TranslationsHIV!$A$40</f>
        <v>C2. Global target planned to be covered by external resources</v>
      </c>
      <c r="B175" s="204" t="s">
        <v>8</v>
      </c>
      <c r="C175" s="139"/>
      <c r="D175" s="139"/>
      <c r="E175" s="139"/>
      <c r="F175" s="260"/>
    </row>
    <row r="176" spans="1:6" ht="45" customHeight="1" x14ac:dyDescent="0.3">
      <c r="A176" s="513"/>
      <c r="B176" s="204" t="s">
        <v>9</v>
      </c>
      <c r="C176" s="315" t="str">
        <f>IF(C175=0,"",+C175/C169)</f>
        <v/>
      </c>
      <c r="D176" s="315" t="str">
        <f>IF(D175=0,"",+D175/D169)</f>
        <v/>
      </c>
      <c r="E176" s="315" t="str">
        <f>IF(E175=0,"",+E175/E169)</f>
        <v/>
      </c>
      <c r="F176" s="260"/>
    </row>
    <row r="177" spans="1:6" ht="45" customHeight="1" x14ac:dyDescent="0.3">
      <c r="A177" s="512" t="str">
        <f ca="1">TranslationsHIV!$A$41</f>
        <v>C3. Total global target already covered</v>
      </c>
      <c r="B177" s="204" t="s">
        <v>8</v>
      </c>
      <c r="C177" s="316">
        <f>+C173+C175</f>
        <v>0</v>
      </c>
      <c r="D177" s="316">
        <f>+D173+D175</f>
        <v>0</v>
      </c>
      <c r="E177" s="316">
        <f>+E173+E175</f>
        <v>0</v>
      </c>
      <c r="F177" s="260"/>
    </row>
    <row r="178" spans="1:6" ht="45" customHeight="1" x14ac:dyDescent="0.3">
      <c r="A178" s="513"/>
      <c r="B178" s="204" t="s">
        <v>9</v>
      </c>
      <c r="C178" s="315" t="str">
        <f>IF(C177=0,"",+C177/C169)</f>
        <v/>
      </c>
      <c r="D178" s="315" t="str">
        <f>IF(D177=0,"",+D177/D169)</f>
        <v/>
      </c>
      <c r="E178" s="315" t="str">
        <f>IF(E177=0,"",+E177/E169)</f>
        <v/>
      </c>
      <c r="F178" s="260"/>
    </row>
    <row r="179" spans="1:6" x14ac:dyDescent="0.3">
      <c r="A179" s="259" t="str">
        <f ca="1">TranslationsHIV!$A$42</f>
        <v>Programmatic gap</v>
      </c>
      <c r="B179" s="154"/>
      <c r="C179" s="154"/>
      <c r="D179" s="154"/>
      <c r="E179" s="154"/>
      <c r="F179" s="258"/>
    </row>
    <row r="180" spans="1:6" ht="45" customHeight="1" x14ac:dyDescent="0.3">
      <c r="A180" s="509" t="str">
        <f ca="1">TranslationsHIV!$A$43</f>
        <v>D. Expected annual gap in meeting the need: B1 - C3</v>
      </c>
      <c r="B180" s="204" t="s">
        <v>8</v>
      </c>
      <c r="C180" s="317">
        <f>+C169-(C177)</f>
        <v>0</v>
      </c>
      <c r="D180" s="317">
        <f>+D169-(D177)</f>
        <v>0</v>
      </c>
      <c r="E180" s="317">
        <f>+E169-(E177)</f>
        <v>0</v>
      </c>
      <c r="F180" s="399"/>
    </row>
    <row r="181" spans="1:6" ht="45" customHeight="1" x14ac:dyDescent="0.3">
      <c r="A181" s="510"/>
      <c r="B181" s="204" t="s">
        <v>9</v>
      </c>
      <c r="C181" s="315" t="str">
        <f>IF(C180=0,"",+C180/C169)</f>
        <v/>
      </c>
      <c r="D181" s="315" t="str">
        <f>IF(D180=0,"",+D180/D169)</f>
        <v/>
      </c>
      <c r="E181" s="315" t="str">
        <f>IF(E180=0,"",+E180/E169)</f>
        <v/>
      </c>
      <c r="F181" s="511"/>
    </row>
    <row r="182" spans="1:6" x14ac:dyDescent="0.3">
      <c r="A182" s="259" t="str">
        <f ca="1">TranslationsHIV!$A$44</f>
        <v>Country need to meet global targets covered with the allocation amount</v>
      </c>
      <c r="B182" s="154"/>
      <c r="C182" s="154"/>
      <c r="D182" s="154"/>
      <c r="E182" s="154"/>
      <c r="F182" s="258"/>
    </row>
    <row r="183" spans="1:6" ht="45" customHeight="1" x14ac:dyDescent="0.3">
      <c r="A183" s="509" t="str">
        <f ca="1">TranslationsHIV!$A$45</f>
        <v>E. Targets to be financed by allocation amount</v>
      </c>
      <c r="B183" s="205" t="s">
        <v>8</v>
      </c>
      <c r="C183" s="139"/>
      <c r="D183" s="139"/>
      <c r="E183" s="139"/>
      <c r="F183" s="399"/>
    </row>
    <row r="184" spans="1:6" ht="45" customHeight="1" x14ac:dyDescent="0.3">
      <c r="A184" s="510"/>
      <c r="B184" s="205" t="s">
        <v>9</v>
      </c>
      <c r="C184" s="315" t="str">
        <f>IF(C183=0,"",+C183/C169)</f>
        <v/>
      </c>
      <c r="D184" s="315" t="str">
        <f>IF(D183=0,"",+D183/D169)</f>
        <v/>
      </c>
      <c r="E184" s="315" t="str">
        <f>IF(E183=0,"",+E183/E169)</f>
        <v/>
      </c>
      <c r="F184" s="511"/>
    </row>
    <row r="185" spans="1:6" ht="45" customHeight="1" x14ac:dyDescent="0.3">
      <c r="A185" s="509" t="str">
        <f ca="1">TranslationsHIV!$A$46</f>
        <v>F. Coverage from allocation amount and other resources: E + C3</v>
      </c>
      <c r="B185" s="205" t="s">
        <v>8</v>
      </c>
      <c r="C185" s="317">
        <f>+C183+C177</f>
        <v>0</v>
      </c>
      <c r="D185" s="317">
        <f>+D183+D177</f>
        <v>0</v>
      </c>
      <c r="E185" s="317">
        <f>+E183+E177</f>
        <v>0</v>
      </c>
      <c r="F185" s="399"/>
    </row>
    <row r="186" spans="1:6" ht="45" customHeight="1" x14ac:dyDescent="0.3">
      <c r="A186" s="510"/>
      <c r="B186" s="205" t="s">
        <v>9</v>
      </c>
      <c r="C186" s="315" t="str">
        <f>IF(C185=0,"",+C185/C169)</f>
        <v/>
      </c>
      <c r="D186" s="315" t="str">
        <f>IF(D185=0,"",+D185/D169)</f>
        <v/>
      </c>
      <c r="E186" s="315" t="str">
        <f>IF(E185=0,"",+E185/E169)</f>
        <v/>
      </c>
      <c r="F186" s="511"/>
    </row>
    <row r="187" spans="1:6" ht="45" customHeight="1" x14ac:dyDescent="0.3">
      <c r="A187" s="509" t="str">
        <f ca="1">TranslationsHIV!$A$47</f>
        <v xml:space="preserve">G. Remaining gap: B1 - F </v>
      </c>
      <c r="B187" s="205" t="s">
        <v>8</v>
      </c>
      <c r="C187" s="318">
        <f>+C169-(C185)</f>
        <v>0</v>
      </c>
      <c r="D187" s="318">
        <f>+D169-(D185)</f>
        <v>0</v>
      </c>
      <c r="E187" s="318">
        <f>+E169-(E185)</f>
        <v>0</v>
      </c>
      <c r="F187" s="399"/>
    </row>
    <row r="188" spans="1:6" ht="45" customHeight="1" x14ac:dyDescent="0.3">
      <c r="A188" s="510"/>
      <c r="B188" s="205" t="s">
        <v>9</v>
      </c>
      <c r="C188" s="319" t="str">
        <f>IF(C187=0,"",+C187/C169)</f>
        <v/>
      </c>
      <c r="D188" s="319" t="str">
        <f>IF(D187=0,"",+D187/D169)</f>
        <v/>
      </c>
      <c r="E188" s="319" t="str">
        <f>IF(E187=0,"",+E187/E169)</f>
        <v/>
      </c>
      <c r="F188" s="511"/>
    </row>
    <row r="189" spans="1:6" ht="21.65" customHeight="1" x14ac:dyDescent="0.3">
      <c r="A189" s="312"/>
      <c r="B189" s="312"/>
      <c r="C189" s="312"/>
      <c r="D189" s="312"/>
      <c r="E189" s="312"/>
      <c r="F189" s="312"/>
    </row>
    <row r="190" spans="1:6" ht="21.65" customHeight="1" x14ac:dyDescent="0.3">
      <c r="A190" s="312"/>
      <c r="B190" s="312"/>
      <c r="C190" s="312"/>
      <c r="D190" s="312"/>
      <c r="E190" s="312"/>
      <c r="F190" s="312"/>
    </row>
    <row r="191" spans="1:6" ht="45" customHeight="1" x14ac:dyDescent="0.3">
      <c r="A191" s="320" t="str">
        <f ca="1">TranslationsHIV!$A$21</f>
        <v>Priority Module</v>
      </c>
      <c r="B191" s="514"/>
      <c r="C191" s="515"/>
      <c r="D191" s="515"/>
      <c r="E191" s="515"/>
      <c r="F191" s="516"/>
    </row>
    <row r="192" spans="1:6" ht="45" customHeight="1" x14ac:dyDescent="0.3">
      <c r="A192" s="321" t="str">
        <f ca="1">TranslationsHIV!$A$22</f>
        <v>Selected coverage indicator</v>
      </c>
      <c r="B192" s="517"/>
      <c r="C192" s="518"/>
      <c r="D192" s="518"/>
      <c r="E192" s="518"/>
      <c r="F192" s="519"/>
    </row>
    <row r="193" spans="1:6" ht="45" customHeight="1" x14ac:dyDescent="0.3">
      <c r="A193" s="322" t="str">
        <f ca="1">TranslationsHIV!$A$23</f>
        <v>Target Population</v>
      </c>
      <c r="B193" s="520"/>
      <c r="C193" s="521"/>
      <c r="D193" s="521"/>
      <c r="E193" s="521"/>
      <c r="F193" s="522"/>
    </row>
    <row r="194" spans="1:6" x14ac:dyDescent="0.3">
      <c r="A194" s="259" t="str">
        <f ca="1">TranslationsHIV!$A$24</f>
        <v>Current national coverage</v>
      </c>
      <c r="B194" s="154"/>
      <c r="C194" s="154"/>
      <c r="D194" s="154"/>
      <c r="E194" s="154"/>
      <c r="F194" s="258"/>
    </row>
    <row r="195" spans="1:6" ht="45" customHeight="1" x14ac:dyDescent="0.3">
      <c r="A195" s="323" t="str">
        <f ca="1">TranslationsHIV!$A$25</f>
        <v>Insert latest results</v>
      </c>
      <c r="B195" s="87"/>
      <c r="C195" s="313" t="str">
        <f ca="1">TranslationsHIV!$A$26</f>
        <v>Year</v>
      </c>
      <c r="D195" s="18"/>
      <c r="E195" s="313" t="str">
        <f ca="1">TranslationsHIV!$A$27</f>
        <v>Data source</v>
      </c>
      <c r="F195" s="18"/>
    </row>
    <row r="196" spans="1:6" ht="45" customHeight="1" x14ac:dyDescent="0.3">
      <c r="A196" s="324" t="str">
        <f ca="1">TranslationsHIV!$A$28</f>
        <v>Comments</v>
      </c>
      <c r="B196" s="523"/>
      <c r="C196" s="524"/>
      <c r="D196" s="524"/>
      <c r="E196" s="524"/>
      <c r="F196" s="525"/>
    </row>
    <row r="197" spans="1:6" ht="45" customHeight="1" x14ac:dyDescent="0.3">
      <c r="A197" s="528"/>
      <c r="B197" s="530"/>
      <c r="C197" s="314" t="str">
        <f ca="1">TranslationsHIV!$A$29</f>
        <v>Year 1</v>
      </c>
      <c r="D197" s="314" t="str">
        <f ca="1">TranslationsHIV!$A$30</f>
        <v>Year 2</v>
      </c>
      <c r="E197" s="314" t="str">
        <f ca="1">TranslationsHIV!$A$31</f>
        <v>Year 3</v>
      </c>
      <c r="F197" s="526" t="str">
        <f ca="1">TranslationsHIV!$A$34</f>
        <v>Comments / Assumptions</v>
      </c>
    </row>
    <row r="198" spans="1:6" ht="45" customHeight="1" x14ac:dyDescent="0.3">
      <c r="A198" s="529"/>
      <c r="B198" s="531"/>
      <c r="C198" s="19" t="str">
        <f ca="1">TranslationsHIV!$A$33</f>
        <v>Insert year</v>
      </c>
      <c r="D198" s="19" t="str">
        <f ca="1">TranslationsHIV!$A$33</f>
        <v>Insert year</v>
      </c>
      <c r="E198" s="19" t="str">
        <f ca="1">TranslationsHIV!$A$33</f>
        <v>Insert year</v>
      </c>
      <c r="F198" s="527"/>
    </row>
    <row r="199" spans="1:6" x14ac:dyDescent="0.3">
      <c r="A199" s="259" t="str">
        <f ca="1">TranslationsHIV!$A$35</f>
        <v>Current estimated country need</v>
      </c>
      <c r="B199" s="154"/>
      <c r="C199" s="154"/>
      <c r="D199" s="154"/>
      <c r="E199" s="154"/>
      <c r="F199" s="258"/>
    </row>
    <row r="200" spans="1:6" ht="45" customHeight="1" x14ac:dyDescent="0.3">
      <c r="A200" s="325" t="str">
        <f ca="1">TranslationsTB!$A$25</f>
        <v>A. Total estimated population in need/at risk</v>
      </c>
      <c r="B200" s="204" t="s">
        <v>8</v>
      </c>
      <c r="C200" s="20"/>
      <c r="D200" s="20"/>
      <c r="E200" s="20"/>
      <c r="F200" s="311"/>
    </row>
    <row r="201" spans="1:6" ht="45" customHeight="1" x14ac:dyDescent="0.3">
      <c r="A201" s="512" t="str">
        <f ca="1">TranslationsHIV!$A$37</f>
        <v>B2. Country targets 
(from National Strategic Plan)</v>
      </c>
      <c r="B201" s="205" t="s">
        <v>8</v>
      </c>
      <c r="C201" s="20"/>
      <c r="D201" s="20"/>
      <c r="E201" s="20"/>
      <c r="F201" s="399"/>
    </row>
    <row r="202" spans="1:6" ht="45" customHeight="1" x14ac:dyDescent="0.3">
      <c r="A202" s="513"/>
      <c r="B202" s="205" t="s">
        <v>9</v>
      </c>
      <c r="C202" s="315" t="str">
        <f>IF(C201=0,"",+C201/C200)</f>
        <v/>
      </c>
      <c r="D202" s="315" t="str">
        <f t="shared" ref="D202:E202" si="6">IF(D201=0,"",+D201/D200)</f>
        <v/>
      </c>
      <c r="E202" s="315" t="str">
        <f t="shared" si="6"/>
        <v/>
      </c>
      <c r="F202" s="511"/>
    </row>
    <row r="203" spans="1:6" x14ac:dyDescent="0.3">
      <c r="A203" s="259" t="str">
        <f ca="1">TranslationsHIV!$A$38</f>
        <v>Country need to meet global targets already covered</v>
      </c>
      <c r="B203" s="154"/>
      <c r="C203" s="154"/>
      <c r="D203" s="154"/>
      <c r="E203" s="154"/>
      <c r="F203" s="258"/>
    </row>
    <row r="204" spans="1:6" ht="45" customHeight="1" x14ac:dyDescent="0.3">
      <c r="A204" s="512" t="str">
        <f ca="1">TranslationsHIV!$A$39</f>
        <v>C1. Global target planned to be covered by domestic resources</v>
      </c>
      <c r="B204" s="204" t="s">
        <v>8</v>
      </c>
      <c r="C204" s="139"/>
      <c r="D204" s="139"/>
      <c r="E204" s="139"/>
      <c r="F204" s="399"/>
    </row>
    <row r="205" spans="1:6" ht="45" customHeight="1" x14ac:dyDescent="0.3">
      <c r="A205" s="513"/>
      <c r="B205" s="204" t="s">
        <v>9</v>
      </c>
      <c r="C205" s="315" t="str">
        <f>IF(C204=0,"",+C204/C200)</f>
        <v/>
      </c>
      <c r="D205" s="315" t="str">
        <f>IF(D204=0,"",+D204/D200)</f>
        <v/>
      </c>
      <c r="E205" s="315" t="str">
        <f>IF(E204=0,"",+E204/E200)</f>
        <v/>
      </c>
      <c r="F205" s="511"/>
    </row>
    <row r="206" spans="1:6" ht="45" customHeight="1" x14ac:dyDescent="0.3">
      <c r="A206" s="512" t="str">
        <f ca="1">TranslationsHIV!$A$40</f>
        <v>C2. Global target planned to be covered by external resources</v>
      </c>
      <c r="B206" s="204" t="s">
        <v>8</v>
      </c>
      <c r="C206" s="139"/>
      <c r="D206" s="139"/>
      <c r="E206" s="139"/>
      <c r="F206" s="260"/>
    </row>
    <row r="207" spans="1:6" ht="45" customHeight="1" x14ac:dyDescent="0.3">
      <c r="A207" s="513"/>
      <c r="B207" s="204" t="s">
        <v>9</v>
      </c>
      <c r="C207" s="315" t="str">
        <f>IF(C206=0,"",+C206/C200)</f>
        <v/>
      </c>
      <c r="D207" s="315" t="str">
        <f>IF(D206=0,"",+D206/D200)</f>
        <v/>
      </c>
      <c r="E207" s="315" t="str">
        <f>IF(E206=0,"",+E206/E200)</f>
        <v/>
      </c>
      <c r="F207" s="260"/>
    </row>
    <row r="208" spans="1:6" ht="45" customHeight="1" x14ac:dyDescent="0.3">
      <c r="A208" s="512" t="str">
        <f ca="1">TranslationsHIV!$A$41</f>
        <v>C3. Total global target already covered</v>
      </c>
      <c r="B208" s="204" t="s">
        <v>8</v>
      </c>
      <c r="C208" s="316">
        <f>+C204+C206</f>
        <v>0</v>
      </c>
      <c r="D208" s="316">
        <f>+D204+D206</f>
        <v>0</v>
      </c>
      <c r="E208" s="316">
        <f>+E204+E206</f>
        <v>0</v>
      </c>
      <c r="F208" s="260"/>
    </row>
    <row r="209" spans="1:6" ht="45" customHeight="1" x14ac:dyDescent="0.3">
      <c r="A209" s="513"/>
      <c r="B209" s="204" t="s">
        <v>9</v>
      </c>
      <c r="C209" s="315" t="str">
        <f>IF(C208=0,"",+C208/C200)</f>
        <v/>
      </c>
      <c r="D209" s="315" t="str">
        <f>IF(D208=0,"",+D208/D200)</f>
        <v/>
      </c>
      <c r="E209" s="315" t="str">
        <f>IF(E208=0,"",+E208/E200)</f>
        <v/>
      </c>
      <c r="F209" s="260"/>
    </row>
    <row r="210" spans="1:6" x14ac:dyDescent="0.3">
      <c r="A210" s="259" t="str">
        <f ca="1">TranslationsHIV!$A$42</f>
        <v>Programmatic gap</v>
      </c>
      <c r="B210" s="154"/>
      <c r="C210" s="154"/>
      <c r="D210" s="154"/>
      <c r="E210" s="154"/>
      <c r="F210" s="258"/>
    </row>
    <row r="211" spans="1:6" ht="45" customHeight="1" x14ac:dyDescent="0.3">
      <c r="A211" s="509" t="str">
        <f ca="1">TranslationsHIV!$A$43</f>
        <v>D. Expected annual gap in meeting the need: B1 - C3</v>
      </c>
      <c r="B211" s="204" t="s">
        <v>8</v>
      </c>
      <c r="C211" s="317">
        <f>+C200-(C208)</f>
        <v>0</v>
      </c>
      <c r="D211" s="317">
        <f>+D200-(D208)</f>
        <v>0</v>
      </c>
      <c r="E211" s="317">
        <f>+E200-(E208)</f>
        <v>0</v>
      </c>
      <c r="F211" s="399"/>
    </row>
    <row r="212" spans="1:6" ht="45" customHeight="1" x14ac:dyDescent="0.3">
      <c r="A212" s="510"/>
      <c r="B212" s="204" t="s">
        <v>9</v>
      </c>
      <c r="C212" s="315" t="str">
        <f>IF(C211=0,"",+C211/C200)</f>
        <v/>
      </c>
      <c r="D212" s="315" t="str">
        <f>IF(D211=0,"",+D211/D200)</f>
        <v/>
      </c>
      <c r="E212" s="315" t="str">
        <f>IF(E211=0,"",+E211/E200)</f>
        <v/>
      </c>
      <c r="F212" s="511"/>
    </row>
    <row r="213" spans="1:6" x14ac:dyDescent="0.3">
      <c r="A213" s="259" t="str">
        <f ca="1">TranslationsHIV!$A$44</f>
        <v>Country need to meet global targets covered with the allocation amount</v>
      </c>
      <c r="B213" s="154"/>
      <c r="C213" s="154"/>
      <c r="D213" s="154"/>
      <c r="E213" s="154"/>
      <c r="F213" s="258"/>
    </row>
    <row r="214" spans="1:6" ht="45" customHeight="1" x14ac:dyDescent="0.3">
      <c r="A214" s="509" t="str">
        <f ca="1">TranslationsHIV!$A$45</f>
        <v>E. Targets to be financed by allocation amount</v>
      </c>
      <c r="B214" s="205" t="s">
        <v>8</v>
      </c>
      <c r="C214" s="139"/>
      <c r="D214" s="139"/>
      <c r="E214" s="139"/>
      <c r="F214" s="399"/>
    </row>
    <row r="215" spans="1:6" ht="45" customHeight="1" x14ac:dyDescent="0.3">
      <c r="A215" s="510"/>
      <c r="B215" s="205" t="s">
        <v>9</v>
      </c>
      <c r="C215" s="315" t="str">
        <f>IF(C214=0,"",+C214/C200)</f>
        <v/>
      </c>
      <c r="D215" s="315" t="str">
        <f>IF(D214=0,"",+D214/D200)</f>
        <v/>
      </c>
      <c r="E215" s="315" t="str">
        <f>IF(E214=0,"",+E214/E200)</f>
        <v/>
      </c>
      <c r="F215" s="511"/>
    </row>
    <row r="216" spans="1:6" ht="45" customHeight="1" x14ac:dyDescent="0.3">
      <c r="A216" s="509" t="str">
        <f ca="1">TranslationsHIV!$A$46</f>
        <v>F. Coverage from allocation amount and other resources: E + C3</v>
      </c>
      <c r="B216" s="205" t="s">
        <v>8</v>
      </c>
      <c r="C216" s="317">
        <f>+C214+C208</f>
        <v>0</v>
      </c>
      <c r="D216" s="317">
        <f>+D214+D208</f>
        <v>0</v>
      </c>
      <c r="E216" s="317">
        <f>+E214+E208</f>
        <v>0</v>
      </c>
      <c r="F216" s="399"/>
    </row>
    <row r="217" spans="1:6" ht="45" customHeight="1" x14ac:dyDescent="0.3">
      <c r="A217" s="510"/>
      <c r="B217" s="205" t="s">
        <v>9</v>
      </c>
      <c r="C217" s="315" t="str">
        <f>IF(C216=0,"",+C216/C200)</f>
        <v/>
      </c>
      <c r="D217" s="315" t="str">
        <f>IF(D216=0,"",+D216/D200)</f>
        <v/>
      </c>
      <c r="E217" s="315" t="str">
        <f>IF(E216=0,"",+E216/E200)</f>
        <v/>
      </c>
      <c r="F217" s="511"/>
    </row>
    <row r="218" spans="1:6" ht="45" customHeight="1" x14ac:dyDescent="0.3">
      <c r="A218" s="509" t="str">
        <f ca="1">TranslationsHIV!$A$47</f>
        <v xml:space="preserve">G. Remaining gap: B1 - F </v>
      </c>
      <c r="B218" s="205" t="s">
        <v>8</v>
      </c>
      <c r="C218" s="318">
        <f>+C200-(C216)</f>
        <v>0</v>
      </c>
      <c r="D218" s="318">
        <f>+D200-(D216)</f>
        <v>0</v>
      </c>
      <c r="E218" s="318">
        <f>+E200-(E216)</f>
        <v>0</v>
      </c>
      <c r="F218" s="399"/>
    </row>
    <row r="219" spans="1:6" ht="45" customHeight="1" x14ac:dyDescent="0.3">
      <c r="A219" s="510"/>
      <c r="B219" s="205" t="s">
        <v>9</v>
      </c>
      <c r="C219" s="319" t="str">
        <f>IF(C218=0,"",+C218/C200)</f>
        <v/>
      </c>
      <c r="D219" s="319" t="str">
        <f>IF(D218=0,"",+D218/D200)</f>
        <v/>
      </c>
      <c r="E219" s="319" t="str">
        <f>IF(E218=0,"",+E218/E200)</f>
        <v/>
      </c>
      <c r="F219" s="511"/>
    </row>
    <row r="220" spans="1:6" ht="17.149999999999999" customHeight="1" x14ac:dyDescent="0.3">
      <c r="A220" s="312"/>
      <c r="B220" s="312"/>
      <c r="C220" s="312"/>
      <c r="D220" s="312"/>
      <c r="E220" s="312"/>
      <c r="F220" s="312"/>
    </row>
    <row r="221" spans="1:6" ht="17.149999999999999" customHeight="1" x14ac:dyDescent="0.3">
      <c r="A221" s="312"/>
      <c r="B221" s="312"/>
      <c r="C221" s="312"/>
      <c r="D221" s="312"/>
      <c r="E221" s="312"/>
      <c r="F221" s="312"/>
    </row>
    <row r="222" spans="1:6" ht="45" customHeight="1" x14ac:dyDescent="0.3">
      <c r="A222" s="320" t="str">
        <f ca="1">TranslationsHIV!$A$21</f>
        <v>Priority Module</v>
      </c>
      <c r="B222" s="514"/>
      <c r="C222" s="515"/>
      <c r="D222" s="515"/>
      <c r="E222" s="515"/>
      <c r="F222" s="516"/>
    </row>
    <row r="223" spans="1:6" ht="45" customHeight="1" x14ac:dyDescent="0.3">
      <c r="A223" s="321" t="str">
        <f ca="1">TranslationsHIV!$A$22</f>
        <v>Selected coverage indicator</v>
      </c>
      <c r="B223" s="517"/>
      <c r="C223" s="518"/>
      <c r="D223" s="518"/>
      <c r="E223" s="518"/>
      <c r="F223" s="519"/>
    </row>
    <row r="224" spans="1:6" ht="45" customHeight="1" x14ac:dyDescent="0.3">
      <c r="A224" s="322" t="str">
        <f ca="1">TranslationsHIV!$A$23</f>
        <v>Target Population</v>
      </c>
      <c r="B224" s="520"/>
      <c r="C224" s="521"/>
      <c r="D224" s="521"/>
      <c r="E224" s="521"/>
      <c r="F224" s="522"/>
    </row>
    <row r="225" spans="1:6" x14ac:dyDescent="0.3">
      <c r="A225" s="259" t="str">
        <f ca="1">TranslationsHIV!$A$24</f>
        <v>Current national coverage</v>
      </c>
      <c r="B225" s="154"/>
      <c r="C225" s="154"/>
      <c r="D225" s="154"/>
      <c r="E225" s="154"/>
      <c r="F225" s="258"/>
    </row>
    <row r="226" spans="1:6" ht="45" customHeight="1" x14ac:dyDescent="0.3">
      <c r="A226" s="323" t="str">
        <f ca="1">TranslationsHIV!$A$25</f>
        <v>Insert latest results</v>
      </c>
      <c r="B226" s="87"/>
      <c r="C226" s="313" t="str">
        <f ca="1">TranslationsHIV!$A$26</f>
        <v>Year</v>
      </c>
      <c r="D226" s="18"/>
      <c r="E226" s="313" t="str">
        <f ca="1">TranslationsHIV!$A$27</f>
        <v>Data source</v>
      </c>
      <c r="F226" s="18"/>
    </row>
    <row r="227" spans="1:6" ht="45" customHeight="1" x14ac:dyDescent="0.3">
      <c r="A227" s="324" t="str">
        <f ca="1">TranslationsHIV!$A$28</f>
        <v>Comments</v>
      </c>
      <c r="B227" s="523"/>
      <c r="C227" s="524"/>
      <c r="D227" s="524"/>
      <c r="E227" s="524"/>
      <c r="F227" s="525"/>
    </row>
    <row r="228" spans="1:6" ht="45" customHeight="1" x14ac:dyDescent="0.3">
      <c r="A228" s="528"/>
      <c r="B228" s="530"/>
      <c r="C228" s="314" t="str">
        <f ca="1">TranslationsHIV!$A$29</f>
        <v>Year 1</v>
      </c>
      <c r="D228" s="314" t="str">
        <f ca="1">TranslationsHIV!$A$30</f>
        <v>Year 2</v>
      </c>
      <c r="E228" s="314" t="str">
        <f ca="1">TranslationsHIV!$A$31</f>
        <v>Year 3</v>
      </c>
      <c r="F228" s="526" t="str">
        <f ca="1">TranslationsHIV!$A$34</f>
        <v>Comments / Assumptions</v>
      </c>
    </row>
    <row r="229" spans="1:6" ht="45" customHeight="1" x14ac:dyDescent="0.3">
      <c r="A229" s="529"/>
      <c r="B229" s="531"/>
      <c r="C229" s="19" t="str">
        <f ca="1">TranslationsHIV!$A$33</f>
        <v>Insert year</v>
      </c>
      <c r="D229" s="19" t="str">
        <f ca="1">TranslationsHIV!$A$33</f>
        <v>Insert year</v>
      </c>
      <c r="E229" s="19" t="str">
        <f ca="1">TranslationsHIV!$A$33</f>
        <v>Insert year</v>
      </c>
      <c r="F229" s="527"/>
    </row>
    <row r="230" spans="1:6" x14ac:dyDescent="0.3">
      <c r="A230" s="259" t="str">
        <f ca="1">TranslationsHIV!$A$35</f>
        <v>Current estimated country need</v>
      </c>
      <c r="B230" s="154"/>
      <c r="C230" s="154"/>
      <c r="D230" s="154"/>
      <c r="E230" s="154"/>
      <c r="F230" s="258"/>
    </row>
    <row r="231" spans="1:6" ht="45" customHeight="1" x14ac:dyDescent="0.3">
      <c r="A231" s="325" t="str">
        <f ca="1">TranslationsTB!$A$25</f>
        <v>A. Total estimated population in need/at risk</v>
      </c>
      <c r="B231" s="204" t="s">
        <v>8</v>
      </c>
      <c r="C231" s="20"/>
      <c r="D231" s="20"/>
      <c r="E231" s="20"/>
      <c r="F231" s="311"/>
    </row>
    <row r="232" spans="1:6" ht="45" customHeight="1" x14ac:dyDescent="0.3">
      <c r="A232" s="512" t="str">
        <f ca="1">TranslationsHIV!$A$37</f>
        <v>B2. Country targets 
(from National Strategic Plan)</v>
      </c>
      <c r="B232" s="205" t="s">
        <v>8</v>
      </c>
      <c r="C232" s="20"/>
      <c r="D232" s="20"/>
      <c r="E232" s="20"/>
      <c r="F232" s="399"/>
    </row>
    <row r="233" spans="1:6" ht="45" customHeight="1" x14ac:dyDescent="0.3">
      <c r="A233" s="513"/>
      <c r="B233" s="205" t="s">
        <v>9</v>
      </c>
      <c r="C233" s="315" t="str">
        <f>IF(C232=0,"",+C232/C231)</f>
        <v/>
      </c>
      <c r="D233" s="315" t="str">
        <f t="shared" ref="D233:E233" si="7">IF(D232=0,"",+D232/D231)</f>
        <v/>
      </c>
      <c r="E233" s="315" t="str">
        <f t="shared" si="7"/>
        <v/>
      </c>
      <c r="F233" s="511"/>
    </row>
    <row r="234" spans="1:6" x14ac:dyDescent="0.3">
      <c r="A234" s="259" t="str">
        <f ca="1">TranslationsHIV!$A$38</f>
        <v>Country need to meet global targets already covered</v>
      </c>
      <c r="B234" s="154"/>
      <c r="C234" s="154"/>
      <c r="D234" s="154"/>
      <c r="E234" s="154"/>
      <c r="F234" s="258"/>
    </row>
    <row r="235" spans="1:6" ht="45" customHeight="1" x14ac:dyDescent="0.3">
      <c r="A235" s="512" t="str">
        <f ca="1">TranslationsHIV!$A$39</f>
        <v>C1. Global target planned to be covered by domestic resources</v>
      </c>
      <c r="B235" s="204" t="s">
        <v>8</v>
      </c>
      <c r="C235" s="139"/>
      <c r="D235" s="139"/>
      <c r="E235" s="139"/>
      <c r="F235" s="399"/>
    </row>
    <row r="236" spans="1:6" ht="45" customHeight="1" x14ac:dyDescent="0.3">
      <c r="A236" s="513"/>
      <c r="B236" s="204" t="s">
        <v>9</v>
      </c>
      <c r="C236" s="315" t="str">
        <f>IF(C235=0,"",+C235/C231)</f>
        <v/>
      </c>
      <c r="D236" s="315" t="str">
        <f>IF(D235=0,"",+D235/D231)</f>
        <v/>
      </c>
      <c r="E236" s="315" t="str">
        <f>IF(E235=0,"",+E235/E231)</f>
        <v/>
      </c>
      <c r="F236" s="511"/>
    </row>
    <row r="237" spans="1:6" ht="45" customHeight="1" x14ac:dyDescent="0.3">
      <c r="A237" s="512" t="str">
        <f ca="1">TranslationsHIV!$A$40</f>
        <v>C2. Global target planned to be covered by external resources</v>
      </c>
      <c r="B237" s="204" t="s">
        <v>8</v>
      </c>
      <c r="C237" s="139"/>
      <c r="D237" s="139"/>
      <c r="E237" s="139"/>
      <c r="F237" s="260"/>
    </row>
    <row r="238" spans="1:6" ht="45" customHeight="1" x14ac:dyDescent="0.3">
      <c r="A238" s="513"/>
      <c r="B238" s="204" t="s">
        <v>9</v>
      </c>
      <c r="C238" s="315" t="str">
        <f>IF(C237=0,"",+C237/C231)</f>
        <v/>
      </c>
      <c r="D238" s="315" t="str">
        <f>IF(D237=0,"",+D237/D231)</f>
        <v/>
      </c>
      <c r="E238" s="315" t="str">
        <f>IF(E237=0,"",+E237/E231)</f>
        <v/>
      </c>
      <c r="F238" s="260"/>
    </row>
    <row r="239" spans="1:6" ht="45" customHeight="1" x14ac:dyDescent="0.3">
      <c r="A239" s="512" t="str">
        <f ca="1">TranslationsHIV!$A$41</f>
        <v>C3. Total global target already covered</v>
      </c>
      <c r="B239" s="204" t="s">
        <v>8</v>
      </c>
      <c r="C239" s="316">
        <f>+C235+C237</f>
        <v>0</v>
      </c>
      <c r="D239" s="316">
        <f>+D235+D237</f>
        <v>0</v>
      </c>
      <c r="E239" s="316">
        <f>+E235+E237</f>
        <v>0</v>
      </c>
      <c r="F239" s="260"/>
    </row>
    <row r="240" spans="1:6" ht="45" customHeight="1" x14ac:dyDescent="0.3">
      <c r="A240" s="513"/>
      <c r="B240" s="204" t="s">
        <v>9</v>
      </c>
      <c r="C240" s="315" t="str">
        <f>IF(C239=0,"",+C239/C231)</f>
        <v/>
      </c>
      <c r="D240" s="315" t="str">
        <f>IF(D239=0,"",+D239/D231)</f>
        <v/>
      </c>
      <c r="E240" s="315" t="str">
        <f>IF(E239=0,"",+E239/E231)</f>
        <v/>
      </c>
      <c r="F240" s="260"/>
    </row>
    <row r="241" spans="1:6" x14ac:dyDescent="0.3">
      <c r="A241" s="259" t="str">
        <f ca="1">TranslationsHIV!$A$42</f>
        <v>Programmatic gap</v>
      </c>
      <c r="B241" s="154"/>
      <c r="C241" s="154"/>
      <c r="D241" s="154"/>
      <c r="E241" s="154"/>
      <c r="F241" s="258"/>
    </row>
    <row r="242" spans="1:6" ht="45" customHeight="1" x14ac:dyDescent="0.3">
      <c r="A242" s="509" t="str">
        <f ca="1">TranslationsHIV!$A$43</f>
        <v>D. Expected annual gap in meeting the need: B1 - C3</v>
      </c>
      <c r="B242" s="204" t="s">
        <v>8</v>
      </c>
      <c r="C242" s="317">
        <f>+C231-(C239)</f>
        <v>0</v>
      </c>
      <c r="D242" s="317">
        <f>+D231-(D239)</f>
        <v>0</v>
      </c>
      <c r="E242" s="317">
        <f>+E231-(E239)</f>
        <v>0</v>
      </c>
      <c r="F242" s="399"/>
    </row>
    <row r="243" spans="1:6" ht="45" customHeight="1" x14ac:dyDescent="0.3">
      <c r="A243" s="510"/>
      <c r="B243" s="204" t="s">
        <v>9</v>
      </c>
      <c r="C243" s="315" t="str">
        <f>IF(C242=0,"",+C242/C231)</f>
        <v/>
      </c>
      <c r="D243" s="315" t="str">
        <f>IF(D242=0,"",+D242/D231)</f>
        <v/>
      </c>
      <c r="E243" s="315" t="str">
        <f>IF(E242=0,"",+E242/E231)</f>
        <v/>
      </c>
      <c r="F243" s="511"/>
    </row>
    <row r="244" spans="1:6" x14ac:dyDescent="0.3">
      <c r="A244" s="259" t="str">
        <f ca="1">TranslationsHIV!$A$44</f>
        <v>Country need to meet global targets covered with the allocation amount</v>
      </c>
      <c r="B244" s="154"/>
      <c r="C244" s="154"/>
      <c r="D244" s="154"/>
      <c r="E244" s="154"/>
      <c r="F244" s="258"/>
    </row>
    <row r="245" spans="1:6" ht="45" customHeight="1" x14ac:dyDescent="0.3">
      <c r="A245" s="509" t="str">
        <f ca="1">TranslationsHIV!$A$45</f>
        <v>E. Targets to be financed by allocation amount</v>
      </c>
      <c r="B245" s="205" t="s">
        <v>8</v>
      </c>
      <c r="C245" s="139"/>
      <c r="D245" s="139"/>
      <c r="E245" s="139"/>
      <c r="F245" s="399"/>
    </row>
    <row r="246" spans="1:6" ht="45" customHeight="1" x14ac:dyDescent="0.3">
      <c r="A246" s="510"/>
      <c r="B246" s="205" t="s">
        <v>9</v>
      </c>
      <c r="C246" s="315" t="str">
        <f>IF(C245=0,"",+C245/C231)</f>
        <v/>
      </c>
      <c r="D246" s="315" t="str">
        <f>IF(D245=0,"",+D245/D231)</f>
        <v/>
      </c>
      <c r="E246" s="315" t="str">
        <f>IF(E245=0,"",+E245/E231)</f>
        <v/>
      </c>
      <c r="F246" s="511"/>
    </row>
    <row r="247" spans="1:6" ht="45" customHeight="1" x14ac:dyDescent="0.3">
      <c r="A247" s="509" t="str">
        <f ca="1">TranslationsHIV!$A$46</f>
        <v>F. Coverage from allocation amount and other resources: E + C3</v>
      </c>
      <c r="B247" s="205" t="s">
        <v>8</v>
      </c>
      <c r="C247" s="317">
        <f>+C245+C239</f>
        <v>0</v>
      </c>
      <c r="D247" s="317">
        <f>+D245+D239</f>
        <v>0</v>
      </c>
      <c r="E247" s="317">
        <f>+E245+E239</f>
        <v>0</v>
      </c>
      <c r="F247" s="399"/>
    </row>
    <row r="248" spans="1:6" ht="45" customHeight="1" x14ac:dyDescent="0.3">
      <c r="A248" s="510"/>
      <c r="B248" s="205" t="s">
        <v>9</v>
      </c>
      <c r="C248" s="315" t="str">
        <f>IF(C247=0,"",+C247/C231)</f>
        <v/>
      </c>
      <c r="D248" s="315" t="str">
        <f>IF(D247=0,"",+D247/D231)</f>
        <v/>
      </c>
      <c r="E248" s="315" t="str">
        <f>IF(E247=0,"",+E247/E231)</f>
        <v/>
      </c>
      <c r="F248" s="511"/>
    </row>
    <row r="249" spans="1:6" ht="45" customHeight="1" x14ac:dyDescent="0.3">
      <c r="A249" s="509" t="str">
        <f ca="1">TranslationsHIV!$A$47</f>
        <v xml:space="preserve">G. Remaining gap: B1 - F </v>
      </c>
      <c r="B249" s="205" t="s">
        <v>8</v>
      </c>
      <c r="C249" s="318">
        <f>+C231-(C247)</f>
        <v>0</v>
      </c>
      <c r="D249" s="318">
        <f>+D231-(D247)</f>
        <v>0</v>
      </c>
      <c r="E249" s="318">
        <f>+E231-(E247)</f>
        <v>0</v>
      </c>
      <c r="F249" s="399"/>
    </row>
    <row r="250" spans="1:6" ht="45" customHeight="1" x14ac:dyDescent="0.3">
      <c r="A250" s="510"/>
      <c r="B250" s="205" t="s">
        <v>9</v>
      </c>
      <c r="C250" s="319" t="str">
        <f>IF(C249=0,"",+C249/C231)</f>
        <v/>
      </c>
      <c r="D250" s="319" t="str">
        <f>IF(D249=0,"",+D249/D231)</f>
        <v/>
      </c>
      <c r="E250" s="319" t="str">
        <f>IF(E249=0,"",+E249/E231)</f>
        <v/>
      </c>
      <c r="F250" s="511"/>
    </row>
  </sheetData>
  <sheetProtection algorithmName="SHA-512" hashValue="WzUBqTOwqfvW6yzezrkUJusTzeuAPPLgwLyI7UMHWy4UInYlfsZqyN26Lr0q9dP4FplLeR9rCJxp9Ds6V53GQw==" saltValue="TCBog9YML5ba9zW9LVkYqg==" spinCount="100000" sheet="1" formatColumns="0" formatRows="0"/>
  <mergeCells count="173">
    <mergeCell ref="A247:A248"/>
    <mergeCell ref="F247:F248"/>
    <mergeCell ref="A249:A250"/>
    <mergeCell ref="F249:F250"/>
    <mergeCell ref="A239:A240"/>
    <mergeCell ref="A242:A243"/>
    <mergeCell ref="F242:F243"/>
    <mergeCell ref="A245:A246"/>
    <mergeCell ref="F245:F246"/>
    <mergeCell ref="A232:A233"/>
    <mergeCell ref="F232:F233"/>
    <mergeCell ref="A235:A236"/>
    <mergeCell ref="F235:F236"/>
    <mergeCell ref="A237:A238"/>
    <mergeCell ref="B223:F223"/>
    <mergeCell ref="B224:F224"/>
    <mergeCell ref="B227:F227"/>
    <mergeCell ref="A228:A229"/>
    <mergeCell ref="B228:B229"/>
    <mergeCell ref="F228:F229"/>
    <mergeCell ref="A216:A217"/>
    <mergeCell ref="F216:F217"/>
    <mergeCell ref="A218:A219"/>
    <mergeCell ref="F218:F219"/>
    <mergeCell ref="B222:F222"/>
    <mergeCell ref="A208:A209"/>
    <mergeCell ref="A211:A212"/>
    <mergeCell ref="F211:F212"/>
    <mergeCell ref="A214:A215"/>
    <mergeCell ref="F214:F215"/>
    <mergeCell ref="A201:A202"/>
    <mergeCell ref="F201:F202"/>
    <mergeCell ref="A204:A205"/>
    <mergeCell ref="F204:F205"/>
    <mergeCell ref="A206:A207"/>
    <mergeCell ref="B192:F192"/>
    <mergeCell ref="B193:F193"/>
    <mergeCell ref="B196:F196"/>
    <mergeCell ref="A197:A198"/>
    <mergeCell ref="B197:B198"/>
    <mergeCell ref="F197:F198"/>
    <mergeCell ref="A185:A186"/>
    <mergeCell ref="F185:F186"/>
    <mergeCell ref="A187:A188"/>
    <mergeCell ref="F187:F188"/>
    <mergeCell ref="B191:F191"/>
    <mergeCell ref="A177:A178"/>
    <mergeCell ref="A180:A181"/>
    <mergeCell ref="F180:F181"/>
    <mergeCell ref="A183:A184"/>
    <mergeCell ref="F183:F184"/>
    <mergeCell ref="A170:A171"/>
    <mergeCell ref="F170:F171"/>
    <mergeCell ref="A173:A174"/>
    <mergeCell ref="F173:F174"/>
    <mergeCell ref="A175:A176"/>
    <mergeCell ref="B161:F161"/>
    <mergeCell ref="B162:F162"/>
    <mergeCell ref="B165:F165"/>
    <mergeCell ref="A166:A167"/>
    <mergeCell ref="B166:B167"/>
    <mergeCell ref="F166:F167"/>
    <mergeCell ref="A154:A155"/>
    <mergeCell ref="F154:F155"/>
    <mergeCell ref="A156:A157"/>
    <mergeCell ref="F156:F157"/>
    <mergeCell ref="B160:F160"/>
    <mergeCell ref="A146:A147"/>
    <mergeCell ref="A149:A150"/>
    <mergeCell ref="F149:F150"/>
    <mergeCell ref="A152:A153"/>
    <mergeCell ref="F152:F153"/>
    <mergeCell ref="A139:A140"/>
    <mergeCell ref="F139:F140"/>
    <mergeCell ref="A142:A143"/>
    <mergeCell ref="F142:F143"/>
    <mergeCell ref="A144:A145"/>
    <mergeCell ref="B129:F129"/>
    <mergeCell ref="B130:F130"/>
    <mergeCell ref="B131:F131"/>
    <mergeCell ref="B134:F134"/>
    <mergeCell ref="A135:A136"/>
    <mergeCell ref="B135:B136"/>
    <mergeCell ref="F135:F136"/>
    <mergeCell ref="A121:A122"/>
    <mergeCell ref="F121:F122"/>
    <mergeCell ref="A123:A124"/>
    <mergeCell ref="F123:F124"/>
    <mergeCell ref="A125:A126"/>
    <mergeCell ref="F125:F126"/>
    <mergeCell ref="B99:F99"/>
    <mergeCell ref="B100:F100"/>
    <mergeCell ref="B103:F103"/>
    <mergeCell ref="B104:B105"/>
    <mergeCell ref="F108:F109"/>
    <mergeCell ref="A118:A119"/>
    <mergeCell ref="F118:F119"/>
    <mergeCell ref="A108:A109"/>
    <mergeCell ref="A111:A112"/>
    <mergeCell ref="F111:F112"/>
    <mergeCell ref="A113:A114"/>
    <mergeCell ref="A115:A116"/>
    <mergeCell ref="A104:A105"/>
    <mergeCell ref="F104:F105"/>
    <mergeCell ref="A92:A93"/>
    <mergeCell ref="F92:F93"/>
    <mergeCell ref="A94:A95"/>
    <mergeCell ref="F94:F95"/>
    <mergeCell ref="B98:F98"/>
    <mergeCell ref="B72:F72"/>
    <mergeCell ref="A73:A74"/>
    <mergeCell ref="B73:B74"/>
    <mergeCell ref="F73:F74"/>
    <mergeCell ref="F77:F78"/>
    <mergeCell ref="A87:A88"/>
    <mergeCell ref="F87:F88"/>
    <mergeCell ref="A90:A91"/>
    <mergeCell ref="F90:F91"/>
    <mergeCell ref="A82:A83"/>
    <mergeCell ref="A80:A81"/>
    <mergeCell ref="F80:F81"/>
    <mergeCell ref="A84:A85"/>
    <mergeCell ref="A77:A78"/>
    <mergeCell ref="B67:F67"/>
    <mergeCell ref="A63:A64"/>
    <mergeCell ref="F63:F64"/>
    <mergeCell ref="B68:F68"/>
    <mergeCell ref="B69:F69"/>
    <mergeCell ref="F61:F62"/>
    <mergeCell ref="A53:A54"/>
    <mergeCell ref="A56:A57"/>
    <mergeCell ref="F56:F57"/>
    <mergeCell ref="A46:A47"/>
    <mergeCell ref="F46:F47"/>
    <mergeCell ref="B38:F38"/>
    <mergeCell ref="A32:A33"/>
    <mergeCell ref="F32:F33"/>
    <mergeCell ref="A59:A60"/>
    <mergeCell ref="F59:F60"/>
    <mergeCell ref="A61:A62"/>
    <mergeCell ref="B36:F36"/>
    <mergeCell ref="B37:F37"/>
    <mergeCell ref="B41:F41"/>
    <mergeCell ref="A42:A43"/>
    <mergeCell ref="B42:B43"/>
    <mergeCell ref="F42:F43"/>
    <mergeCell ref="A49:A50"/>
    <mergeCell ref="F49:F50"/>
    <mergeCell ref="A51:A52"/>
    <mergeCell ref="A30:A31"/>
    <mergeCell ref="F30:F31"/>
    <mergeCell ref="A22:A23"/>
    <mergeCell ref="B5:F5"/>
    <mergeCell ref="B6:F6"/>
    <mergeCell ref="B7:F7"/>
    <mergeCell ref="B10:F10"/>
    <mergeCell ref="F11:F12"/>
    <mergeCell ref="A15:A16"/>
    <mergeCell ref="F15:F16"/>
    <mergeCell ref="A18:A19"/>
    <mergeCell ref="F18:F19"/>
    <mergeCell ref="A20:A21"/>
    <mergeCell ref="A11:A12"/>
    <mergeCell ref="B11:B12"/>
    <mergeCell ref="A1:E1"/>
    <mergeCell ref="A2:E2"/>
    <mergeCell ref="A3:E3"/>
    <mergeCell ref="A4:F4"/>
    <mergeCell ref="F1:F3"/>
    <mergeCell ref="A25:A26"/>
    <mergeCell ref="F25:F26"/>
    <mergeCell ref="A28:A29"/>
    <mergeCell ref="F28:F29"/>
  </mergeCells>
  <dataValidations count="1">
    <dataValidation type="list" allowBlank="1" showInputMessage="1" showErrorMessage="1" sqref="B7:F7 B38:F38 B69:F69 B100:F100 B131:F131 B162:F162 B193:F193 B224:F224" xr:uid="{00000000-0002-0000-0800-000000000000}">
      <formula1>INDIRECT(SUBSTITUTE(B5," ",""))</formula1>
    </dataValidation>
  </dataValidations>
  <pageMargins left="0.7" right="0.7" top="0.75" bottom="0.75" header="0.3" footer="0.3"/>
  <pageSetup paperSize="8" scale="83" fitToHeight="0" orientation="portrait" r:id="rId1"/>
  <rowBreaks count="1" manualBreakCount="1">
    <brk id="26" max="5" man="1"/>
  </rowBreaks>
  <ignoredErrors>
    <ignoredError sqref="A8 C12:E12 A13" unlockedFormula="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1"/>
  </sheetPr>
  <dimension ref="A1:V156"/>
  <sheetViews>
    <sheetView view="pageBreakPreview" zoomScale="60" zoomScaleNormal="125" zoomScalePageLayoutView="125" workbookViewId="0">
      <selection activeCell="B6" sqref="B6:D6"/>
    </sheetView>
  </sheetViews>
  <sheetFormatPr defaultColWidth="9" defaultRowHeight="14" x14ac:dyDescent="0.3"/>
  <cols>
    <col min="1" max="6" width="11.58203125" customWidth="1"/>
    <col min="7" max="7" width="210.58203125" customWidth="1"/>
  </cols>
  <sheetData>
    <row r="1" spans="1:22" ht="23.15" customHeight="1" x14ac:dyDescent="0.3">
      <c r="A1" s="377" t="s">
        <v>3</v>
      </c>
      <c r="B1" s="377"/>
      <c r="C1" s="377"/>
      <c r="D1" s="377"/>
      <c r="E1" s="377"/>
      <c r="F1" s="377"/>
      <c r="G1" s="382" t="str">
        <f ca="1">TranslationsHIV!$G$118</f>
        <v>Latest version updated: 13 March 2023</v>
      </c>
      <c r="H1" s="3"/>
      <c r="I1" s="1"/>
      <c r="J1" s="1"/>
      <c r="K1" s="1"/>
      <c r="L1" s="1"/>
      <c r="M1" s="1"/>
      <c r="N1" s="1"/>
      <c r="O1" s="2"/>
      <c r="P1" s="2"/>
      <c r="Q1" s="2"/>
      <c r="R1" s="2"/>
      <c r="S1" s="2"/>
      <c r="T1" s="2"/>
      <c r="U1" s="2"/>
      <c r="V1" s="2"/>
    </row>
    <row r="2" spans="1:22" ht="29.15" customHeight="1" x14ac:dyDescent="0.3">
      <c r="A2" s="377" t="s">
        <v>4</v>
      </c>
      <c r="B2" s="377"/>
      <c r="C2" s="377"/>
      <c r="D2" s="377"/>
      <c r="E2" s="377"/>
      <c r="F2" s="377"/>
      <c r="G2" s="382"/>
      <c r="H2" s="3"/>
      <c r="I2" s="1"/>
      <c r="J2" s="1"/>
      <c r="K2" s="1"/>
      <c r="L2" s="1"/>
      <c r="M2" s="1"/>
      <c r="N2" s="1"/>
      <c r="O2" s="2"/>
      <c r="P2" s="2"/>
      <c r="Q2" s="2"/>
      <c r="R2" s="2"/>
      <c r="S2" s="2"/>
      <c r="T2" s="2"/>
      <c r="U2" s="2"/>
      <c r="V2" s="2"/>
    </row>
    <row r="3" spans="1:22" ht="24" customHeight="1" x14ac:dyDescent="0.3">
      <c r="A3" s="377" t="s">
        <v>5</v>
      </c>
      <c r="B3" s="377"/>
      <c r="C3" s="377"/>
      <c r="D3" s="377"/>
      <c r="E3" s="377"/>
      <c r="F3" s="377"/>
      <c r="G3" s="382"/>
      <c r="H3" s="3"/>
      <c r="I3" s="1"/>
      <c r="J3" s="1"/>
      <c r="K3" s="1"/>
      <c r="L3" s="1"/>
      <c r="M3" s="1"/>
      <c r="N3" s="1"/>
      <c r="O3" s="2"/>
      <c r="P3" s="2"/>
      <c r="Q3" s="2"/>
      <c r="R3" s="2"/>
      <c r="S3" s="2"/>
      <c r="T3" s="2"/>
      <c r="U3" s="2"/>
      <c r="V3" s="2"/>
    </row>
    <row r="4" spans="1:22" ht="6" hidden="1" customHeight="1" thickBot="1" x14ac:dyDescent="0.35">
      <c r="A4" s="116"/>
      <c r="B4" s="116"/>
      <c r="C4" s="116"/>
      <c r="D4" s="116"/>
      <c r="E4" s="116"/>
      <c r="F4" s="116"/>
      <c r="G4" s="117"/>
      <c r="H4" s="3"/>
      <c r="I4" s="1"/>
      <c r="J4" s="1"/>
      <c r="K4" s="1"/>
      <c r="L4" s="1"/>
      <c r="M4" s="1"/>
      <c r="N4" s="1"/>
      <c r="O4" s="2"/>
      <c r="P4" s="2"/>
      <c r="Q4" s="2"/>
      <c r="R4" s="2"/>
      <c r="S4" s="2"/>
      <c r="T4" s="2"/>
      <c r="U4" s="2"/>
      <c r="V4" s="2"/>
    </row>
    <row r="5" spans="1:22" ht="6" hidden="1" customHeight="1" thickBot="1" x14ac:dyDescent="0.35">
      <c r="A5" s="116"/>
      <c r="B5" s="116"/>
      <c r="C5" s="116"/>
      <c r="D5" s="116"/>
      <c r="E5" s="116"/>
      <c r="F5" s="116"/>
      <c r="G5" s="117"/>
      <c r="H5" s="3"/>
      <c r="I5" s="1"/>
      <c r="J5" s="1"/>
      <c r="K5" s="1"/>
      <c r="L5" s="1"/>
      <c r="M5" s="1"/>
      <c r="N5" s="1"/>
      <c r="O5" s="2"/>
      <c r="P5" s="2"/>
      <c r="Q5" s="2"/>
      <c r="R5" s="2"/>
      <c r="S5" s="2"/>
      <c r="T5" s="2"/>
      <c r="U5" s="2"/>
      <c r="V5" s="2"/>
    </row>
    <row r="6" spans="1:22" ht="30" customHeight="1" x14ac:dyDescent="0.3">
      <c r="A6" s="138" t="s">
        <v>6</v>
      </c>
      <c r="B6" s="378" t="s">
        <v>7</v>
      </c>
      <c r="C6" s="378"/>
      <c r="D6" s="378"/>
      <c r="E6" s="371"/>
      <c r="F6" s="371"/>
      <c r="G6" s="371"/>
      <c r="H6" s="3"/>
      <c r="I6" s="1"/>
      <c r="J6" s="1"/>
      <c r="K6" s="1"/>
      <c r="L6" s="1"/>
      <c r="M6" s="1"/>
      <c r="N6" s="1"/>
      <c r="O6" s="2"/>
      <c r="P6" s="2"/>
      <c r="Q6" s="2"/>
      <c r="R6" s="2"/>
      <c r="S6" s="2"/>
      <c r="T6" s="2"/>
      <c r="U6" s="2"/>
      <c r="V6" s="2"/>
    </row>
    <row r="7" spans="1:22" ht="6" hidden="1" customHeight="1" x14ac:dyDescent="0.3">
      <c r="A7" s="116"/>
      <c r="B7" s="116"/>
      <c r="C7" s="116"/>
      <c r="D7" s="116"/>
      <c r="E7" s="116"/>
      <c r="F7" s="116"/>
      <c r="G7" s="117"/>
      <c r="H7" s="3"/>
      <c r="I7" s="1"/>
      <c r="J7" s="1"/>
      <c r="K7" s="1"/>
      <c r="L7" s="1"/>
      <c r="M7" s="1"/>
      <c r="N7" s="1"/>
      <c r="O7" s="2"/>
      <c r="P7" s="2"/>
      <c r="Q7" s="2"/>
      <c r="R7" s="2"/>
      <c r="S7" s="2"/>
      <c r="T7" s="2"/>
      <c r="U7" s="2"/>
      <c r="V7" s="2"/>
    </row>
    <row r="8" spans="1:22" ht="64.5" customHeight="1" x14ac:dyDescent="0.3">
      <c r="A8" s="385" t="str">
        <f ca="1">TranslationsTB!$G95</f>
        <v xml:space="preserve">Instructions for filling Tuberculosis and HIV programmatic gap tables. 
Instructions for joint TB/HIV modules are found below, under the HIV Instructions. The TB/HIV modules are found on the "TB-HIV gap tables" tab. </v>
      </c>
      <c r="B8" s="385"/>
      <c r="C8" s="385"/>
      <c r="D8" s="385"/>
      <c r="E8" s="385"/>
      <c r="F8" s="385"/>
      <c r="G8" s="385"/>
      <c r="H8" s="3"/>
      <c r="I8" s="1"/>
      <c r="J8" s="1"/>
      <c r="K8" s="1"/>
      <c r="L8" s="1"/>
      <c r="M8" s="1"/>
      <c r="N8" s="1"/>
      <c r="O8" s="2"/>
      <c r="P8" s="2"/>
      <c r="Q8" s="2"/>
      <c r="R8" s="2"/>
      <c r="S8" s="2"/>
      <c r="T8" s="2"/>
      <c r="U8" s="2"/>
      <c r="V8" s="2"/>
    </row>
    <row r="9" spans="1:22" s="17" customFormat="1" ht="30" customHeight="1" x14ac:dyDescent="0.3">
      <c r="A9" s="379" t="str">
        <f ca="1">TranslationsTB!$G3</f>
        <v>Instructions - TB Priority Modules</v>
      </c>
      <c r="B9" s="379"/>
      <c r="C9" s="379"/>
      <c r="D9" s="379"/>
      <c r="E9" s="379"/>
      <c r="F9" s="379"/>
      <c r="G9" s="379"/>
      <c r="H9" s="52"/>
    </row>
    <row r="10" spans="1:22" s="17" customFormat="1" ht="30" customHeight="1" x14ac:dyDescent="0.3">
      <c r="A10" s="380" t="str">
        <f ca="1">TranslationsTB!$G4</f>
        <v xml:space="preserve">Instructions for filling TB programmatic gap table: </v>
      </c>
      <c r="B10" s="380"/>
      <c r="C10" s="380"/>
      <c r="D10" s="380"/>
      <c r="E10" s="380"/>
      <c r="F10" s="380"/>
      <c r="G10" s="380"/>
      <c r="H10" s="52"/>
    </row>
    <row r="11" spans="1:22" s="17" customFormat="1" ht="409.6" customHeight="1" x14ac:dyDescent="0.3">
      <c r="A11" s="383" t="str">
        <f ca="1">TranslationsTB!$G5</f>
        <v>Please complete separate programmatic gap tables, found on the "Tables" worksheet, for priority modules that are relevant to the TB funding request. The following list specifies possible modules and relevant interventions that can be selected. Complete tables only for the interventions that are supported and for which funding is being requested. Refer to the Modular Framework Handbook for a list of all modules, interventions with accompanying descriptions and indicators. 
For guidance when completing these programmatic gap tables, please refer to the Modular Framework handbook and the Global Fund TB Information Note, which includes reference to relevant technical guidance documents.
Priority Modules/Interventions:
- TB diagnosis, treatment and care
          -&gt; TB screening and diagnosis
- DR-TB diagnosis, treatment and care
          -&gt; DR-TB diagnosis/DST
          -&gt; DR-TB Treatment, care and support
- TB/HIV
          -&gt; TB/HIV Screening, testing and diagnosis
          -&gt; TB/HIV Treatment and care
          -&gt; TB/HIV Prevention  
- TB/DR-TB Prevention
          -&gt; Screening/testing for TB infection
          -&gt; Preventive treatment
Optional modules and interventions for the programmatic gap table which could be included depending on country contexts and level of investment:
- Collaboration with other providers and sectors
          -&gt; Private provider engagement in TB/DR-TB care
- Collaboration with other providers and sectors
          -&gt; Community-based TB/DR-TB care</v>
      </c>
      <c r="B11" s="383"/>
      <c r="C11" s="383"/>
      <c r="D11" s="383"/>
      <c r="E11" s="383"/>
      <c r="F11" s="383"/>
      <c r="G11" s="383"/>
    </row>
    <row r="12" spans="1:22" s="17" customFormat="1" ht="135.65" customHeight="1" x14ac:dyDescent="0.3">
      <c r="A12" s="383" t="str">
        <f ca="1">TranslationsTB!$G6</f>
        <v>To begin completing each table, specify the desired priority module/intervention by selecting from the drop-down list provided next to the "Priority Module" line. The corresponding coverage indicator will appear automatically once a module/intervention has been selected.  Blank cells highlighted in white require input. Cells highlighted in purple and gray will then be filled automatically.
If submitting separate TB and HIV funding requests, gap analysis tables for TB/HIV interventions should be included in both the TB and HIV requests. In the case of a joint TB/HIV request, please complete the tables in the joint TB/HIV programmatic gap Excel file.
The following instructions provide detailed information on how to complete the gap table for each module/intervention. Note that separate tables are to be completed for each TB/HIV collaborative intervention. Remember, among the 6 priority modules listed above, complete tables for only the interventions/indicators that are relevant to the funding request.</v>
      </c>
      <c r="B12" s="383"/>
      <c r="C12" s="383"/>
      <c r="D12" s="383"/>
      <c r="E12" s="383"/>
      <c r="F12" s="383"/>
      <c r="G12" s="383"/>
    </row>
    <row r="13" spans="1:22" s="17" customFormat="1" ht="45" customHeight="1" x14ac:dyDescent="0.3">
      <c r="A13" s="366" t="str">
        <f ca="1">TranslationsTB!$G8</f>
        <v>In cases where the indicators used by the country are worded differently than what is included in the programmatic gap tables (but measurement is the same), please include the country definition in the comments box. A blank table can be found on the "Blank table" sheet in the case where the number of tables provided in the workbook is not sufficient, or if the applicant wishes to submit a table for a module/intervention/indicator that is not specified in the instructions below.</v>
      </c>
      <c r="B13" s="366"/>
      <c r="C13" s="366"/>
      <c r="D13" s="366"/>
      <c r="E13" s="366"/>
      <c r="F13" s="366"/>
      <c r="G13" s="366"/>
    </row>
    <row r="14" spans="1:22" s="17" customFormat="1" ht="30" customHeight="1" x14ac:dyDescent="0.3">
      <c r="A14" s="384" t="str">
        <f ca="1">TranslationsTB!$G$7</f>
        <v>Reference (for DS and DR-TB testing): Planning and budgeting tool for TB and drug-resistant TB testing -  https://www.who.int/publications/i/item/WHO-UCN-TB-2021.8</v>
      </c>
      <c r="B14" s="384"/>
      <c r="C14" s="384"/>
      <c r="D14" s="384"/>
      <c r="E14" s="384"/>
      <c r="F14" s="384"/>
      <c r="G14" s="384"/>
    </row>
    <row r="15" spans="1:22" s="17" customFormat="1" ht="30" customHeight="1" x14ac:dyDescent="0.3">
      <c r="A15" s="365" t="str">
        <f ca="1">TranslationsTB!$G53</f>
        <v>The Modular Framework -  https://www.theglobalfund.org/media/4309/fundingmodel_modularframework_handbook_en.pdf</v>
      </c>
      <c r="B15" s="365"/>
      <c r="C15" s="365"/>
      <c r="D15" s="365"/>
      <c r="E15" s="365"/>
      <c r="F15" s="365"/>
      <c r="G15" s="365"/>
    </row>
    <row r="16" spans="1:22" s="17" customFormat="1" ht="30" customHeight="1" x14ac:dyDescent="0.3">
      <c r="A16" s="365" t="str">
        <f ca="1">TranslationsTB!$G54</f>
        <v>Global Fund TB Information Note - https://www.theglobalfund.org/media/4759/core_resilientsustainablesystemsforhealth_infonote_en.pdf</v>
      </c>
      <c r="B16" s="365"/>
      <c r="C16" s="365"/>
      <c r="D16" s="365"/>
      <c r="E16" s="365"/>
      <c r="F16" s="365"/>
      <c r="G16" s="365"/>
    </row>
    <row r="17" spans="1:8" s="17" customFormat="1" ht="30" customHeight="1" x14ac:dyDescent="0.3">
      <c r="A17" s="380" t="str">
        <f ca="1">TranslationsTB!$G9</f>
        <v>"TB-Tables" Tab</v>
      </c>
      <c r="B17" s="380"/>
      <c r="C17" s="380"/>
      <c r="D17" s="380"/>
      <c r="E17" s="380"/>
      <c r="F17" s="380"/>
      <c r="G17" s="380"/>
      <c r="H17" s="52"/>
    </row>
    <row r="18" spans="1:8" s="17" customFormat="1" ht="30" customHeight="1" x14ac:dyDescent="0.3">
      <c r="A18" s="386" t="str">
        <f ca="1">TranslationsTB!$G10</f>
        <v>TB diagnosis, treatment and care – TB screening and diagnosis</v>
      </c>
      <c r="B18" s="386"/>
      <c r="C18" s="386"/>
      <c r="D18" s="386"/>
      <c r="E18" s="386"/>
      <c r="F18" s="386"/>
      <c r="G18" s="386"/>
    </row>
    <row r="19" spans="1:8" s="17" customFormat="1" ht="30.75" customHeight="1" x14ac:dyDescent="0.3">
      <c r="A19" s="383" t="str">
        <f ca="1">TranslationsTB!$G11</f>
        <v>Coverage indicator: 
Number of patients with of all forms of TB notified (i.e., bacteriologically confirmed + clinically diagnosed); *includes only those with new and relapse TB.</v>
      </c>
      <c r="B19" s="383"/>
      <c r="C19" s="383"/>
      <c r="D19" s="383"/>
      <c r="E19" s="383"/>
      <c r="F19" s="383"/>
      <c r="G19" s="383"/>
    </row>
    <row r="20" spans="1:8" s="17" customFormat="1" ht="48.75" customHeight="1" x14ac:dyDescent="0.3">
      <c r="A20" s="383" t="str">
        <f ca="1">TranslationsTB!$G12</f>
        <v>Estimated population in need/at risk:
Refers to the estimated incidence of all forms of TB cases.</v>
      </c>
      <c r="B20" s="383"/>
      <c r="C20" s="383"/>
      <c r="D20" s="383"/>
      <c r="E20" s="383"/>
      <c r="F20" s="383"/>
      <c r="G20" s="383"/>
    </row>
    <row r="21" spans="1:8" s="17" customFormat="1" ht="109.5" customHeight="1" x14ac:dyDescent="0.3">
      <c r="A21" s="383" t="str">
        <f ca="1">TranslationsTB!$G13</f>
        <v>Country target:
Refers to NSP or any other latest agreed country target.
1) "#" refers to all forms of TB cases (new and relapse) to be notified to national health authorities. It includes bacteriologically confirmed plus those that are diagnosed using other tests such as X-rays (including digital X-ray with or without CAD/AI), cytology and clinically diagnosed.
2) "%" refers to the treatment coverage, i.e., the proportion of all forms of TB cases (new and relapse) notified among the number of estimated incident TB cases.</v>
      </c>
      <c r="B21" s="383"/>
      <c r="C21" s="383"/>
      <c r="D21" s="383"/>
      <c r="E21" s="383"/>
      <c r="F21" s="383"/>
      <c r="G21" s="383"/>
    </row>
    <row r="22" spans="1:8" s="17" customFormat="1" ht="138.75" customHeight="1" x14ac:dyDescent="0.3">
      <c r="A22" s="387" t="str">
        <f ca="1">TranslationsTB!$G$14</f>
        <v>Country need already covered:
1) Country need already covered is broken down into need planned to be covered by domestic resources (line C1), and external resources (line C2). 
2) National private sector investments are to be included under domestic sources. 
3) In cases where part of the need during the year is covered by a current Global Fund grant (that ends prior to the start of the new implementation period), it can be included in the external resources category. 
4) Once C1 and C2 are filled in, the total of country need already covered is automatically calculated in line C3. Note that line C3 is locked and cannot be overridden. Therefore, please use line C1 to provide a total if the domestic and external breakdown of resources is not available. 
5) If this is the case, specify in the comments box that line C1 refers to the total of both domestic and external resources.</v>
      </c>
      <c r="B22" s="387"/>
      <c r="C22" s="387"/>
      <c r="D22" s="387"/>
      <c r="E22" s="387"/>
      <c r="F22" s="387"/>
      <c r="G22" s="387"/>
    </row>
    <row r="23" spans="1:8" s="17" customFormat="1" ht="42" customHeight="1" x14ac:dyDescent="0.3">
      <c r="A23" s="383" t="str">
        <f ca="1">TranslationsTB!$G$15</f>
        <v>Programmatic gap:
The programmatic gap is calculated based on total need (line A).</v>
      </c>
      <c r="B23" s="383"/>
      <c r="C23" s="383"/>
      <c r="D23" s="383"/>
      <c r="E23" s="383"/>
      <c r="F23" s="383"/>
      <c r="G23" s="383"/>
    </row>
    <row r="24" spans="1:8" s="17" customFormat="1" ht="90" customHeight="1" x14ac:dyDescent="0.3">
      <c r="A24" s="383" t="str">
        <f ca="1">TranslationsTB!$G16</f>
        <v>Comments/Assumptions:
1) Specify the target geographic area.
2) Specify who are the other sources of funding.
3) Specify the number and proportion of childhood TB cases to be notified among the total notified.
4) Along with the country targets, in the comments column specify the current and targeted treatment success rate for all new TB cases over each of the three years.</v>
      </c>
      <c r="B24" s="383"/>
      <c r="C24" s="383"/>
      <c r="D24" s="383"/>
      <c r="E24" s="383"/>
      <c r="F24" s="383"/>
      <c r="G24" s="383"/>
    </row>
    <row r="25" spans="1:8" s="17" customFormat="1" ht="30" customHeight="1" x14ac:dyDescent="0.3">
      <c r="A25" s="386" t="str">
        <f ca="1">TranslationsTB!$G17</f>
        <v>Drug-resistant (DR)-TB diagnosis, treatment and care - DR-TB diagnosis/drug susceptibility testing (DST)</v>
      </c>
      <c r="B25" s="386"/>
      <c r="C25" s="386"/>
      <c r="D25" s="386"/>
      <c r="E25" s="386"/>
      <c r="F25" s="386"/>
      <c r="G25" s="386"/>
    </row>
    <row r="26" spans="1:8" s="17" customFormat="1" ht="48.75" customHeight="1" x14ac:dyDescent="0.3">
      <c r="A26" s="370" t="str">
        <f ca="1">TranslationsTB!$G18</f>
        <v>Coverage indicator: 
Number of people with confirmed RR-TB and/or MDR-TB notified</v>
      </c>
      <c r="B26" s="370"/>
      <c r="C26" s="370"/>
      <c r="D26" s="370"/>
      <c r="E26" s="370"/>
      <c r="F26" s="370"/>
      <c r="G26" s="370"/>
    </row>
    <row r="27" spans="1:8" s="17" customFormat="1" ht="42.75" customHeight="1" x14ac:dyDescent="0.3">
      <c r="A27" s="370" t="str">
        <f ca="1">TranslationsTB!$G19</f>
        <v>Estimated population in need/at risk:
Refers to the number of the estimated DR-TB (RR/MDR-TB) cases among all new and retreatment cases.</v>
      </c>
      <c r="B27" s="370"/>
      <c r="C27" s="370"/>
      <c r="D27" s="370"/>
      <c r="E27" s="370"/>
      <c r="F27" s="370"/>
      <c r="G27" s="370"/>
    </row>
    <row r="28" spans="1:8" s="17" customFormat="1" ht="90" customHeight="1" x14ac:dyDescent="0.3">
      <c r="A28" s="370" t="str">
        <f ca="1">TranslationsTB!$G21</f>
        <v>Country target:
Refers to NSP or any other latest agreed country target.
1) "#" refers to the bacteriologically confirmed drug resistant TB (DR-TB) cases (RR/MDR-TB) notified.
2) "%" refers to the percentage of DR-TB (RR/MDR-TB) cases notified as a proportion of the estimated DR-TB (RR/MDR-TB) cases among all new and retreatment cases.</v>
      </c>
      <c r="B28" s="370"/>
      <c r="C28" s="370"/>
      <c r="D28" s="370"/>
      <c r="E28" s="370"/>
      <c r="F28" s="370"/>
      <c r="G28" s="370"/>
    </row>
    <row r="29" spans="1:8" s="17" customFormat="1" ht="131.25" customHeight="1" x14ac:dyDescent="0.3">
      <c r="A29" s="374" t="str">
        <f ca="1">TranslationsTB!$G$14</f>
        <v>Country need already covered:
1) Country need already covered is broken down into need planned to be covered by domestic resources (line C1), and external resources (line C2). 
2) National private sector investments are to be included under domestic sources. 
3) In cases where part of the need during the year is covered by a current Global Fund grant (that ends prior to the start of the new implementation period), it can be included in the external resources category. 
4) Once C1 and C2 are filled in, the total of country need already covered is automatically calculated in line C3. Note that line C3 is locked and cannot be overridden. Therefore, please use line C1 to provide a total if the domestic and external breakdown of resources is not available. 
5) If this is the case, specify in the comments box that line C1 refers to the total of both domestic and external resources.</v>
      </c>
      <c r="B29" s="374"/>
      <c r="C29" s="374"/>
      <c r="D29" s="374"/>
      <c r="E29" s="374"/>
      <c r="F29" s="374"/>
      <c r="G29" s="374"/>
    </row>
    <row r="30" spans="1:8" s="17" customFormat="1" ht="51.75" customHeight="1" x14ac:dyDescent="0.3">
      <c r="A30" s="370" t="str">
        <f ca="1">TranslationsTB!$G$15</f>
        <v>Programmatic gap:
The programmatic gap is calculated based on total need (line A).</v>
      </c>
      <c r="B30" s="370"/>
      <c r="C30" s="370"/>
      <c r="D30" s="370"/>
      <c r="E30" s="370"/>
      <c r="F30" s="370"/>
      <c r="G30" s="370"/>
    </row>
    <row r="31" spans="1:8" s="17" customFormat="1" ht="59.15" customHeight="1" x14ac:dyDescent="0.3">
      <c r="A31" s="370" t="str">
        <f ca="1">TranslationsTB!$G22</f>
        <v>Comments/Assumptions:
1) Specify the target geographic area.
2) Specify who are the other sources of funding.</v>
      </c>
      <c r="B31" s="370"/>
      <c r="C31" s="370"/>
      <c r="D31" s="370"/>
      <c r="E31" s="370"/>
      <c r="F31" s="370"/>
      <c r="G31" s="370"/>
    </row>
    <row r="32" spans="1:8" s="17" customFormat="1" ht="30" customHeight="1" x14ac:dyDescent="0.3">
      <c r="A32" s="386" t="str">
        <f ca="1">TranslationsTB!$G23</f>
        <v>DR-TB diagnosis, treatment and care – DR-TB treatment, care and support</v>
      </c>
      <c r="B32" s="386"/>
      <c r="C32" s="386"/>
      <c r="D32" s="386"/>
      <c r="E32" s="386"/>
      <c r="F32" s="386"/>
      <c r="G32" s="386"/>
    </row>
    <row r="33" spans="1:7" s="17" customFormat="1" ht="45" customHeight="1" x14ac:dyDescent="0.3">
      <c r="A33" s="370" t="str">
        <f ca="1">TranslationsTB!$G24</f>
        <v>Coverage indicator: 
Number of bacteriologically confirmed RR-TB and/or MDR-TB cases registered and started on a prescribed RR-TB and/or MDR-TB treatment regimen.</v>
      </c>
      <c r="B33" s="370"/>
      <c r="C33" s="370"/>
      <c r="D33" s="370"/>
      <c r="E33" s="370"/>
      <c r="F33" s="370"/>
      <c r="G33" s="370"/>
    </row>
    <row r="34" spans="1:7" s="17" customFormat="1" ht="41.25" customHeight="1" x14ac:dyDescent="0.3">
      <c r="A34" s="370" t="str">
        <f ca="1">TranslationsTB!$G25</f>
        <v xml:space="preserve">Estimated population in need/at risk:
It refers to the number of the estimated MDR/RR TB cases among all new and retreatment cases. </v>
      </c>
      <c r="B34" s="370"/>
      <c r="C34" s="370"/>
      <c r="D34" s="370"/>
      <c r="E34" s="370"/>
      <c r="F34" s="370"/>
      <c r="G34" s="370"/>
    </row>
    <row r="35" spans="1:7" s="17" customFormat="1" ht="88.5" customHeight="1" x14ac:dyDescent="0.3">
      <c r="A35" s="370" t="str">
        <f ca="1">TranslationsTB!$G26</f>
        <v>Country target:
Refers to NSP or any other latest agreed country target.
1) "#" refers to the registered cases with DR-TB (RR/MDR-TB) to be enrolled on second-line treatment.
2) "%" refers to the DR-TB (RR/MDR-TB) cases to be enrolled on second-line treatment among the estimated MDR-TB cases in need of treatment.</v>
      </c>
      <c r="B35" s="370"/>
      <c r="C35" s="370"/>
      <c r="D35" s="370"/>
      <c r="E35" s="370"/>
      <c r="F35" s="370"/>
      <c r="G35" s="370"/>
    </row>
    <row r="36" spans="1:7" s="17" customFormat="1" ht="132.75" customHeight="1" x14ac:dyDescent="0.3">
      <c r="A36" s="374" t="str">
        <f ca="1">TranslationsTB!$G$14</f>
        <v>Country need already covered:
1) Country need already covered is broken down into need planned to be covered by domestic resources (line C1), and external resources (line C2). 
2) National private sector investments are to be included under domestic sources. 
3) In cases where part of the need during the year is covered by a current Global Fund grant (that ends prior to the start of the new implementation period), it can be included in the external resources category. 
4) Once C1 and C2 are filled in, the total of country need already covered is automatically calculated in line C3. Note that line C3 is locked and cannot be overridden. Therefore, please use line C1 to provide a total if the domestic and external breakdown of resources is not available. 
5) If this is the case, specify in the comments box that line C1 refers to the total of both domestic and external resources.</v>
      </c>
      <c r="B36" s="374"/>
      <c r="C36" s="374"/>
      <c r="D36" s="374"/>
      <c r="E36" s="374"/>
      <c r="F36" s="374"/>
      <c r="G36" s="374"/>
    </row>
    <row r="37" spans="1:7" s="17" customFormat="1" ht="42.75" customHeight="1" x14ac:dyDescent="0.3">
      <c r="A37" s="370" t="str">
        <f ca="1">TranslationsTB!$G$15</f>
        <v>Programmatic gap:
The programmatic gap is calculated based on total need (line A).</v>
      </c>
      <c r="B37" s="370"/>
      <c r="C37" s="370"/>
      <c r="D37" s="370"/>
      <c r="E37" s="370"/>
      <c r="F37" s="370"/>
      <c r="G37" s="370"/>
    </row>
    <row r="38" spans="1:7" s="17" customFormat="1" ht="94.5" customHeight="1" x14ac:dyDescent="0.3">
      <c r="A38" s="370" t="str">
        <f ca="1">TranslationsTB!G27</f>
        <v>Comments/Assumptions:
1) Specify the target geographic area.
2) Specify who are the other sources of funding.
3) Along with the country targets, in the comments column specify the current and targeted treatment success rate for all bacteriologically confirmed DR-TB cases (RR/MDR-TB) over each of the three years.</v>
      </c>
      <c r="B38" s="370"/>
      <c r="C38" s="370"/>
      <c r="D38" s="370"/>
      <c r="E38" s="370"/>
      <c r="F38" s="370"/>
      <c r="G38" s="370"/>
    </row>
    <row r="39" spans="1:7" s="17" customFormat="1" ht="30" customHeight="1" x14ac:dyDescent="0.3">
      <c r="A39" s="386" t="str">
        <f ca="1">TranslationsTB!$G28</f>
        <v>TB/DR-TB prevention – Screening/testing for TB infection</v>
      </c>
      <c r="B39" s="386"/>
      <c r="C39" s="386"/>
      <c r="D39" s="386"/>
      <c r="E39" s="386"/>
      <c r="F39" s="386"/>
      <c r="G39" s="386"/>
    </row>
    <row r="40" spans="1:7" ht="57" customHeight="1" x14ac:dyDescent="0.3">
      <c r="A40" s="370" t="str">
        <f ca="1">TranslationsTB!$G29</f>
        <v>Coverage indicator: 
Contact investigation coverage: Proportion of contacts of people with bacteriologically-confirmed TB evaluated for TB among those eligible.</v>
      </c>
      <c r="B40" s="370"/>
      <c r="C40" s="370"/>
      <c r="D40" s="370"/>
      <c r="E40" s="370"/>
      <c r="F40" s="370"/>
      <c r="G40" s="370"/>
    </row>
    <row r="41" spans="1:7" s="17" customFormat="1" ht="99" customHeight="1" x14ac:dyDescent="0.3">
      <c r="A41" s="370" t="str">
        <f ca="1">TranslationsTB!$G30</f>
        <v>Estimated population in need/at risk:
Refers to the estimated number of eligible contacts of bacteriologically-confirmed people with TB during the period.
Target setting for the number of household contacts per bacteriologically confirmed person with TB should be based the national policy. Population census data to estimate the size of households, Stop TB UNHLM TB Prevention targets by country, modelling exercises based on program data, etc. are available options which the country can utilize during estimation.</v>
      </c>
      <c r="B41" s="370"/>
      <c r="C41" s="370"/>
      <c r="D41" s="370"/>
      <c r="E41" s="370"/>
      <c r="F41" s="370"/>
      <c r="G41" s="370"/>
    </row>
    <row r="42" spans="1:7" ht="82.5" customHeight="1" x14ac:dyDescent="0.3">
      <c r="A42" s="370" t="str">
        <f ca="1">TranslationsTB!$G31</f>
        <v>Country target:
Refers to NSP or any other latest agreed country target.
1) "#" refers to the number of contacts of people with bacteriologically confirmed TB who were evaluated for TB.
2) "%" refers to the percentage of contacts of people who were evaluated among the total number of eligible contacts of people with bacteriologically confirmed TB (see above).</v>
      </c>
      <c r="B42" s="370"/>
      <c r="C42" s="370"/>
      <c r="D42" s="370"/>
      <c r="E42" s="370"/>
      <c r="F42" s="370"/>
      <c r="G42" s="370"/>
    </row>
    <row r="43" spans="1:7" ht="132" customHeight="1" x14ac:dyDescent="0.3">
      <c r="A43" s="374" t="str">
        <f ca="1">TranslationsTB!$G$14</f>
        <v>Country need already covered:
1) Country need already covered is broken down into need planned to be covered by domestic resources (line C1), and external resources (line C2). 
2) National private sector investments are to be included under domestic sources. 
3) In cases where part of the need during the year is covered by a current Global Fund grant (that ends prior to the start of the new implementation period), it can be included in the external resources category. 
4) Once C1 and C2 are filled in, the total of country need already covered is automatically calculated in line C3. Note that line C3 is locked and cannot be overridden. Therefore, please use line C1 to provide a total if the domestic and external breakdown of resources is not available. 
5) If this is the case, specify in the comments box that line C1 refers to the total of both domestic and external resources.</v>
      </c>
      <c r="B43" s="374"/>
      <c r="C43" s="374"/>
      <c r="D43" s="374"/>
      <c r="E43" s="374"/>
      <c r="F43" s="374"/>
      <c r="G43" s="374"/>
    </row>
    <row r="44" spans="1:7" ht="60.65" customHeight="1" x14ac:dyDescent="0.3">
      <c r="A44" s="370" t="str">
        <f ca="1">TranslationsTB!$G$15</f>
        <v>Programmatic gap:
The programmatic gap is calculated based on total need (line A).</v>
      </c>
      <c r="B44" s="370"/>
      <c r="C44" s="370"/>
      <c r="D44" s="370"/>
      <c r="E44" s="370"/>
      <c r="F44" s="370"/>
      <c r="G44" s="370"/>
    </row>
    <row r="45" spans="1:7" ht="76" customHeight="1" x14ac:dyDescent="0.3">
      <c r="A45" s="370" t="str">
        <f ca="1">TranslationsTB!$G32</f>
        <v>Comments/Assumptions:
1) Specify the target geographic area.
2) Specify who are the other sources of funding.
3) Specify the number and proportion of contacts evaluated disaggregated by age (&lt;5, 5-14, 15+ years).</v>
      </c>
      <c r="B45" s="370"/>
      <c r="C45" s="370"/>
      <c r="D45" s="370"/>
      <c r="E45" s="370"/>
      <c r="F45" s="370"/>
      <c r="G45" s="370"/>
    </row>
    <row r="46" spans="1:7" ht="30" customHeight="1" x14ac:dyDescent="0.3">
      <c r="A46" s="386" t="str">
        <f ca="1">TranslationsTB!$G33</f>
        <v>TB/DR-TB prevention – Preventive treatment (eligible contacts)</v>
      </c>
      <c r="B46" s="386"/>
      <c r="C46" s="386"/>
      <c r="D46" s="386"/>
      <c r="E46" s="386"/>
      <c r="F46" s="386"/>
      <c r="G46" s="386"/>
    </row>
    <row r="47" spans="1:7" ht="53.15" customHeight="1" x14ac:dyDescent="0.3">
      <c r="A47" s="370" t="str">
        <f ca="1">TranslationsTB!$G34</f>
        <v>Coverage indicator: 
Number of people in contact with TB patients who began preventive therapy.</v>
      </c>
      <c r="B47" s="370"/>
      <c r="C47" s="370"/>
      <c r="D47" s="370"/>
      <c r="E47" s="370"/>
      <c r="F47" s="370"/>
      <c r="G47" s="370"/>
    </row>
    <row r="48" spans="1:7" s="17" customFormat="1" ht="58" customHeight="1" x14ac:dyDescent="0.3">
      <c r="A48" s="383" t="str">
        <f ca="1">TranslationsTB!$G35</f>
        <v xml:space="preserve">Estimated population in need/at risk:
Refers to the estimated number of eligible contacts of bacteriologically-confirmed people with TB initiated on TB preventive therapy after ruling out TB disease. </v>
      </c>
      <c r="B48" s="383"/>
      <c r="C48" s="383"/>
      <c r="D48" s="383"/>
      <c r="E48" s="383"/>
      <c r="F48" s="383"/>
      <c r="G48" s="383"/>
    </row>
    <row r="49" spans="1:7" ht="66.75" customHeight="1" x14ac:dyDescent="0.3">
      <c r="A49" s="370" t="str">
        <f ca="1">TranslationsTB!$G36</f>
        <v>Country target:
Refers to NSP or any other latest agreed country target.
1) '#" refers to the number of eligible contacts of people with bacteriologically confirmed TB commenced on TB preventive therapy.
2) "%" refers to the percentage of eligible contacts of bacteriologically-confirmed people with TB who commenced TPT (see above).</v>
      </c>
      <c r="B49" s="370"/>
      <c r="C49" s="370"/>
      <c r="D49" s="370"/>
      <c r="E49" s="370"/>
      <c r="F49" s="370"/>
      <c r="G49" s="370"/>
    </row>
    <row r="50" spans="1:7" ht="120" customHeight="1" x14ac:dyDescent="0.3">
      <c r="A50" s="374" t="str">
        <f ca="1">TranslationsTB!$G$14</f>
        <v>Country need already covered:
1) Country need already covered is broken down into need planned to be covered by domestic resources (line C1), and external resources (line C2). 
2) National private sector investments are to be included under domestic sources. 
3) In cases where part of the need during the year is covered by a current Global Fund grant (that ends prior to the start of the new implementation period), it can be included in the external resources category. 
4) Once C1 and C2 are filled in, the total of country need already covered is automatically calculated in line C3. Note that line C3 is locked and cannot be overridden. Therefore, please use line C1 to provide a total if the domestic and external breakdown of resources is not available. 
5) If this is the case, specify in the comments box that line C1 refers to the total of both domestic and external resources.</v>
      </c>
      <c r="B50" s="374"/>
      <c r="C50" s="374"/>
      <c r="D50" s="374"/>
      <c r="E50" s="374"/>
      <c r="F50" s="374"/>
      <c r="G50" s="374"/>
    </row>
    <row r="51" spans="1:7" ht="49.5" customHeight="1" x14ac:dyDescent="0.3">
      <c r="A51" s="370" t="str">
        <f ca="1">TranslationsTB!$G$15</f>
        <v>Programmatic gap:
The programmatic gap is calculated based on total need (line A).</v>
      </c>
      <c r="B51" s="370"/>
      <c r="C51" s="370"/>
      <c r="D51" s="370"/>
      <c r="E51" s="370"/>
      <c r="F51" s="370"/>
      <c r="G51" s="370"/>
    </row>
    <row r="52" spans="1:7" ht="83.15" customHeight="1" x14ac:dyDescent="0.3">
      <c r="A52" s="370" t="str">
        <f ca="1">TranslationsTB!$G37</f>
        <v>Programmatic gap: 
The programmatic gap is calculated based on total need (line A).</v>
      </c>
      <c r="B52" s="370"/>
      <c r="C52" s="370"/>
      <c r="D52" s="370"/>
      <c r="E52" s="370"/>
      <c r="F52" s="370"/>
      <c r="G52" s="370"/>
    </row>
    <row r="53" spans="1:7" ht="68.150000000000006" customHeight="1" x14ac:dyDescent="0.3">
      <c r="A53" s="370" t="str">
        <f ca="1">TranslationsTB!$G38</f>
        <v>Comments/Assumptions:
1) Specify the target geographic area.
2) Specify who are the other sources of funding.
3) Specify the number and proportion of child, adolescent and adult contacts to receive TPT among the total estimated number of contacts (&lt;5, 5-14, 15+ years).</v>
      </c>
      <c r="B53" s="370"/>
      <c r="C53" s="370"/>
      <c r="D53" s="370"/>
      <c r="E53" s="370"/>
      <c r="F53" s="370"/>
      <c r="G53" s="370"/>
    </row>
    <row r="54" spans="1:7" ht="30" customHeight="1" x14ac:dyDescent="0.3">
      <c r="A54" s="380" t="str">
        <f ca="1">TranslationsTB!$G39</f>
        <v xml:space="preserve">OPTIONAL: Collaboration with other providers and sectors – Private provider engagement in TB/DR-TB care </v>
      </c>
      <c r="B54" s="380"/>
      <c r="C54" s="380"/>
      <c r="D54" s="380"/>
      <c r="E54" s="380"/>
      <c r="F54" s="380"/>
      <c r="G54" s="380"/>
    </row>
    <row r="55" spans="1:7" s="17" customFormat="1" ht="30" customHeight="1" x14ac:dyDescent="0.3">
      <c r="A55" s="388" t="str">
        <f ca="1">TranslationsTB!$G40</f>
        <v>For countries with large proportion of patients seeking care in the private sector.</v>
      </c>
      <c r="B55" s="388"/>
      <c r="C55" s="388"/>
      <c r="D55" s="388"/>
      <c r="E55" s="388"/>
      <c r="F55" s="388"/>
      <c r="G55" s="388"/>
    </row>
    <row r="56" spans="1:7" ht="37.5" customHeight="1" x14ac:dyDescent="0.3">
      <c r="A56" s="370" t="str">
        <f ca="1">TranslationsTB!$G41</f>
        <v>Coverage indicator: 
Percentage of notified patients with all forms of TB (i.e., bacteriologically confirmed + clinically diagnosed) contributed by non-national TB program providers- private/non-governmental facilities; *includes only those with new and relapse TB.</v>
      </c>
      <c r="B56" s="370"/>
      <c r="C56" s="370"/>
      <c r="D56" s="370"/>
      <c r="E56" s="370"/>
      <c r="F56" s="370"/>
      <c r="G56" s="370"/>
    </row>
    <row r="57" spans="1:7" ht="69" customHeight="1" x14ac:dyDescent="0.3">
      <c r="A57" s="370" t="str">
        <f ca="1">TranslationsTB!$G42</f>
        <v xml:space="preserve">Estimated population in need/at risk:
Refers to the estimated number of TB cases that seek care in the private sector (private for-profit and not-for-profit). </v>
      </c>
      <c r="B57" s="370"/>
      <c r="C57" s="370"/>
      <c r="D57" s="370"/>
      <c r="E57" s="370"/>
      <c r="F57" s="370"/>
      <c r="G57" s="370"/>
    </row>
    <row r="58" spans="1:7" ht="99" customHeight="1" x14ac:dyDescent="0.3">
      <c r="A58" s="370" t="str">
        <f ca="1">TranslationsTB!$G43</f>
        <v>Country target:
Refers to NSP or any other latest agreed country target.
1) "#" refers to all forms of TB cases (new and relapse) to be notified to national health authorities by the private sector (NGOs and private-for-profit providers). It includes bacteriologically confirmed plus those that are diagnosed using other tests such as X-rays (including digital X-ray, with or without CAD/AI), cytology and clinically diagnosed.
2) "%" refers to the proportion of notified cases from the private sector providers among the total number of TB cases (all forms) notified to the national health authority in the PPM/PPE implementation areas.</v>
      </c>
      <c r="B58" s="370"/>
      <c r="C58" s="370"/>
      <c r="D58" s="370"/>
      <c r="E58" s="370"/>
      <c r="F58" s="370"/>
      <c r="G58" s="370"/>
    </row>
    <row r="59" spans="1:7" ht="75" customHeight="1" x14ac:dyDescent="0.3">
      <c r="A59" s="370" t="str">
        <f ca="1">TranslationsTB!$G44</f>
        <v xml:space="preserve">Country need already covered:
1) Country need already covered is broken down into need planned to be covered by domestic resources (line C1), and external resources (line C2). 
2) National private sector investments are to be included under domestic sources. 
3) In cases where part of the need during the year is covered by a current Global Fund grant (that ends prior to the start of the new implementation period), it can be included in the external resources category. </v>
      </c>
      <c r="B59" s="370"/>
      <c r="C59" s="370"/>
      <c r="D59" s="370"/>
      <c r="E59" s="370"/>
      <c r="F59" s="370"/>
      <c r="G59" s="370"/>
    </row>
    <row r="60" spans="1:7" ht="60.65" customHeight="1" x14ac:dyDescent="0.3">
      <c r="A60" s="370" t="str">
        <f ca="1">TranslationsTB!$G45</f>
        <v>Programmatic gap: 
The programmatic gap is calculated based on total need (line A).</v>
      </c>
      <c r="B60" s="370"/>
      <c r="C60" s="370"/>
      <c r="D60" s="370"/>
      <c r="E60" s="370"/>
      <c r="F60" s="370"/>
      <c r="G60" s="370"/>
    </row>
    <row r="61" spans="1:7" ht="69" customHeight="1" x14ac:dyDescent="0.3">
      <c r="A61" s="370" t="str">
        <f ca="1">TranslationsTB!$G46</f>
        <v>Comments/Assumptions:
1) Specify the target geographic area.
2) Specify who are the other sources of funding.
3) Along with the country targets, in the comments column specify the current and targeted treatment success rate for all new TB cases in the private sector over each of the three years.</v>
      </c>
      <c r="B61" s="370"/>
      <c r="C61" s="370"/>
      <c r="D61" s="370"/>
      <c r="E61" s="370"/>
      <c r="F61" s="370"/>
      <c r="G61" s="370"/>
    </row>
    <row r="62" spans="1:7" s="17" customFormat="1" ht="30" customHeight="1" x14ac:dyDescent="0.3">
      <c r="A62" s="380" t="str">
        <f ca="1">TranslationsTB!$G47</f>
        <v>OPTIONAL: Collaboration with other providers and sectors – Community-based TB/DR-TB care</v>
      </c>
      <c r="B62" s="380"/>
      <c r="C62" s="380"/>
      <c r="D62" s="380"/>
      <c r="E62" s="380"/>
      <c r="F62" s="380"/>
      <c r="G62" s="380"/>
    </row>
    <row r="63" spans="1:7" ht="47.25" customHeight="1" x14ac:dyDescent="0.3">
      <c r="A63" s="370" t="str">
        <f ca="1">TranslationsTB!$G48</f>
        <v>Coverage indicator: 
Percentage of notified patients with all forms of TB (i.e., bacteriologically confirmed + clinically diagnosed) contributed by non-national TB program providers- community referrals; *includes only those with new and relapse TB.</v>
      </c>
      <c r="B63" s="370"/>
      <c r="C63" s="370"/>
      <c r="D63" s="370"/>
      <c r="E63" s="370"/>
      <c r="F63" s="370"/>
      <c r="G63" s="370"/>
    </row>
    <row r="64" spans="1:7" ht="73" customHeight="1" x14ac:dyDescent="0.3">
      <c r="A64" s="370" t="str">
        <f ca="1">TranslationsTB!$G49</f>
        <v xml:space="preserve">Estimated population in need/at risk:
Refers to the estimated number of people with confirmed TB who were referred for diagnosis through community referrals. </v>
      </c>
      <c r="B64" s="370"/>
      <c r="C64" s="370"/>
      <c r="D64" s="370"/>
      <c r="E64" s="370"/>
      <c r="F64" s="370"/>
      <c r="G64" s="370"/>
    </row>
    <row r="65" spans="1:7" ht="96" customHeight="1" x14ac:dyDescent="0.3">
      <c r="A65" s="374" t="str">
        <f ca="1">TranslationsTB!$G$50</f>
        <v>Country target:
Refers to NSP or any other latest agreed country target.
1) "#" refers to the number of people with TB (all forms) i.e. bacteriologically confirmed plus clinically diagnosed referred by the community to a health facility for diagnosis.
2) "%" refers to the proportion of the total number of notified people with TB (all forms) that were referred by the community in the reporting period.</v>
      </c>
      <c r="B65" s="374"/>
      <c r="C65" s="374"/>
      <c r="D65" s="374"/>
      <c r="E65" s="374"/>
      <c r="F65" s="374"/>
      <c r="G65" s="374"/>
    </row>
    <row r="66" spans="1:7" ht="112.5" customHeight="1" x14ac:dyDescent="0.3">
      <c r="A66" s="370" t="str">
        <f ca="1">TranslationsTB!$G$14</f>
        <v>Country need already covered:
1) Country need already covered is broken down into need planned to be covered by domestic resources (line C1), and external resources (line C2). 
2) National private sector investments are to be included under domestic sources. 
3) In cases where part of the need during the year is covered by a current Global Fund grant (that ends prior to the start of the new implementation period), it can be included in the external resources category. 
4) Once C1 and C2 are filled in, the total of country need already covered is automatically calculated in line C3. Note that line C3 is locked and cannot be overridden. Therefore, please use line C1 to provide a total if the domestic and external breakdown of resources is not available. 
5) If this is the case, specify in the comments box that line C1 refers to the total of both domestic and external resources.</v>
      </c>
      <c r="B66" s="370"/>
      <c r="C66" s="370"/>
      <c r="D66" s="370"/>
      <c r="E66" s="370"/>
      <c r="F66" s="370"/>
      <c r="G66" s="370"/>
    </row>
    <row r="67" spans="1:7" ht="70.5" customHeight="1" x14ac:dyDescent="0.3">
      <c r="A67" s="370" t="str">
        <f ca="1">TranslationsTB!$G$15</f>
        <v>Programmatic gap:
The programmatic gap is calculated based on total need (line A).</v>
      </c>
      <c r="B67" s="370"/>
      <c r="C67" s="370"/>
      <c r="D67" s="370"/>
      <c r="E67" s="370"/>
      <c r="F67" s="370"/>
      <c r="G67" s="370"/>
    </row>
    <row r="68" spans="1:7" ht="78" customHeight="1" x14ac:dyDescent="0.3">
      <c r="A68" s="370" t="str">
        <f ca="1">TranslationsTB!G52</f>
        <v>Comments/Assumptions:
1) Specify the target geographic area.
2) Specify who are the other sources of funding.</v>
      </c>
      <c r="B68" s="370"/>
      <c r="C68" s="370"/>
      <c r="D68" s="370"/>
      <c r="E68" s="370"/>
      <c r="F68" s="370"/>
      <c r="G68" s="370"/>
    </row>
    <row r="69" spans="1:7" s="17" customFormat="1" ht="30" customHeight="1" x14ac:dyDescent="0.3">
      <c r="A69" s="379" t="str">
        <f ca="1">TranslationsHIV!G3</f>
        <v xml:space="preserve">Instructions - HIV Priority Modules </v>
      </c>
      <c r="B69" s="379"/>
      <c r="C69" s="379"/>
      <c r="D69" s="379"/>
      <c r="E69" s="379"/>
      <c r="F69" s="379"/>
      <c r="G69" s="379"/>
    </row>
    <row r="70" spans="1:7" ht="297.64999999999998" customHeight="1" x14ac:dyDescent="0.3">
      <c r="A70" s="366" t="str">
        <f ca="1">TranslationsHIV!$G5</f>
        <v>Please complete separate programmatic gap tables for 4-6 priority modules in the HIV funding request. The following list specifies possible modules and relevant interventions. Complete tables only for the interventions for which funding is being requested.
For guidance when completing these programmatic gap tables, please refer to the Modular Framework handbook and the Global Fund HIV Information Note, which includes reference to relevant technical guidance documents. 
Priority Modules/Interventions, as per the Modular Framework Handbook:
1. Treatment, care and support    
2. Differentiated HIV Testing Services*
3. TB/HIV **
4. Elimination of vertical transmission of HIV, syphilis and hepatitis B ***
5. Prevention package for key populations and AGYW ****
6.  PrEP *****
7. Condoms *****</v>
      </c>
      <c r="B70" s="366"/>
      <c r="C70" s="366"/>
      <c r="D70" s="366"/>
      <c r="E70" s="366"/>
      <c r="F70" s="366"/>
      <c r="G70" s="366"/>
    </row>
    <row r="71" spans="1:7" ht="380.5" customHeight="1" x14ac:dyDescent="0.3">
      <c r="A71" s="381" t="str">
        <f ca="1">TranslationsHIV!$G$6</f>
        <v xml:space="preserve">*Differentiated HIV Testing Services
         -&gt; The HIV Testing gap table should be completed for the two priority key population groups in terms of incidence or number of new infections: men who have sex with men; sex workers; transgender people; people who inject drugs. In addition, the Global Fund AGYW priority countries should complete the gap table for adolescent girls and young women in high incidence settings. 
**TB/HIV
         -&gt; If submitting separate TB and HIV funding requests, gap analysis tables for TB/HIV interventions should be included in both the TB and HIV requests. In the case of a joint TB/HIV request, please complete the tables provided in the joint TB/HIV programmatic gap Excel file.
         -&gt; If the applicant is part of the WHO’s 30 highest TB/HIV burden countries they must complete the tables linked to this module.  The WHO’s 30 highest TB/HIV burden countries are Botswana, Brazil, Cameroon, Central African Republic, China, Congo, Democratic Republic of the Congo, Eswatini, Ethiopia, Gabon, Guinea, Guinea-Bissau, India, Indonesia, Kenya,  Lesotho, Liberia, Malawi, Mozambique, Myanmar, Namibia, Nigeria, Philippines, Russian Federation, South Africa, Thailand, Uganda, United Republic of Tanzania, Zambia, and Zimbabwe.
***Elimination of vertical transmission of HIV, syphilis and hepatitis B 
         -&gt;  If the applicant is among of the countries that have joined the Global Alliance to end Pediatric AIDS by 2030, they must complete the gap tables linked to this module. The 12 countries are Angola, Cameroon, Cote-D'Ivoire, DRC, Kenya, Mozambique, Nigeria, South Africa, Uganda, the United Republic of Tanzania, Zambia and Zimbabwe.
****Prevention package for key populations and AGYW 
         -&gt; If funding is requested for these modules, the following applies:
         -&gt; These modules refer to the following key and vulnerable populations: men who have sex with men; sex workers; transgender people; people who inject drugs; adolescent girls and young women in high incidence settings; and other vulnerable populations.
        -&gt; Gap tables must be completed for the prevention packages of two priority key population groups  in terms of incidence or number of new infections: men who have sex with men, sex workers, transgender people, people who inject drugs, other vulnerable populations.Note that 3 tables are provided in the 'Prevention' tab.
         -&gt; In addition, all the Global Fund AGYW priority countries need to complete the gap table for the prevention package for adolescent girls and young women in high incidence settings. 
*****PrEP and Condoms (3 tables provided in each tab)
         -&gt; If funding is requested for these modules, the following applies:
         -&gt; For the Global Fund incidence reduction strategy delivery priority countries, the PrEP gap table and the Condom gap table should be completed for the two priority key population groups in terms of incidence or number of new infections: men who have sex with men; sex workers; transgender people;and people who inject drugs. Rest of countries: condom and PrEP tables are negotiated with HIV advisor as needed.
         -&gt; For the Global Fund AGYW priority countries, these tables should be completed for adolescent girls and young women in high incidence settings.          </v>
      </c>
      <c r="B71" s="381"/>
      <c r="C71" s="381"/>
      <c r="D71" s="381"/>
      <c r="E71" s="381"/>
      <c r="F71" s="381"/>
      <c r="G71" s="381"/>
    </row>
    <row r="72" spans="1:7" ht="89.5" customHeight="1" x14ac:dyDescent="0.3">
      <c r="A72" s="366" t="str">
        <f ca="1">TranslationsHIV!$G7</f>
        <v>To begin completing each table, specify the desired priority module/intervention by selecting from the drop-down list provided next to the "Priority Module" line [note that this is pre-filled for some tables]. Then, select the corresponding coverage indicator from the drop-down list [unless pre-filled]. Blank cells highlighted in white require input. Cells highlighted in purple and gray will then be filled automatically.
The following instructions provide detailed information on how to complete the gap table for each module. Note that the TB/HIV collaborative intervention has several coverage indicators and therefore separate tables are to be completed. Remember, complete tables for only 4-6 priority modules.</v>
      </c>
      <c r="B72" s="366"/>
      <c r="C72" s="366"/>
      <c r="D72" s="366"/>
      <c r="E72" s="366"/>
      <c r="F72" s="366"/>
      <c r="G72" s="366"/>
    </row>
    <row r="73" spans="1:7" ht="66" customHeight="1" x14ac:dyDescent="0.3">
      <c r="A73" s="366" t="str">
        <f ca="1">TranslationsHIV!G8</f>
        <v>In cases where the indicators used by the country are worded differently than what is included in the programmatic gap tables (but the measurement is the same), please include the country definition in the comments box. A blank table can be found on the "Blank table" tab in the case where the number of tables provided in the workbook is not sufficient, or if the applicant wishes to submit a table for a module/intervention/indicator that is not specified in the instructions below.</v>
      </c>
      <c r="B73" s="366"/>
      <c r="C73" s="366"/>
      <c r="D73" s="366"/>
      <c r="E73" s="366"/>
      <c r="F73" s="366"/>
      <c r="G73" s="366"/>
    </row>
    <row r="74" spans="1:7" ht="66" customHeight="1" x14ac:dyDescent="0.3">
      <c r="A74" s="366" t="str">
        <f ca="1">TranslationsHIV!G84</f>
        <v xml:space="preserve">Note: Throughout the instructions, the term “high incidence settings” is used to indicate “high-risk AGYW”. High HIV incidence settings are sub-national locations with an HIV incidence of 1% or more among AGYW 15-24 years as per UNAIDS criteria. AGYW residing in these areas are considered high-risk. However, those residing within areas with moderate HIV incidence of 0.3% to &lt;1% can also be considered high-risk AGYW based on their reported behaviour (AGYW with non-regular sexual partner(s) and young women from key populations). [UNAIDS (2021). Global AIDS Strategy 2021-2026 — End Inequalities. End AIDS.]  </v>
      </c>
      <c r="B74" s="366"/>
      <c r="C74" s="366"/>
      <c r="D74" s="366"/>
      <c r="E74" s="366"/>
      <c r="F74" s="366"/>
      <c r="G74" s="366"/>
    </row>
    <row r="75" spans="1:7" ht="30" customHeight="1" x14ac:dyDescent="0.3">
      <c r="A75" s="365" t="str">
        <f ca="1">TranslationsHIV!G82</f>
        <v>The Modular Framework -  https://www.theglobalfund.org/media/4309/fundingmodel_modularframework_handbook_en.pdf</v>
      </c>
      <c r="B75" s="365"/>
      <c r="C75" s="365"/>
      <c r="D75" s="365"/>
      <c r="E75" s="365"/>
      <c r="F75" s="365"/>
      <c r="G75" s="365"/>
    </row>
    <row r="76" spans="1:7" ht="30" customHeight="1" x14ac:dyDescent="0.3">
      <c r="A76" s="365" t="str">
        <f ca="1">TranslationsHIV!G83</f>
        <v>Global Fund HIV Information Note - https://www.theglobalfund.org/media/4759/core_resilientsustainablesystemsforhealth_infonote_en.pdf</v>
      </c>
      <c r="B76" s="365"/>
      <c r="C76" s="365"/>
      <c r="D76" s="365"/>
      <c r="E76" s="365"/>
      <c r="F76" s="365"/>
      <c r="G76" s="365"/>
    </row>
    <row r="77" spans="1:7" ht="30" customHeight="1" x14ac:dyDescent="0.3">
      <c r="A77" s="372" t="str">
        <f ca="1">TranslationsHIV!$G$9</f>
        <v xml:space="preserve">"HIV-Treatment" Tab </v>
      </c>
      <c r="B77" s="372"/>
      <c r="C77" s="372"/>
      <c r="D77" s="372"/>
      <c r="E77" s="372"/>
      <c r="F77" s="372"/>
      <c r="G77" s="372"/>
    </row>
    <row r="78" spans="1:7" ht="30" customHeight="1" x14ac:dyDescent="0.3">
      <c r="A78" s="372" t="str">
        <f ca="1">TranslationsHIV!$G10</f>
        <v xml:space="preserve">Treatment, care and support </v>
      </c>
      <c r="B78" s="372"/>
      <c r="C78" s="372"/>
      <c r="D78" s="372"/>
      <c r="E78" s="372"/>
      <c r="F78" s="372"/>
      <c r="G78" s="372"/>
    </row>
    <row r="79" spans="1:7" ht="30" customHeight="1" x14ac:dyDescent="0.3">
      <c r="A79" s="373" t="str">
        <f ca="1">TranslationsHIV!$G11</f>
        <v>For ART, it is encouraged to complete separate tables for adults and for children, however the option to complete in aggregate is also provided.</v>
      </c>
      <c r="B79" s="373"/>
      <c r="C79" s="373"/>
      <c r="D79" s="373"/>
      <c r="E79" s="373"/>
      <c r="F79" s="373"/>
      <c r="G79" s="373"/>
    </row>
    <row r="80" spans="1:7" s="17" customFormat="1" ht="60" customHeight="1" x14ac:dyDescent="0.3">
      <c r="A80" s="368" t="str">
        <f ca="1">TranslationsHIV!$G12</f>
        <v>Coverage indicator: [select the relevant indicator from the drop-down list]
Percentage of people on ART among all people living with HIV at the end of the reporting period.</v>
      </c>
      <c r="B80" s="368"/>
      <c r="C80" s="368"/>
      <c r="D80" s="368"/>
      <c r="E80" s="368"/>
      <c r="F80" s="368"/>
      <c r="G80" s="368"/>
    </row>
    <row r="81" spans="1:8" ht="42.65" customHeight="1" x14ac:dyDescent="0.3">
      <c r="A81" s="368" t="str">
        <f ca="1">TranslationsHIV!G13</f>
        <v>Estimated population in need/at risk:
This refers to all adults and/or children living with HIV.</v>
      </c>
      <c r="B81" s="368"/>
      <c r="C81" s="368"/>
      <c r="D81" s="368"/>
      <c r="E81" s="368"/>
      <c r="F81" s="368"/>
      <c r="G81" s="368"/>
    </row>
    <row r="82" spans="1:8" ht="75.650000000000006" customHeight="1" x14ac:dyDescent="0.3">
      <c r="A82" s="368" t="str">
        <f ca="1">TranslationsHIV!G14</f>
        <v>Country target:
Refers to National Strategic Plan (NSP) or any other latest agreed country target.
1) "#" refers to the total number of people to be on antiretroviral therapy.
2) "%" refers to the number of adults and/or children expected to be on antiretroviral therapy among all adults and children living with HIV.</v>
      </c>
      <c r="B82" s="368"/>
      <c r="C82" s="368"/>
      <c r="D82" s="368"/>
      <c r="E82" s="368"/>
      <c r="F82" s="368"/>
      <c r="G82" s="368"/>
    </row>
    <row r="83" spans="1:8" ht="141" customHeight="1" x14ac:dyDescent="0.3">
      <c r="A83" s="374" t="str">
        <f ca="1">TranslationsHIV!$G$15</f>
        <v>Country need to meet global target already covered: 
1) Country need already covered is broken down into need planned to be covered by domestic resources (line C1), and external resources (line C2). 
2) National private sector investments are to be included under domestic sources. 
3) In cases where part of the need during the year is covered by a current Global Fund grant (that ends prior to the start of the new implementation period), it can be included in the external resources category. 
4) Once C1 and C2 are filled in, the total of country need already covered is automatically calculated in line C3. Note that line C3 is locked and cannot be overridden. Therefore, please use line C1 to provide a total if the domestic and external breakdown of resources is not available. 
5) If this is the case, specify in the comments box that line C1 refers to the total of both domestic and external resources.</v>
      </c>
      <c r="B83" s="374"/>
      <c r="C83" s="374"/>
      <c r="D83" s="374"/>
      <c r="E83" s="374"/>
      <c r="F83" s="374"/>
      <c r="G83" s="374"/>
    </row>
    <row r="84" spans="1:8" ht="56.15" customHeight="1" x14ac:dyDescent="0.3">
      <c r="A84" s="368" t="str">
        <f ca="1">TranslationsHIV!G16</f>
        <v>Programmatic gap:
The programmatic gap is calculated based on B1 Global targets as per the Global AIDS Strategy 2021-2026.</v>
      </c>
      <c r="B84" s="368"/>
      <c r="C84" s="368"/>
      <c r="D84" s="368"/>
      <c r="E84" s="368"/>
      <c r="F84" s="368"/>
      <c r="G84" s="368"/>
    </row>
    <row r="85" spans="1:8" ht="88.5" customHeight="1" x14ac:dyDescent="0.3">
      <c r="A85" s="368" t="str">
        <f ca="1">TranslationsHIV!G17</f>
        <v xml:space="preserve">Comments/Assumptions:
1) Specify the target geographic area.
2) Specify who are the other sources of funding.
3) Specify the amount of the programmatic gap that is in the within-allocation request, and the amount included in the above-allocation (PAAR). Clarify to what extent this request will cover needs in the highest incidence geographic areas.
4) Indicate the difference between the Country target and the Global target. </v>
      </c>
      <c r="B85" s="368"/>
      <c r="C85" s="368"/>
      <c r="D85" s="368"/>
      <c r="E85" s="368"/>
      <c r="F85" s="368"/>
      <c r="G85" s="368"/>
    </row>
    <row r="86" spans="1:8" ht="30" customHeight="1" x14ac:dyDescent="0.3">
      <c r="A86" s="372" t="str">
        <f ca="1">TranslationsHIV!G18</f>
        <v>Elimination of vertical transmission of HIV, syphilis and hepatitis B - "HIV-EMTCT" tab</v>
      </c>
      <c r="B86" s="372"/>
      <c r="C86" s="372"/>
      <c r="D86" s="372"/>
      <c r="E86" s="372"/>
      <c r="F86" s="372"/>
      <c r="G86" s="372"/>
    </row>
    <row r="87" spans="1:8" s="17" customFormat="1" ht="59.15" customHeight="1" x14ac:dyDescent="0.3">
      <c r="A87" s="368" t="str">
        <f ca="1">TranslationsHIV!G19</f>
        <v>Coverage indicator: [select the relevant coverage indicator from the drop-down list]
Percentage of pregnant women living with HIV who received antiretroviral medicine to reduce the risk of vertical transmission of HIV.</v>
      </c>
      <c r="B87" s="368"/>
      <c r="C87" s="368"/>
      <c r="D87" s="368"/>
      <c r="E87" s="368"/>
      <c r="F87" s="368"/>
      <c r="G87" s="368"/>
    </row>
    <row r="88" spans="1:8" ht="53.25" customHeight="1" x14ac:dyDescent="0.3">
      <c r="A88" s="368" t="str">
        <f ca="1">TranslationsHIV!G20</f>
        <v>Estimated population in need/at risk:
It refers to the estimated number of HIV-positive pregnant women.</v>
      </c>
      <c r="B88" s="368"/>
      <c r="C88" s="368"/>
      <c r="D88" s="368"/>
      <c r="E88" s="368"/>
      <c r="F88" s="368"/>
      <c r="G88" s="368"/>
    </row>
    <row r="89" spans="1:8" ht="85.5" customHeight="1" x14ac:dyDescent="0.3">
      <c r="A89" s="368" t="str">
        <f ca="1">TranslationsHIV!G21</f>
        <v>Country target:
Refers to NSP or any other latest agreed country target.
1) "#" refers to the number of HIV-positive pregnant women who are expected to receive antiretroviral drugs to reduce the risk of mother-to-child transmission during pregnancy and delivery.
2) "%" refers to the percentage of HIV-positive pregnant women who receive antiretrovirals to reduce the risk of mother-to-child transmission among the total estimated HIV-positive pregnant women.</v>
      </c>
      <c r="B89" s="368"/>
      <c r="C89" s="368"/>
      <c r="D89" s="368"/>
      <c r="E89" s="368"/>
      <c r="F89" s="368"/>
      <c r="G89" s="368"/>
    </row>
    <row r="90" spans="1:8" ht="121" customHeight="1" x14ac:dyDescent="0.3">
      <c r="A90" s="374" t="str">
        <f ca="1">TranslationsHIV!$G$15</f>
        <v>Country need to meet global target already covered: 
1) Country need already covered is broken down into need planned to be covered by domestic resources (line C1), and external resources (line C2). 
2) National private sector investments are to be included under domestic sources. 
3) In cases where part of the need during the year is covered by a current Global Fund grant (that ends prior to the start of the new implementation period), it can be included in the external resources category. 
4) Once C1 and C2 are filled in, the total of country need already covered is automatically calculated in line C3. Note that line C3 is locked and cannot be overridden. Therefore, please use line C1 to provide a total if the domestic and external breakdown of resources is not available. 
5) If this is the case, specify in the comments box that line C1 refers to the total of both domestic and external resources.</v>
      </c>
      <c r="B90" s="374"/>
      <c r="C90" s="374"/>
      <c r="D90" s="374"/>
      <c r="E90" s="374"/>
      <c r="F90" s="374"/>
      <c r="G90" s="374"/>
    </row>
    <row r="91" spans="1:8" ht="64.5" customHeight="1" x14ac:dyDescent="0.3">
      <c r="A91" s="368" t="str">
        <f ca="1">TranslationsHIV!G23</f>
        <v>Programmatic gap:
The programmatic gap is calculated based on B1 Global targets as per the Global AIDS Strategy 2021-2026.</v>
      </c>
      <c r="B91" s="368"/>
      <c r="C91" s="368"/>
      <c r="D91" s="368"/>
      <c r="E91" s="368"/>
      <c r="F91" s="368"/>
      <c r="G91" s="368"/>
      <c r="H91" s="22"/>
    </row>
    <row r="92" spans="1:8" ht="96" customHeight="1" x14ac:dyDescent="0.3">
      <c r="A92" s="368" t="str">
        <f ca="1">TranslationsHIV!G24</f>
        <v xml:space="preserve">Comments/Assumptions:
1) Specify the target geographic area.
2) Specify who are the other sources of funding.
3) Specify the amount of the programmatic gap that is in the within-allocation request, and the amount included in the above-allocation (PAAR). Clarify to what extent this request will cover needs in the highest incidence mother-to-child transmission geographic areas. 
4) Indicate the difference between the Country target and the Global target. </v>
      </c>
      <c r="B92" s="368"/>
      <c r="C92" s="368"/>
      <c r="D92" s="368"/>
      <c r="E92" s="368"/>
      <c r="F92" s="368"/>
      <c r="G92" s="368"/>
      <c r="H92" s="23"/>
    </row>
    <row r="93" spans="1:8" ht="30" customHeight="1" x14ac:dyDescent="0.3">
      <c r="A93" s="372" t="str">
        <f ca="1">TranslationsHIV!$A$121</f>
        <v>"HIV Testing" tab</v>
      </c>
      <c r="B93" s="372"/>
      <c r="C93" s="372"/>
      <c r="D93" s="372"/>
      <c r="E93" s="372"/>
      <c r="F93" s="372"/>
      <c r="G93" s="372"/>
      <c r="H93" s="23"/>
    </row>
    <row r="94" spans="1:8" ht="30" customHeight="1" x14ac:dyDescent="0.3">
      <c r="A94" s="373" t="str">
        <f ca="1">TranslationsHIV!G25</f>
        <v>Differentiated HIV Testing Services - "HIV-Testing" tab</v>
      </c>
      <c r="B94" s="373"/>
      <c r="C94" s="373"/>
      <c r="D94" s="373"/>
      <c r="E94" s="373"/>
      <c r="F94" s="373"/>
      <c r="G94" s="373"/>
      <c r="H94" s="22"/>
    </row>
    <row r="95" spans="1:8" ht="51.65" customHeight="1" x14ac:dyDescent="0.3">
      <c r="A95" s="368" t="str">
        <f ca="1">TranslationsHIV!G26</f>
        <v xml:space="preserve">Coverage indicator: [select the relevant coverage indicator from the drop down list]
Percentage of key populations that have received an HIV test during the reporting period in key population specific programs and know their results. </v>
      </c>
      <c r="B95" s="368"/>
      <c r="C95" s="368"/>
      <c r="D95" s="368"/>
      <c r="E95" s="368"/>
      <c r="F95" s="368"/>
      <c r="G95" s="368"/>
      <c r="H95" s="22"/>
    </row>
    <row r="96" spans="1:8" s="17" customFormat="1" ht="49" customHeight="1" x14ac:dyDescent="0.3">
      <c r="A96" s="368" t="str">
        <f ca="1">TranslationsHIV!G27</f>
        <v>Estimated population in need/at risk:
Refers to total estimated key and vulnerable populations in need of HIV testing.</v>
      </c>
      <c r="B96" s="368"/>
      <c r="C96" s="368"/>
      <c r="D96" s="368"/>
      <c r="E96" s="368"/>
      <c r="F96" s="368"/>
      <c r="G96" s="368"/>
      <c r="H96" s="67"/>
    </row>
    <row r="97" spans="1:8" ht="86.25" customHeight="1" x14ac:dyDescent="0.3">
      <c r="A97" s="368" t="str">
        <f ca="1">TranslationsHIV!G28</f>
        <v>Country target:
Refers to NSP or any other latest agreed country target.
1) "#" refers to the number of people in the specified key population expected to be tested for HIV in the specified year.
2) "%" refers to the percentage of people to be tested for HIV among the estimated number of people in the specified key population in the specified year.</v>
      </c>
      <c r="B97" s="368"/>
      <c r="C97" s="368"/>
      <c r="D97" s="368"/>
      <c r="E97" s="368"/>
      <c r="F97" s="368"/>
      <c r="G97" s="368"/>
      <c r="H97" s="22"/>
    </row>
    <row r="98" spans="1:8" ht="135" customHeight="1" x14ac:dyDescent="0.3">
      <c r="A98" s="374" t="str">
        <f ca="1">TranslationsHIV!$G$15</f>
        <v>Country need to meet global target already covered: 
1) Country need already covered is broken down into need planned to be covered by domestic resources (line C1), and external resources (line C2). 
2) National private sector investments are to be included under domestic sources. 
3) In cases where part of the need during the year is covered by a current Global Fund grant (that ends prior to the start of the new implementation period), it can be included in the external resources category. 
4) Once C1 and C2 are filled in, the total of country need already covered is automatically calculated in line C3. Note that line C3 is locked and cannot be overridden. Therefore, please use line C1 to provide a total if the domestic and external breakdown of resources is not available. 
5) If this is the case, specify in the comments box that line C1 refers to the total of both domestic and external resources.</v>
      </c>
      <c r="B98" s="374"/>
      <c r="C98" s="374"/>
      <c r="D98" s="374"/>
      <c r="E98" s="374"/>
      <c r="F98" s="374"/>
      <c r="G98" s="374"/>
      <c r="H98" s="22"/>
    </row>
    <row r="99" spans="1:8" ht="50.5" customHeight="1" x14ac:dyDescent="0.3">
      <c r="A99" s="368" t="str">
        <f ca="1">TranslationsHIV!G29</f>
        <v>Programmatic gap:
The programmatic gap is calculated based on B1 Global targets as per the Global AIDS Strategy 2021-2026.</v>
      </c>
      <c r="B99" s="368"/>
      <c r="C99" s="368"/>
      <c r="D99" s="368"/>
      <c r="E99" s="368"/>
      <c r="F99" s="368"/>
      <c r="G99" s="368"/>
    </row>
    <row r="100" spans="1:8" ht="92.25" customHeight="1" x14ac:dyDescent="0.3">
      <c r="A100" s="368" t="str">
        <f ca="1">TranslationsHIV!G30</f>
        <v xml:space="preserve">Comments/Assumptions:
1) Specify the target geographic area.
2) Specify who are the other sources of funding.
3) Specify the amount of the programmatic gap that is in the within-allocation request, and the amount included in the above-allocation (PAAR). Clarify to what extent this request will cover needs in the highest incidence geographic areas.
4) Indicate the difference between the Country target and the Global target. </v>
      </c>
      <c r="B100" s="368"/>
      <c r="C100" s="368"/>
      <c r="D100" s="368"/>
      <c r="E100" s="368"/>
      <c r="F100" s="368"/>
      <c r="G100" s="368"/>
    </row>
    <row r="101" spans="1:8" ht="30" customHeight="1" x14ac:dyDescent="0.3">
      <c r="A101" s="372" t="str">
        <f ca="1">TranslationsHIV!G31</f>
        <v>HIV Prevention programs gap table - "HIV-Prevention" tab</v>
      </c>
      <c r="B101" s="372"/>
      <c r="C101" s="372"/>
      <c r="D101" s="372"/>
      <c r="E101" s="372"/>
      <c r="F101" s="372"/>
      <c r="G101" s="372"/>
    </row>
    <row r="102" spans="1:8" ht="49" customHeight="1" x14ac:dyDescent="0.3">
      <c r="A102" s="373" t="str">
        <f ca="1">TranslationsHIV!G32</f>
        <v>There are 3 tables in the "HIV-Prevention" tab. Please complete separate tables for each of the key and vulnerable populations as relevant to the funding request. Reminder: Gap tables must be completed for the two priority key population groups in terms of incidence or number of new infections: men who have sex with men; sex workers, transgender people, people who inject drugs, other vulnerable popluations. In addition, all Global Fund AGYW priority countries need to complete the gap table for adolescent girls and young women in high incidence settings.</v>
      </c>
      <c r="B102" s="373"/>
      <c r="C102" s="373"/>
      <c r="D102" s="373"/>
      <c r="E102" s="373"/>
      <c r="F102" s="373"/>
      <c r="G102" s="373"/>
    </row>
    <row r="103" spans="1:8" ht="51" customHeight="1" x14ac:dyDescent="0.3">
      <c r="A103" s="368" t="str">
        <f ca="1">TranslationsHIV!G33</f>
        <v xml:space="preserve">Coverage Indicator:
Select the relevant coverage indicator from the drop-down list. </v>
      </c>
      <c r="B103" s="368"/>
      <c r="C103" s="368"/>
      <c r="D103" s="368"/>
      <c r="E103" s="368"/>
      <c r="F103" s="368"/>
      <c r="G103" s="368"/>
    </row>
    <row r="104" spans="1:8" ht="46" customHeight="1" x14ac:dyDescent="0.3">
      <c r="A104" s="368" t="str">
        <f ca="1">TranslationsHIV!G34</f>
        <v>Estimated population in need/at risk:
Refers to estimated number of people in the specified key or vulnerable population in need of prevention.</v>
      </c>
      <c r="B104" s="368"/>
      <c r="C104" s="368"/>
      <c r="D104" s="368"/>
      <c r="E104" s="368"/>
      <c r="F104" s="368"/>
      <c r="G104" s="368"/>
    </row>
    <row r="105" spans="1:8" ht="46" customHeight="1" x14ac:dyDescent="0.3">
      <c r="A105" s="375" t="str">
        <f ca="1">TranslationsHIV!$G$35</f>
        <v xml:space="preserve">Global target: 
Refers to the global targets as per the Global AIDS Strategy 2021-2026 (https://www.unaids.org/en/resources/documents/2021/2021-2026-global-AIDS-strategy) and hence set at 95% of the PSE. </v>
      </c>
      <c r="B105" s="375"/>
      <c r="C105" s="375"/>
      <c r="D105" s="375"/>
      <c r="E105" s="375"/>
      <c r="F105" s="375"/>
      <c r="G105" s="375"/>
    </row>
    <row r="106" spans="1:8" s="17" customFormat="1" ht="46.5" customHeight="1" x14ac:dyDescent="0.3">
      <c r="A106" s="368" t="str">
        <f ca="1">TranslationsHIV!G36</f>
        <v>Country target:
Refers to NSP or any other latest agreed country target.</v>
      </c>
      <c r="B106" s="368"/>
      <c r="C106" s="368"/>
      <c r="D106" s="368"/>
      <c r="E106" s="368"/>
      <c r="F106" s="368"/>
      <c r="G106" s="368"/>
    </row>
    <row r="107" spans="1:8" s="17" customFormat="1" ht="96" customHeight="1" x14ac:dyDescent="0.3">
      <c r="A107" s="368" t="str">
        <f ca="1">TranslationsHIV!G15</f>
        <v>Country need to meet global target already covered: 
1) Country need already covered is broken down into need planned to be covered by domestic resources (line C1), and external resources (line C2). 
2) National private sector investments are to be included under domestic sources. 
3) In cases where part of the need during the year is covered by a current Global Fund grant (that ends prior to the start of the new implementation period), it can be included in the external resources category. 
4) Once C1 and C2 are filled in, the total of country need already covered is automatically calculated in line C3. Note that line C3 is locked and cannot be overridden. Therefore, please use line C1 to provide a total if the domestic and external breakdown of resources is not available. 
5) If this is the case, specify in the comments box that line C1 refers to the total of both domestic and external resources.</v>
      </c>
      <c r="B107" s="368"/>
      <c r="C107" s="368"/>
      <c r="D107" s="368"/>
      <c r="E107" s="368"/>
      <c r="F107" s="368"/>
      <c r="G107" s="368"/>
    </row>
    <row r="108" spans="1:8" ht="63.75" customHeight="1" x14ac:dyDescent="0.3">
      <c r="A108" s="368" t="str">
        <f ca="1">TranslationsHIV!$G$37</f>
        <v>Programmatic gap:
The programmatic gap is calculated based on the Global targets as per the Global AIDS Strategy 2021-2026 (line B1).</v>
      </c>
      <c r="B108" s="368"/>
      <c r="C108" s="368"/>
      <c r="D108" s="368"/>
      <c r="E108" s="368"/>
      <c r="F108" s="368"/>
      <c r="G108" s="368"/>
    </row>
    <row r="109" spans="1:8" ht="115" customHeight="1" x14ac:dyDescent="0.3">
      <c r="A109" s="366" t="str">
        <f ca="1">TranslationsHIV!$G38</f>
        <v>Comments/Assumptions:
1) Specify the interventions included in the package. The package should refer to defined set of interventions that should be received by people and based on which they are included in the results, i.e., people should only be counted when they received the full set of interventions in the defined package.
2) If "other vulnerable populations", please describe this population in the comments section.
3) Indicate the difference between the Country target and the Global target.
4) Specify who are the other sources of funding.
5) Specify the amount of the programmatic gap that is in the within-allocation request, and the amount included in the above-allocation (PAAR). Clarify to what extent this request will cover needs in the highest incidence geographic areas.</v>
      </c>
      <c r="B109" s="366"/>
      <c r="C109" s="366"/>
      <c r="D109" s="366"/>
      <c r="E109" s="366"/>
      <c r="F109" s="366"/>
      <c r="G109" s="366"/>
    </row>
    <row r="110" spans="1:8" s="17" customFormat="1" ht="30" customHeight="1" x14ac:dyDescent="0.3">
      <c r="A110" s="372" t="str">
        <f ca="1">TranslationsHIV!G39</f>
        <v>Pre-exposure prophylaxis (PrEP) gap table - "HIV-PrEP" tab</v>
      </c>
      <c r="B110" s="372"/>
      <c r="C110" s="372"/>
      <c r="D110" s="372"/>
      <c r="E110" s="372"/>
      <c r="F110" s="372"/>
      <c r="G110" s="372"/>
    </row>
    <row r="111" spans="1:8" ht="30" customHeight="1" x14ac:dyDescent="0.3">
      <c r="A111" s="373" t="str">
        <f ca="1">TranslationsHIV!G40</f>
        <v xml:space="preserve">There are 3 tables in the “HIV-PrEP” tab. The Global Fund incidence reduction strategy delivery priority countries need to complete a PrEP gap table for the two priority key population groups in terms of incidence or number of new infections: men who have sex with men, sex workers, transgender people, people who inject drugs. In addition, all Global Fund AGYW priority countries need to complete the gap table for adolescent girls and young women in high incidence settings.  </v>
      </c>
      <c r="B111" s="373"/>
      <c r="C111" s="373"/>
      <c r="D111" s="373"/>
      <c r="E111" s="373"/>
      <c r="F111" s="373"/>
      <c r="G111" s="373"/>
    </row>
    <row r="112" spans="1:8" ht="51" customHeight="1" x14ac:dyDescent="0.3">
      <c r="A112" s="368" t="str">
        <f ca="1">TranslationsHIV!G41</f>
        <v>Coverage indicator: selection the relevant coverage indicator from the drop-down list]
Number of key populations or AGYW who received any PrEP product at least once during the reporting period.</v>
      </c>
      <c r="B112" s="368"/>
      <c r="C112" s="368"/>
      <c r="D112" s="368"/>
      <c r="E112" s="368"/>
      <c r="F112" s="368"/>
      <c r="G112" s="368"/>
    </row>
    <row r="113" spans="1:8" s="12" customFormat="1" ht="58.5" customHeight="1" x14ac:dyDescent="0.3">
      <c r="A113" s="376" t="str">
        <f ca="1">TranslationsHIV!$G42</f>
        <v xml:space="preserve">Estimated population in need/at risk:
This refers to the estimated number at risk who should receive PrEP. This should be calculated using the UNAIDS PrEP target setting tools: https://jointsiwg.unaids.org/publications/. There is a different tool available for each key or vulnerable population, as well as instruction guides. Please attach the completed tools as an annex to the concept note submission. </v>
      </c>
      <c r="B113" s="376"/>
      <c r="C113" s="376"/>
      <c r="D113" s="376"/>
      <c r="E113" s="376"/>
      <c r="F113" s="376"/>
      <c r="G113" s="376"/>
    </row>
    <row r="114" spans="1:8" s="12" customFormat="1" ht="43.5" customHeight="1" x14ac:dyDescent="0.3">
      <c r="A114" s="368" t="str">
        <f ca="1">TranslationsHIV!G43</f>
        <v>Country target:
Refers to NSP or any other latest agreed country target.</v>
      </c>
      <c r="B114" s="368"/>
      <c r="C114" s="368"/>
      <c r="D114" s="368"/>
      <c r="E114" s="368"/>
      <c r="F114" s="368"/>
      <c r="G114" s="368"/>
    </row>
    <row r="115" spans="1:8" s="12" customFormat="1" ht="99.65" customHeight="1" x14ac:dyDescent="0.3">
      <c r="A115" s="368" t="str">
        <f ca="1">TranslationsHIV!$G$15</f>
        <v>Country need to meet global target already covered: 
1) Country need already covered is broken down into need planned to be covered by domestic resources (line C1), and external resources (line C2). 
2) National private sector investments are to be included under domestic sources. 
3) In cases where part of the need during the year is covered by a current Global Fund grant (that ends prior to the start of the new implementation period), it can be included in the external resources category. 
4) Once C1 and C2 are filled in, the total of country need already covered is automatically calculated in line C3. Note that line C3 is locked and cannot be overridden. Therefore, please use line C1 to provide a total if the domestic and external breakdown of resources is not available. 
5) If this is the case, specify in the comments box that line C1 refers to the total of both domestic and external resources.</v>
      </c>
      <c r="B115" s="368"/>
      <c r="C115" s="368"/>
      <c r="D115" s="368"/>
      <c r="E115" s="368"/>
      <c r="F115" s="368"/>
      <c r="G115" s="368"/>
    </row>
    <row r="116" spans="1:8" s="12" customFormat="1" ht="40.5" customHeight="1" x14ac:dyDescent="0.3">
      <c r="A116" s="366" t="str">
        <f ca="1">TranslationsHIV!$G44</f>
        <v>Programmatic gap:
The programmatic gap is calculated based on the estimated number at risk who should receive PrEP based on the UNAIDS PrEP target setting tools (line A).</v>
      </c>
      <c r="B116" s="366"/>
      <c r="C116" s="366"/>
      <c r="D116" s="366"/>
      <c r="E116" s="366"/>
      <c r="F116" s="366"/>
      <c r="G116" s="366"/>
    </row>
    <row r="117" spans="1:8" s="17" customFormat="1" ht="84.65" customHeight="1" x14ac:dyDescent="0.3">
      <c r="A117" s="368" t="str">
        <f ca="1">TranslationsHIV!$G45</f>
        <v>Comments/Assumptions:
1) Indicate the difference between the Country Target and Estimated number at risk who should receive PrEP.
2) Specify who are the other sources of funding.
3) Specify the amount of the programmatic gap that is in the within-allocation request, and the amount included in the above-allocation (PAAR). Clarify to what extent this request will cover needs in the highest incidence geographic areas.</v>
      </c>
      <c r="B117" s="368"/>
      <c r="C117" s="368"/>
      <c r="D117" s="368"/>
      <c r="E117" s="368"/>
      <c r="F117" s="368"/>
      <c r="G117" s="368"/>
    </row>
    <row r="118" spans="1:8" s="12" customFormat="1" ht="30" customHeight="1" x14ac:dyDescent="0.3">
      <c r="A118" s="372" t="str">
        <f ca="1">TranslationsHIV!$G46</f>
        <v>Condom gap table - "HIV-Condoms" tab</v>
      </c>
      <c r="B118" s="372"/>
      <c r="C118" s="372"/>
      <c r="D118" s="372"/>
      <c r="E118" s="372"/>
      <c r="F118" s="372"/>
      <c r="G118" s="372"/>
    </row>
    <row r="119" spans="1:8" s="12" customFormat="1" ht="30" customHeight="1" x14ac:dyDescent="0.3">
      <c r="A119" s="373" t="str">
        <f ca="1">TranslationsHIV!$G47</f>
        <v>There are 3 tables in the "HIV-Condom" tab. The Global Fund incidence reduction strategy delivery priority countries need to complete a condom gap table for the two priority key population groups (in terms of number of new infections or incidence): men who have sex with men; sex workers; transgender people; people who inject drugs. In addition, all Global Fund AGYW priority countries need to complete the gap table for adolescent girls and young women in high incidence settings.</v>
      </c>
      <c r="B119" s="373"/>
      <c r="C119" s="373"/>
      <c r="D119" s="373"/>
      <c r="E119" s="373"/>
      <c r="F119" s="373"/>
      <c r="G119" s="373"/>
    </row>
    <row r="120" spans="1:8" ht="51" customHeight="1" x14ac:dyDescent="0.3">
      <c r="A120" s="368" t="str">
        <f ca="1">TranslationsHIV!$G48</f>
        <v>Coverage Indicator:[selecte the relevant coverage indicator from the drop-down list]
Number of condoms (male and female) distributed by the program for (key population or AGYW).</v>
      </c>
      <c r="B120" s="368"/>
      <c r="C120" s="368"/>
      <c r="D120" s="368"/>
      <c r="E120" s="368"/>
      <c r="F120" s="368"/>
      <c r="G120" s="368"/>
      <c r="H120" s="22"/>
    </row>
    <row r="121" spans="1:8" ht="62.25" customHeight="1" x14ac:dyDescent="0.3">
      <c r="A121" s="376" t="str">
        <f ca="1">TranslationsHIV!$G49</f>
        <v>Estimated population in need/at risk (A):
Please use the UNAIDS condom needs estimation and resource requirements tool (C-NET) to retrieve the population in need - https://hivpreventioncoalition.unaids.org/resource/condom-needs-and-resource-requirement-estimation-tool/</v>
      </c>
      <c r="B121" s="376"/>
      <c r="C121" s="376"/>
      <c r="D121" s="376"/>
      <c r="E121" s="376"/>
      <c r="F121" s="376"/>
      <c r="G121" s="376"/>
      <c r="H121" s="22"/>
    </row>
    <row r="122" spans="1:8" ht="64" customHeight="1" x14ac:dyDescent="0.3">
      <c r="A122" s="366" t="str">
        <f ca="1">TranslationsHIV!$G50</f>
        <v>Total number of condoms needed (A1 - A3): 
This refers to the estimated number of condoms needed (male and female) to meet global coverage targets. Use the total condoms required for the relevant key or vulnerable population (A) and insert the total number of male condoms into A1. The number of female condoms will automatically calculate into A2. 
Please attach the completed tool as an annex to the concept note submission.</v>
      </c>
      <c r="B122" s="366"/>
      <c r="C122" s="366"/>
      <c r="D122" s="366"/>
      <c r="E122" s="366"/>
      <c r="F122" s="366"/>
      <c r="G122" s="366"/>
      <c r="H122" s="22"/>
    </row>
    <row r="123" spans="1:8" ht="40.5" customHeight="1" x14ac:dyDescent="0.3">
      <c r="A123" s="368" t="str">
        <f ca="1">TranslationsHIV!G51</f>
        <v xml:space="preserve">Country target:
Refers to NSP or any other latest agreed country target. </v>
      </c>
      <c r="B123" s="368"/>
      <c r="C123" s="368"/>
      <c r="D123" s="368"/>
      <c r="E123" s="368"/>
      <c r="F123" s="368"/>
      <c r="G123" s="368"/>
      <c r="H123" s="22"/>
    </row>
    <row r="124" spans="1:8" ht="118.5" customHeight="1" x14ac:dyDescent="0.3">
      <c r="A124" s="368" t="str">
        <f ca="1">TranslationsHIV!G52</f>
        <v xml:space="preserve">Country target already covered: 
1) Country target already covered is broken down first by funding resource type, followed by type of condom.
2) Resource type: Country target already covered is broken down into the target planned to be covered by domestic resources (line C1), and external resources (C2). 
3) National private sector investments are to be included under domestic sources. Please specify under 'Comments/Assumptions' wherever private sector resources are available as well as specify the external sources. 
4) In cases where part of the target during the year is covered by a current Global Fund grant (that ends prior to the start of the new implementation period), it can be included in the external resources category. The total of these two is automatically generated in line C3. 
5) Condom type: Country target already covered is broken down by male condoms (C4), and female condoms (C5). The total of these two is automatically generated in line C6. Please note that the result in C3 and C6 should be the same.
6) If information for lines C1 and C2 are not available, fill only lines C4 and C5. </v>
      </c>
      <c r="B124" s="368"/>
      <c r="C124" s="368"/>
      <c r="D124" s="368"/>
      <c r="E124" s="368"/>
      <c r="F124" s="368"/>
      <c r="G124" s="368"/>
      <c r="H124" s="22"/>
    </row>
    <row r="125" spans="1:8" ht="52.5" customHeight="1" x14ac:dyDescent="0.3">
      <c r="A125" s="368" t="str">
        <f ca="1">TranslationsHIV!G53</f>
        <v>Programmatic Gap:
The programmatic gap is calculated based on estimated need as per the C-NET tool (line A1 for male condoms, line A2 for female condoms).</v>
      </c>
      <c r="B125" s="368"/>
      <c r="C125" s="368"/>
      <c r="D125" s="368"/>
      <c r="E125" s="368"/>
      <c r="F125" s="368"/>
      <c r="G125" s="368"/>
      <c r="H125" s="22"/>
    </row>
    <row r="126" spans="1:8" ht="70.5" customHeight="1" x14ac:dyDescent="0.3">
      <c r="A126" s="368" t="str">
        <f ca="1">TranslationsHIV!G54</f>
        <v>Comments/Assumptions:
1) Indicate the difference between the Country target and number estimated by C-NET. 
2) Specify who are the other sources of funding.
3) Specify the amount of the programmatic gap that is in the within-allocation request, and the amount included in the above-allocation (PAAR). Clarify to what extent this request will cover needs in the highest incidence geographic areas.</v>
      </c>
      <c r="B126" s="368"/>
      <c r="C126" s="368"/>
      <c r="D126" s="368"/>
      <c r="E126" s="368"/>
      <c r="F126" s="368"/>
      <c r="G126" s="368"/>
      <c r="H126" s="22"/>
    </row>
    <row r="127" spans="1:8" ht="30" customHeight="1" x14ac:dyDescent="0.3">
      <c r="A127" s="372" t="str">
        <f ca="1">TranslationsHIV!G55</f>
        <v>"TB-HIV" tab</v>
      </c>
      <c r="B127" s="372"/>
      <c r="C127" s="372"/>
      <c r="D127" s="372"/>
      <c r="E127" s="372"/>
      <c r="F127" s="372"/>
      <c r="G127" s="372"/>
      <c r="H127" s="22"/>
    </row>
    <row r="128" spans="1:8" ht="20.149999999999999" customHeight="1" x14ac:dyDescent="0.3">
      <c r="A128" s="373" t="str">
        <f ca="1">TranslationsHIV!G56</f>
        <v>TB/HIV - TB screening, testing and diagnosis among HIV patients</v>
      </c>
      <c r="B128" s="373"/>
      <c r="C128" s="373"/>
      <c r="D128" s="373"/>
      <c r="E128" s="373"/>
      <c r="F128" s="373"/>
      <c r="G128" s="373"/>
      <c r="H128" s="22"/>
    </row>
    <row r="129" spans="1:8" ht="53.25" customHeight="1" x14ac:dyDescent="0.3">
      <c r="A129" s="366" t="str">
        <f ca="1">TranslationsHIV!G57</f>
        <v>Coverage indicator: 
Percentage of people living with HIV newly initiated on ART who were screened for TB.</v>
      </c>
      <c r="B129" s="366"/>
      <c r="C129" s="366"/>
      <c r="D129" s="366"/>
      <c r="E129" s="366"/>
      <c r="F129" s="366"/>
      <c r="G129" s="366"/>
      <c r="H129" s="22"/>
    </row>
    <row r="130" spans="1:8" ht="55.5" customHeight="1" x14ac:dyDescent="0.3">
      <c r="A130" s="368" t="str">
        <f ca="1">TranslationsHIV!G58</f>
        <v>Estimated population in need/at risk: 
Refers to all people living with HIV newly initiated on ART.</v>
      </c>
      <c r="B130" s="368"/>
      <c r="C130" s="368"/>
      <c r="D130" s="368"/>
      <c r="E130" s="368"/>
      <c r="F130" s="368"/>
      <c r="G130" s="368"/>
    </row>
    <row r="131" spans="1:8" ht="75" customHeight="1" x14ac:dyDescent="0.3">
      <c r="A131" s="368" t="str">
        <f ca="1">TranslationsHIV!G59</f>
        <v>Country target:
Refers to NSP or any other latest agreed country target.
1) “#” refers to the number of people living with HIV newly initiated on ART who were screened for TB.
2) “%” refers to the percentage of people living with HIV newly initiated on ART who had TB status assessed and recorded among all people living with HIV newly initiated on ART.</v>
      </c>
      <c r="B131" s="368"/>
      <c r="C131" s="368"/>
      <c r="D131" s="368"/>
      <c r="E131" s="368"/>
      <c r="F131" s="368"/>
      <c r="G131" s="368"/>
    </row>
    <row r="132" spans="1:8" ht="131.15" customHeight="1" x14ac:dyDescent="0.3">
      <c r="A132" s="368" t="str">
        <f ca="1">TranslationsHIV!G60</f>
        <v>Country need already covered: 
1) Country need already covered is broken down into need planned to be covered by domestic resources (line C1), and external resources (line C2). 
2) National private sector investments are to be included under domestic sources. 
3) In cases where part of the need during the year is covered by a current Global Fund grant (that ends prior to the start of the new implementation period), it can be included in the external resources category. 
4)  Once C1 and C2 are filled in, the total of country need already covered is automatically calculated in line C3. Note that line C3 is locked and cannot be overridden. Therefore, please use line C1 to provide a total if the domestic and external breakdown of resources is not available. 
5) If this is the case, specify in the comments box that line C1 refers to the total of both domestic and external resources.</v>
      </c>
      <c r="B132" s="368"/>
      <c r="C132" s="368"/>
      <c r="D132" s="368"/>
      <c r="E132" s="368"/>
      <c r="F132" s="368"/>
      <c r="G132" s="368"/>
    </row>
    <row r="133" spans="1:8" ht="62.25" customHeight="1" x14ac:dyDescent="0.3">
      <c r="A133" s="368" t="str">
        <f ca="1">TranslationsHIV!G61</f>
        <v>Programmatic gap: 
The programmatic gap is calculated based on total need (row A).</v>
      </c>
      <c r="B133" s="368"/>
      <c r="C133" s="368"/>
      <c r="D133" s="368"/>
      <c r="E133" s="368"/>
      <c r="F133" s="368"/>
      <c r="G133" s="368"/>
    </row>
    <row r="134" spans="1:8" ht="58.5" customHeight="1" x14ac:dyDescent="0.3">
      <c r="A134" s="366" t="str">
        <f ca="1">TranslationsHIV!$G62</f>
        <v>Comments/Assumptions:
1) Specify the target geographic area.
2) Specify who are the other sources of funding.</v>
      </c>
      <c r="B134" s="366"/>
      <c r="C134" s="366"/>
      <c r="D134" s="366"/>
      <c r="E134" s="366"/>
      <c r="F134" s="366"/>
      <c r="G134" s="366"/>
    </row>
    <row r="135" spans="1:8" ht="30" customHeight="1" x14ac:dyDescent="0.3">
      <c r="A135" s="373" t="str">
        <f ca="1">TranslationsHIV!G63</f>
        <v>TB/HIV - TB patients with known HIV status</v>
      </c>
      <c r="B135" s="373"/>
      <c r="C135" s="373"/>
      <c r="D135" s="373"/>
      <c r="E135" s="373"/>
      <c r="F135" s="373"/>
      <c r="G135" s="373"/>
    </row>
    <row r="136" spans="1:8" ht="46" customHeight="1" x14ac:dyDescent="0.3">
      <c r="A136" s="366" t="str">
        <f ca="1">TranslationsHIV!G64</f>
        <v xml:space="preserve">Coverage indicator: 
Percentage of registered new and relapse TB patients with documented HIV status. </v>
      </c>
      <c r="B136" s="366"/>
      <c r="C136" s="366"/>
      <c r="D136" s="366"/>
      <c r="E136" s="366"/>
      <c r="F136" s="366"/>
      <c r="G136" s="366"/>
    </row>
    <row r="137" spans="1:8" ht="54" customHeight="1" x14ac:dyDescent="0.3">
      <c r="A137" s="366" t="str">
        <f ca="1">TranslationsHIV!G65</f>
        <v>Estimated population in need/at risk: 
Refers to the total number of new and relapse TB patients registered.</v>
      </c>
      <c r="B137" s="366"/>
      <c r="C137" s="366"/>
      <c r="D137" s="366"/>
      <c r="E137" s="366"/>
      <c r="F137" s="366"/>
      <c r="G137" s="366"/>
    </row>
    <row r="138" spans="1:8" ht="72.650000000000006" customHeight="1" x14ac:dyDescent="0.3">
      <c r="A138" s="366" t="str">
        <f ca="1">TranslationsHIV!G66</f>
        <v>Country target:
Refers to NSP or any other latest agreed country target.
1) "#" refers to the number of registered new and relapses TB patients with documented HIV status.
2) "%" refers to the percentage of registered new and relapses TB patients with documented HIV status among the total number of registered new and relapse TB patients.</v>
      </c>
      <c r="B138" s="366"/>
      <c r="C138" s="366"/>
      <c r="D138" s="366"/>
      <c r="E138" s="366"/>
      <c r="F138" s="366"/>
      <c r="G138" s="366"/>
    </row>
    <row r="139" spans="1:8" ht="123" customHeight="1" x14ac:dyDescent="0.3">
      <c r="A139" s="366" t="str">
        <f ca="1">TranslationsHIV!$G$15</f>
        <v>Country need to meet global target already covered: 
1) Country need already covered is broken down into need planned to be covered by domestic resources (line C1), and external resources (line C2). 
2) National private sector investments are to be included under domestic sources. 
3) In cases where part of the need during the year is covered by a current Global Fund grant (that ends prior to the start of the new implementation period), it can be included in the external resources category. 
4) Once C1 and C2 are filled in, the total of country need already covered is automatically calculated in line C3. Note that line C3 is locked and cannot be overridden. Therefore, please use line C1 to provide a total if the domestic and external breakdown of resources is not available. 
5) If this is the case, specify in the comments box that line C1 refers to the total of both domestic and external resources.</v>
      </c>
      <c r="B139" s="366"/>
      <c r="C139" s="366"/>
      <c r="D139" s="366"/>
      <c r="E139" s="366"/>
      <c r="F139" s="366"/>
      <c r="G139" s="366"/>
    </row>
    <row r="140" spans="1:8" ht="54.65" customHeight="1" x14ac:dyDescent="0.3">
      <c r="A140" s="366" t="str">
        <f ca="1">TranslationsHIV!$G$67</f>
        <v>Programmatic gap: 
The programmatic gap is calculated based on total need (row A).</v>
      </c>
      <c r="B140" s="366"/>
      <c r="C140" s="366"/>
      <c r="D140" s="366"/>
      <c r="E140" s="366"/>
      <c r="F140" s="366"/>
      <c r="G140" s="366"/>
    </row>
    <row r="141" spans="1:8" ht="72.650000000000006" customHeight="1" x14ac:dyDescent="0.3">
      <c r="A141" s="374" t="str">
        <f ca="1">TranslationsHIV!$G$68</f>
        <v>Comments/Assumptions:
1) Specify the target geographic area.
2) Specify who are the other sources of funding.</v>
      </c>
      <c r="B141" s="374"/>
      <c r="C141" s="374"/>
      <c r="D141" s="374"/>
      <c r="E141" s="374"/>
      <c r="F141" s="374"/>
      <c r="G141" s="374"/>
    </row>
    <row r="142" spans="1:8" ht="30" customHeight="1" x14ac:dyDescent="0.3">
      <c r="A142" s="373" t="str">
        <f ca="1">TranslationsHIV!G69</f>
        <v xml:space="preserve">TB/HIV - TB/HIV Treatment and care </v>
      </c>
      <c r="B142" s="373"/>
      <c r="C142" s="373"/>
      <c r="D142" s="373"/>
      <c r="E142" s="373"/>
      <c r="F142" s="373"/>
      <c r="G142" s="373"/>
    </row>
    <row r="143" spans="1:8" ht="65.5" customHeight="1" x14ac:dyDescent="0.3">
      <c r="A143" s="366" t="str">
        <f ca="1">TranslationsHIV!G70</f>
        <v>Coverage indicator: 
Proportion of HIV-positive TB patients (new and relapse) on ART during TB treatment.</v>
      </c>
      <c r="B143" s="366"/>
      <c r="C143" s="366"/>
      <c r="D143" s="366"/>
      <c r="E143" s="366"/>
      <c r="F143" s="366"/>
      <c r="G143" s="366"/>
    </row>
    <row r="144" spans="1:8" s="58" customFormat="1" ht="55.5" customHeight="1" x14ac:dyDescent="0.3">
      <c r="A144" s="366" t="str">
        <f ca="1">TranslationsHIV!G71</f>
        <v>Estimated population in need/at risk: 
Refers to the total number of expected HIV positive new and relapse TB patients registered in the period.</v>
      </c>
      <c r="B144" s="366"/>
      <c r="C144" s="366"/>
      <c r="D144" s="366"/>
      <c r="E144" s="366"/>
      <c r="F144" s="366"/>
      <c r="G144" s="366"/>
    </row>
    <row r="145" spans="1:7" s="58" customFormat="1" ht="89.15" customHeight="1" x14ac:dyDescent="0.3">
      <c r="A145" s="369" t="str">
        <f ca="1">TranslationsHIV!G72</f>
        <v>Country target:
Refers to NSP or any other latest agreed country target.
1) “#” refers to the number of HIV positive TB patients (new and relapse) who receive ART.
2) “%” refers to the percentage of HIV positive new and relapse TB patients who receive ART among the total of HIV positive new and relapse TB patients registered.</v>
      </c>
      <c r="B145" s="369"/>
      <c r="C145" s="369"/>
      <c r="D145" s="369"/>
      <c r="E145" s="369"/>
      <c r="F145" s="369"/>
      <c r="G145" s="369"/>
    </row>
    <row r="146" spans="1:7" s="58" customFormat="1" ht="130.5" customHeight="1" x14ac:dyDescent="0.3">
      <c r="A146" s="369" t="str">
        <f ca="1">TranslationsHIV!$G$15</f>
        <v>Country need to meet global target already covered: 
1) Country need already covered is broken down into need planned to be covered by domestic resources (line C1), and external resources (line C2). 
2) National private sector investments are to be included under domestic sources. 
3) In cases where part of the need during the year is covered by a current Global Fund grant (that ends prior to the start of the new implementation period), it can be included in the external resources category. 
4) Once C1 and C2 are filled in, the total of country need already covered is automatically calculated in line C3. Note that line C3 is locked and cannot be overridden. Therefore, please use line C1 to provide a total if the domestic and external breakdown of resources is not available. 
5) If this is the case, specify in the comments box that line C1 refers to the total of both domestic and external resources.</v>
      </c>
      <c r="B146" s="369"/>
      <c r="C146" s="369"/>
      <c r="D146" s="369"/>
      <c r="E146" s="369"/>
      <c r="F146" s="369"/>
      <c r="G146" s="369"/>
    </row>
    <row r="147" spans="1:7" ht="52" customHeight="1" x14ac:dyDescent="0.3">
      <c r="A147" s="366" t="str">
        <f ca="1">TranslationsHIV!G73</f>
        <v>Programmatic gap: 
The programmatic gap is calculated based on total need (row A).</v>
      </c>
      <c r="B147" s="366"/>
      <c r="C147" s="366"/>
      <c r="D147" s="366"/>
      <c r="E147" s="366"/>
      <c r="F147" s="366"/>
      <c r="G147" s="366"/>
    </row>
    <row r="148" spans="1:7" ht="69.75" customHeight="1" x14ac:dyDescent="0.3">
      <c r="A148" s="366" t="str">
        <f ca="1">TranslationsHIV!G74</f>
        <v>Comments/Assumptions:
1) Specify the target geographic area.
2) Specify who are the other sources of funding.</v>
      </c>
      <c r="B148" s="366"/>
      <c r="C148" s="366"/>
      <c r="D148" s="366"/>
      <c r="E148" s="366"/>
      <c r="F148" s="366"/>
      <c r="G148" s="366"/>
    </row>
    <row r="149" spans="1:7" ht="30" customHeight="1" x14ac:dyDescent="0.3">
      <c r="A149" s="373" t="str">
        <f ca="1">TranslationsHIV!G75</f>
        <v>TB/HIV - TB/HIV prevention (only for PLHIVs)</v>
      </c>
      <c r="B149" s="373"/>
      <c r="C149" s="373"/>
      <c r="D149" s="373"/>
      <c r="E149" s="373"/>
      <c r="F149" s="373"/>
      <c r="G149" s="373"/>
    </row>
    <row r="150" spans="1:7" ht="51.75" customHeight="1" x14ac:dyDescent="0.3">
      <c r="A150" s="366" t="str">
        <f ca="1">TranslationsHIV!G76</f>
        <v>Coverage indicator: 
Percentage of PLHIV currently enrolled on ART who started TB preventive therapy during the reporting period.</v>
      </c>
      <c r="B150" s="366"/>
      <c r="C150" s="366"/>
      <c r="D150" s="366"/>
      <c r="E150" s="366"/>
      <c r="F150" s="366"/>
      <c r="G150" s="366"/>
    </row>
    <row r="151" spans="1:7" ht="130" customHeight="1" x14ac:dyDescent="0.3">
      <c r="A151" s="366" t="str">
        <f ca="1">TranslationsHIV!G77</f>
        <v>Estimated population in need/at risk:
Refers to the estimated number of people living with HIV (PLHIV) enrolled on ART during the period. 
This excludes PLHIV on TB treatment or being evaluated for active TB. Where possible, it should also exclude PLHIV who previously completed TPT within the timeframe recommended by national policy, as well as those PLHIV estimated to be clinically non-eligible due to co-morbidities and contraindications, including active hepatitis, chronic alcoholism, use of other medications that are potentially hepatotoxic such as nevirapine, and/or neuropathy.</v>
      </c>
      <c r="B151" s="366"/>
      <c r="C151" s="366"/>
      <c r="D151" s="366"/>
      <c r="E151" s="366"/>
      <c r="F151" s="366"/>
      <c r="G151" s="366"/>
    </row>
    <row r="152" spans="1:7" ht="67" customHeight="1" x14ac:dyDescent="0.3">
      <c r="A152" s="366" t="str">
        <f ca="1">TranslationsHIV!G78</f>
        <v>Country target:
Refers to NSP or any other latest agreed country target.
1) “#” refers to the number of PLHIV currently enrolled on ART who started TB preventive treatment (TPT during the reporting period
2) “%” refers to the percentage of PLHIV currently enrolled on ART who started TB preventive treatment among the total number of PLHIV currently enrolled on ART.</v>
      </c>
      <c r="B152" s="366"/>
      <c r="C152" s="366"/>
      <c r="D152" s="366"/>
      <c r="E152" s="366"/>
      <c r="F152" s="366"/>
      <c r="G152" s="366"/>
    </row>
    <row r="153" spans="1:7" ht="125.15" customHeight="1" x14ac:dyDescent="0.3">
      <c r="A153" s="366" t="str">
        <f ca="1">TranslationsHIV!$G$15</f>
        <v>Country need to meet global target already covered: 
1) Country need already covered is broken down into need planned to be covered by domestic resources (line C1), and external resources (line C2). 
2) National private sector investments are to be included under domestic sources. 
3) In cases where part of the need during the year is covered by a current Global Fund grant (that ends prior to the start of the new implementation period), it can be included in the external resources category. 
4) Once C1 and C2 are filled in, the total of country need already covered is automatically calculated in line C3. Note that line C3 is locked and cannot be overridden. Therefore, please use line C1 to provide a total if the domestic and external breakdown of resources is not available. 
5) If this is the case, specify in the comments box that line C1 refers to the total of both domestic and external resources.</v>
      </c>
      <c r="B153" s="366"/>
      <c r="C153" s="366"/>
      <c r="D153" s="366"/>
      <c r="E153" s="366"/>
      <c r="F153" s="366"/>
      <c r="G153" s="366"/>
    </row>
    <row r="154" spans="1:7" ht="66.650000000000006" customHeight="1" x14ac:dyDescent="0.3">
      <c r="A154" s="366" t="str">
        <f ca="1">TranslationsHIV!G79</f>
        <v>Programmatic gap: 
The programmatic gap is calculated based on total need (line A).</v>
      </c>
      <c r="B154" s="366"/>
      <c r="C154" s="366"/>
      <c r="D154" s="366"/>
      <c r="E154" s="366"/>
      <c r="F154" s="366"/>
      <c r="G154" s="366"/>
    </row>
    <row r="155" spans="1:7" ht="55.5" customHeight="1" x14ac:dyDescent="0.3">
      <c r="A155" s="366" t="str">
        <f ca="1">TranslationsHIV!G80</f>
        <v>Comments/Assumptions:
1) Specify the target geographic area.
2) Specify who are the other sources of funding.</v>
      </c>
      <c r="B155" s="366"/>
      <c r="C155" s="366"/>
      <c r="D155" s="366"/>
      <c r="E155" s="366"/>
      <c r="F155" s="366"/>
      <c r="G155" s="366"/>
    </row>
    <row r="156" spans="1:7" x14ac:dyDescent="0.3">
      <c r="A156" s="367"/>
      <c r="B156" s="367"/>
      <c r="C156" s="367"/>
      <c r="D156" s="367"/>
      <c r="E156" s="367"/>
      <c r="F156" s="367"/>
      <c r="G156" s="367"/>
    </row>
  </sheetData>
  <sheetProtection algorithmName="SHA-512" hashValue="WsUQg/QcDVwhm4Wrmangj2m9ZenLo6s3vFSwDn2lUCnFbWIKGgHXcgWGE6MgaE8TgpS/xU++6/5oR9lcyjQPZw==" saltValue="eb2BJDiMV6bkcMZqbwY6Qw==" spinCount="100000" sheet="1" formatColumns="0" formatRows="0"/>
  <mergeCells count="155">
    <mergeCell ref="A75:G75"/>
    <mergeCell ref="A74:G74"/>
    <mergeCell ref="A79:G79"/>
    <mergeCell ref="A54:G54"/>
    <mergeCell ref="A55:G55"/>
    <mergeCell ref="A39:G39"/>
    <mergeCell ref="A40:G40"/>
    <mergeCell ref="A41:G41"/>
    <mergeCell ref="A42:G42"/>
    <mergeCell ref="A43:G43"/>
    <mergeCell ref="A44:G44"/>
    <mergeCell ref="A46:G46"/>
    <mergeCell ref="A47:G47"/>
    <mergeCell ref="A48:G48"/>
    <mergeCell ref="A49:G49"/>
    <mergeCell ref="A50:G50"/>
    <mergeCell ref="A51:G51"/>
    <mergeCell ref="A53:G53"/>
    <mergeCell ref="A45:G45"/>
    <mergeCell ref="A52:G52"/>
    <mergeCell ref="A56:G56"/>
    <mergeCell ref="A57:G57"/>
    <mergeCell ref="A58:G58"/>
    <mergeCell ref="A59:G59"/>
    <mergeCell ref="A66:G66"/>
    <mergeCell ref="A67:G67"/>
    <mergeCell ref="A60:G60"/>
    <mergeCell ref="A61:G61"/>
    <mergeCell ref="A62:G62"/>
    <mergeCell ref="A63:G63"/>
    <mergeCell ref="A64:G64"/>
    <mergeCell ref="A65:G65"/>
    <mergeCell ref="A35:G35"/>
    <mergeCell ref="A36:G36"/>
    <mergeCell ref="A37:G37"/>
    <mergeCell ref="A38:G38"/>
    <mergeCell ref="A8:G8"/>
    <mergeCell ref="A25:G25"/>
    <mergeCell ref="A26:G26"/>
    <mergeCell ref="A27:G27"/>
    <mergeCell ref="A28:G28"/>
    <mergeCell ref="A29:G29"/>
    <mergeCell ref="A30:G30"/>
    <mergeCell ref="A31:G31"/>
    <mergeCell ref="A32:G32"/>
    <mergeCell ref="A13:G13"/>
    <mergeCell ref="A17:G17"/>
    <mergeCell ref="A18:G18"/>
    <mergeCell ref="A19:G19"/>
    <mergeCell ref="A20:G20"/>
    <mergeCell ref="A21:G21"/>
    <mergeCell ref="A22:G22"/>
    <mergeCell ref="A23:G23"/>
    <mergeCell ref="A24:G24"/>
    <mergeCell ref="A15:G15"/>
    <mergeCell ref="A16:G16"/>
    <mergeCell ref="A141:G141"/>
    <mergeCell ref="A140:G140"/>
    <mergeCell ref="A150:G150"/>
    <mergeCell ref="A154:G154"/>
    <mergeCell ref="A151:G151"/>
    <mergeCell ref="A142:G142"/>
    <mergeCell ref="A143:G143"/>
    <mergeCell ref="A144:G144"/>
    <mergeCell ref="A145:G145"/>
    <mergeCell ref="A147:G147"/>
    <mergeCell ref="A148:G148"/>
    <mergeCell ref="A149:G149"/>
    <mergeCell ref="A152:G152"/>
    <mergeCell ref="A33:G33"/>
    <mergeCell ref="A139:G139"/>
    <mergeCell ref="A96:G96"/>
    <mergeCell ref="A124:G124"/>
    <mergeCell ref="A112:G112"/>
    <mergeCell ref="A113:G113"/>
    <mergeCell ref="A114:G114"/>
    <mergeCell ref="A111:G111"/>
    <mergeCell ref="A97:G97"/>
    <mergeCell ref="A99:G99"/>
    <mergeCell ref="A100:G100"/>
    <mergeCell ref="A101:G101"/>
    <mergeCell ref="A102:G102"/>
    <mergeCell ref="A103:G103"/>
    <mergeCell ref="A122:G122"/>
    <mergeCell ref="A123:G123"/>
    <mergeCell ref="A132:G132"/>
    <mergeCell ref="A136:G136"/>
    <mergeCell ref="A134:G134"/>
    <mergeCell ref="A135:G135"/>
    <mergeCell ref="A106:G106"/>
    <mergeCell ref="A108:G108"/>
    <mergeCell ref="A109:G109"/>
    <mergeCell ref="A110:G110"/>
    <mergeCell ref="A131:G131"/>
    <mergeCell ref="A104:G104"/>
    <mergeCell ref="A1:F1"/>
    <mergeCell ref="A2:F2"/>
    <mergeCell ref="A3:F3"/>
    <mergeCell ref="B6:D6"/>
    <mergeCell ref="A69:G69"/>
    <mergeCell ref="A82:G82"/>
    <mergeCell ref="A84:G84"/>
    <mergeCell ref="A85:G85"/>
    <mergeCell ref="A87:G87"/>
    <mergeCell ref="A86:G86"/>
    <mergeCell ref="A83:G83"/>
    <mergeCell ref="A81:G81"/>
    <mergeCell ref="A10:G10"/>
    <mergeCell ref="A78:G78"/>
    <mergeCell ref="A80:G80"/>
    <mergeCell ref="A71:G71"/>
    <mergeCell ref="G1:G3"/>
    <mergeCell ref="A9:G9"/>
    <mergeCell ref="A11:G11"/>
    <mergeCell ref="A12:G12"/>
    <mergeCell ref="A14:G14"/>
    <mergeCell ref="A34:G34"/>
    <mergeCell ref="A126:G126"/>
    <mergeCell ref="A127:G127"/>
    <mergeCell ref="A128:G128"/>
    <mergeCell ref="A90:G90"/>
    <mergeCell ref="A98:G98"/>
    <mergeCell ref="A105:G105"/>
    <mergeCell ref="A119:G119"/>
    <mergeCell ref="A116:G116"/>
    <mergeCell ref="A117:G117"/>
    <mergeCell ref="A118:G118"/>
    <mergeCell ref="A120:G120"/>
    <mergeCell ref="A121:G121"/>
    <mergeCell ref="A125:G125"/>
    <mergeCell ref="A93:G93"/>
    <mergeCell ref="A76:G76"/>
    <mergeCell ref="A155:G155"/>
    <mergeCell ref="A156:G156"/>
    <mergeCell ref="A107:G107"/>
    <mergeCell ref="A115:G115"/>
    <mergeCell ref="A146:G146"/>
    <mergeCell ref="A153:G153"/>
    <mergeCell ref="A68:G68"/>
    <mergeCell ref="E6:G6"/>
    <mergeCell ref="A138:G138"/>
    <mergeCell ref="A70:G70"/>
    <mergeCell ref="A77:G77"/>
    <mergeCell ref="A72:G72"/>
    <mergeCell ref="A73:G73"/>
    <mergeCell ref="A89:G89"/>
    <mergeCell ref="A129:G129"/>
    <mergeCell ref="A130:G130"/>
    <mergeCell ref="A94:G94"/>
    <mergeCell ref="A95:G95"/>
    <mergeCell ref="A88:G88"/>
    <mergeCell ref="A137:G137"/>
    <mergeCell ref="A133:G133"/>
    <mergeCell ref="A91:G91"/>
    <mergeCell ref="A92:G92"/>
  </mergeCells>
  <dataValidations count="1">
    <dataValidation type="list" allowBlank="1" showInputMessage="1" showErrorMessage="1" sqref="B6:D6" xr:uid="{A8446129-E626-4778-BB5D-BA3EAB49BCFB}">
      <formula1>"English,French,Spanish"</formula1>
    </dataValidation>
  </dataValidations>
  <hyperlinks>
    <hyperlink ref="A14:G14" r:id="rId1" display="https://www.who.int/publications/i/item/WHO-UCN-TB-2021.8" xr:uid="{4159BB92-161F-455C-BB86-84188FFE6D88}"/>
    <hyperlink ref="A105:G105" r:id="rId2" display="https://www.unaids.org/en/resources/documents/2021/2021-2026-global-AIDS-strategy" xr:uid="{CE09F2E0-390D-4C55-B3C3-826571A1B137}"/>
    <hyperlink ref="A113:G113" r:id="rId3" display="https://jointsiwg.unaids.org/publications/" xr:uid="{BEF6ABDB-89FB-49BB-9972-9FB003B8615B}"/>
    <hyperlink ref="A121:G121" r:id="rId4" display="https://hivpreventioncoalition.unaids.org/resource/condom-needs-and-resource-requirement-estimation-tool/" xr:uid="{40FA4CDA-A83C-4647-B302-2FA1578FB321}"/>
    <hyperlink ref="A16:G16" r:id="rId5" display="https://www.theglobalfund.org/media/4762/core_tuberculosis_infonote_en.pdf" xr:uid="{0F871B6F-558C-490E-817A-3DB237747B1D}"/>
    <hyperlink ref="A15:G15" r:id="rId6" display="https://www.theglobalfund.org/media/4309/fundingmodel_modularframework_handbook_en.pdf" xr:uid="{E72A1279-801F-4AF0-9F0C-2ACA158868E5}"/>
    <hyperlink ref="A76:G76" r:id="rId7" display="https://www.theglobalfund.org/media/4765/core_hiv_infonote_en.pdf" xr:uid="{1E05065C-86CF-4D81-8C35-E605A8220D81}"/>
    <hyperlink ref="A75:G75" r:id="rId8" display="https://www.theglobalfund.org/media/4765/core_hiv_infonote_en.pdf" xr:uid="{D750FEFF-BB4D-474E-9463-80D492BB31CD}"/>
  </hyperlinks>
  <pageMargins left="0.70866141732283505" right="0.70866141732283505" top="0.74803149606299202" bottom="0.74803149606299202" header="0.31496062992126" footer="0.31496062992126"/>
  <pageSetup paperSize="8" scale="43" fitToHeight="5" orientation="portrait" r:id="rId9"/>
  <rowBreaks count="3" manualBreakCount="3">
    <brk id="68" max="6" man="1"/>
    <brk id="93" max="6" man="1"/>
    <brk id="127" max="6"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33DADC-B90D-4F7B-8641-C34349A5C4DE}">
  <sheetPr codeName="Sheet5">
    <tabColor theme="3" tint="0.39997558519241921"/>
  </sheetPr>
  <dimension ref="A1:T354"/>
  <sheetViews>
    <sheetView view="pageBreakPreview" zoomScale="70" zoomScaleNormal="85" zoomScaleSheetLayoutView="70" workbookViewId="0">
      <selection activeCell="I126" sqref="I126"/>
    </sheetView>
  </sheetViews>
  <sheetFormatPr defaultColWidth="9" defaultRowHeight="14" x14ac:dyDescent="0.3"/>
  <cols>
    <col min="1" max="1" width="30.58203125" style="12" customWidth="1"/>
    <col min="2" max="2" width="11.58203125" style="12" customWidth="1"/>
    <col min="3" max="5" width="11.58203125" style="179" customWidth="1"/>
    <col min="6" max="6" width="68.33203125" style="363" customWidth="1"/>
    <col min="7" max="7" width="21.58203125" style="12" customWidth="1"/>
    <col min="8" max="8" width="9" style="12"/>
    <col min="9" max="9" width="10.08203125" style="12" customWidth="1"/>
    <col min="10" max="10" width="10.58203125" style="12" customWidth="1"/>
    <col min="11" max="11" width="12.08203125" style="12" customWidth="1"/>
    <col min="12" max="16384" width="9" style="12"/>
  </cols>
  <sheetData>
    <row r="1" spans="1:20" ht="22" customHeight="1" x14ac:dyDescent="0.3">
      <c r="A1" s="421" t="s">
        <v>3</v>
      </c>
      <c r="B1" s="421"/>
      <c r="C1" s="421"/>
      <c r="D1" s="421"/>
      <c r="E1" s="421"/>
      <c r="F1" s="382" t="str">
        <f ca="1">TranslationsHIV!$G$118</f>
        <v>Latest version updated: 13 March 2023</v>
      </c>
      <c r="G1" s="123"/>
      <c r="H1" s="123"/>
      <c r="I1" s="123"/>
      <c r="J1" s="123"/>
      <c r="K1" s="123"/>
      <c r="L1" s="123"/>
      <c r="M1" s="124"/>
      <c r="N1" s="124"/>
      <c r="O1" s="124"/>
      <c r="P1" s="124"/>
      <c r="Q1" s="124"/>
      <c r="R1" s="124"/>
      <c r="S1" s="124"/>
      <c r="T1" s="124"/>
    </row>
    <row r="2" spans="1:20" ht="22" customHeight="1" x14ac:dyDescent="0.3">
      <c r="A2" s="421" t="s">
        <v>1208</v>
      </c>
      <c r="B2" s="421"/>
      <c r="C2" s="421"/>
      <c r="D2" s="421"/>
      <c r="E2" s="421"/>
      <c r="F2" s="382"/>
      <c r="G2" s="123"/>
      <c r="H2" s="123"/>
      <c r="I2" s="123"/>
      <c r="J2" s="123"/>
      <c r="K2" s="123"/>
      <c r="L2" s="123"/>
      <c r="M2" s="124"/>
      <c r="N2" s="124"/>
      <c r="O2" s="124"/>
      <c r="P2" s="124"/>
      <c r="Q2" s="124"/>
      <c r="R2" s="124"/>
      <c r="S2" s="124"/>
      <c r="T2" s="124"/>
    </row>
    <row r="3" spans="1:20" ht="22" customHeight="1" x14ac:dyDescent="0.3">
      <c r="A3" s="421" t="s">
        <v>5</v>
      </c>
      <c r="B3" s="421"/>
      <c r="C3" s="421"/>
      <c r="D3" s="421"/>
      <c r="E3" s="421"/>
      <c r="F3" s="382"/>
      <c r="G3" s="123"/>
      <c r="H3" s="123"/>
      <c r="I3" s="123"/>
      <c r="J3" s="123"/>
      <c r="K3" s="123"/>
      <c r="L3" s="123"/>
      <c r="M3" s="124"/>
      <c r="N3" s="124"/>
      <c r="O3" s="124"/>
      <c r="P3" s="124"/>
      <c r="Q3" s="124"/>
      <c r="R3" s="124"/>
      <c r="S3" s="124"/>
      <c r="T3" s="124"/>
    </row>
    <row r="4" spans="1:20" ht="57.75" customHeight="1" x14ac:dyDescent="0.3">
      <c r="A4" s="422" t="str">
        <f ca="1">TranslationsHIV!$G$116</f>
        <v xml:space="preserve">Carefully read the instructions in the "Instructions" tab before completing the programmatic gap analysis table. 
The instructions have been tailored to each specific module/intervention. </v>
      </c>
      <c r="B4" s="422"/>
      <c r="C4" s="422"/>
      <c r="D4" s="422"/>
      <c r="E4" s="422"/>
      <c r="F4" s="422"/>
    </row>
    <row r="5" spans="1:20" s="126" customFormat="1" ht="30" customHeight="1" x14ac:dyDescent="0.8">
      <c r="A5" s="389" t="str">
        <f ca="1">TranslationsTB!$A$4</f>
        <v xml:space="preserve">TB Programmatic Gap Table 1 </v>
      </c>
      <c r="B5" s="390"/>
      <c r="C5" s="390"/>
      <c r="D5" s="390"/>
      <c r="E5" s="390"/>
      <c r="F5" s="391"/>
    </row>
    <row r="6" spans="1:20" ht="45" customHeight="1" x14ac:dyDescent="0.3">
      <c r="A6" s="129" t="str">
        <f ca="1">TranslationsHIV!$A$21</f>
        <v>Priority Module</v>
      </c>
      <c r="B6" s="398" t="s">
        <v>410</v>
      </c>
      <c r="C6" s="398"/>
      <c r="D6" s="398"/>
      <c r="E6" s="398"/>
      <c r="F6" s="398"/>
    </row>
    <row r="7" spans="1:20" ht="45" customHeight="1" x14ac:dyDescent="0.3">
      <c r="A7" s="129" t="str">
        <f ca="1">TranslationsHIV!$A$22</f>
        <v>Selected coverage indicator</v>
      </c>
      <c r="B7" s="416" t="str">
        <f ca="1">VLOOKUP(B6,TBModulesIndicators,2,FALSE)</f>
        <v>Number of patients with of all forms of TB notified (i.e.,
bacteriologically confirmed + clinically diagnosed); *includes only those with new and relapse TB</v>
      </c>
      <c r="C7" s="417"/>
      <c r="D7" s="417"/>
      <c r="E7" s="417"/>
      <c r="F7" s="418"/>
    </row>
    <row r="8" spans="1:20" ht="17.5" customHeight="1" x14ac:dyDescent="0.3">
      <c r="A8" s="411" t="str">
        <f ca="1">TranslationsHIV!$A$24</f>
        <v>Current national coverage</v>
      </c>
      <c r="B8" s="412"/>
      <c r="C8" s="412"/>
      <c r="D8" s="412"/>
      <c r="E8" s="412"/>
      <c r="F8" s="413"/>
    </row>
    <row r="9" spans="1:20" ht="45" customHeight="1" x14ac:dyDescent="0.3">
      <c r="A9" s="131" t="str">
        <f ca="1">TranslationsHIV!$A$25</f>
        <v>Insert latest results</v>
      </c>
      <c r="B9" s="24">
        <v>214408</v>
      </c>
      <c r="C9" s="132" t="str">
        <f ca="1">TranslationsHIV!$A$26</f>
        <v>Year</v>
      </c>
      <c r="D9" s="215">
        <v>2021</v>
      </c>
      <c r="E9" s="132" t="str">
        <f ca="1">TranslationsHIV!$A$27</f>
        <v>Data source</v>
      </c>
      <c r="F9" s="216" t="s">
        <v>1662</v>
      </c>
    </row>
    <row r="10" spans="1:20" ht="45" customHeight="1" x14ac:dyDescent="0.3">
      <c r="A10" s="133" t="str">
        <f ca="1">TranslationsHIV!$A$28</f>
        <v>Comments</v>
      </c>
      <c r="B10" s="399" t="s">
        <v>1769</v>
      </c>
      <c r="C10" s="400"/>
      <c r="D10" s="400"/>
      <c r="E10" s="400"/>
      <c r="F10" s="400"/>
    </row>
    <row r="11" spans="1:20" ht="45" customHeight="1" x14ac:dyDescent="0.3">
      <c r="A11" s="193"/>
      <c r="B11" s="218"/>
      <c r="C11" s="191" t="str">
        <f ca="1">TranslationsHIV!$A$29</f>
        <v>Year 1</v>
      </c>
      <c r="D11" s="130" t="str">
        <f ca="1">TranslationsHIV!$A$30</f>
        <v>Year 2</v>
      </c>
      <c r="E11" s="130" t="str">
        <f ca="1">TranslationsHIV!$A$31</f>
        <v>Year 3</v>
      </c>
      <c r="F11" s="401" t="str">
        <f ca="1">TranslationsHIV!$A$34</f>
        <v>Comments / Assumptions</v>
      </c>
    </row>
    <row r="12" spans="1:20" ht="45" customHeight="1" x14ac:dyDescent="0.3">
      <c r="A12" s="194"/>
      <c r="B12" s="219"/>
      <c r="C12" s="238">
        <v>2024</v>
      </c>
      <c r="D12" s="140">
        <v>2025</v>
      </c>
      <c r="E12" s="140">
        <v>2026</v>
      </c>
      <c r="F12" s="401"/>
    </row>
    <row r="13" spans="1:20" ht="17.5" customHeight="1" x14ac:dyDescent="0.3">
      <c r="A13" s="414" t="str">
        <f ca="1">TranslationsHIV!$A$35</f>
        <v>Current estimated country need</v>
      </c>
      <c r="B13" s="415"/>
      <c r="C13" s="412"/>
      <c r="D13" s="412"/>
      <c r="E13" s="412"/>
      <c r="F13" s="413"/>
    </row>
    <row r="14" spans="1:20" ht="45" customHeight="1" x14ac:dyDescent="0.3">
      <c r="A14" s="131" t="str">
        <f ca="1">TranslationsTB!$A$25</f>
        <v>A. Total estimated population in need/at risk</v>
      </c>
      <c r="B14" s="195" t="s">
        <v>8</v>
      </c>
      <c r="C14" s="174">
        <v>359219</v>
      </c>
      <c r="D14" s="174">
        <v>367646</v>
      </c>
      <c r="E14" s="174">
        <v>376256</v>
      </c>
      <c r="F14" s="216" t="s">
        <v>1770</v>
      </c>
    </row>
    <row r="15" spans="1:20" ht="45" customHeight="1" x14ac:dyDescent="0.3">
      <c r="A15" s="402" t="str">
        <f ca="1">TranslationsTB!$A$26</f>
        <v>B. Country targets 
(from National Strategic Plan)</v>
      </c>
      <c r="B15" s="195" t="s">
        <v>8</v>
      </c>
      <c r="C15" s="309">
        <v>287375</v>
      </c>
      <c r="D15" s="174">
        <v>316176</v>
      </c>
      <c r="E15" s="174">
        <v>346156</v>
      </c>
      <c r="F15" s="216" t="s">
        <v>1771</v>
      </c>
    </row>
    <row r="16" spans="1:20" ht="45" customHeight="1" x14ac:dyDescent="0.3">
      <c r="A16" s="402"/>
      <c r="B16" s="195" t="s">
        <v>9</v>
      </c>
      <c r="C16" s="175">
        <f>IF(C15=0,"",+C15/C14)</f>
        <v>0.79999944323657712</v>
      </c>
      <c r="D16" s="175">
        <f t="shared" ref="D16:E16" si="0">IF(D15=0,"",+D15/D14)</f>
        <v>0.86000119680344678</v>
      </c>
      <c r="E16" s="175">
        <f t="shared" si="0"/>
        <v>0.9200012757271645</v>
      </c>
      <c r="F16" s="216"/>
    </row>
    <row r="17" spans="1:6" ht="17.5" customHeight="1" x14ac:dyDescent="0.3">
      <c r="A17" s="351" t="str">
        <f ca="1">TranslationsHIV!$A$54</f>
        <v>Country target already covered</v>
      </c>
      <c r="B17" s="352"/>
      <c r="C17" s="352"/>
      <c r="D17" s="352"/>
      <c r="E17" s="352"/>
      <c r="F17" s="213"/>
    </row>
    <row r="18" spans="1:6" ht="45" customHeight="1" x14ac:dyDescent="0.3">
      <c r="A18" s="405" t="str">
        <f ca="1">TranslationsHIV!$A$55</f>
        <v>C1. Country need planned to be covered by domestic resources</v>
      </c>
      <c r="B18" s="195" t="s">
        <v>8</v>
      </c>
      <c r="C18" s="170">
        <v>2873.75</v>
      </c>
      <c r="D18" s="170">
        <v>6323.52</v>
      </c>
      <c r="E18" s="170">
        <v>6923.12</v>
      </c>
      <c r="F18" s="216" t="s">
        <v>1772</v>
      </c>
    </row>
    <row r="19" spans="1:6" ht="45" customHeight="1" x14ac:dyDescent="0.3">
      <c r="A19" s="405"/>
      <c r="B19" s="195" t="s">
        <v>9</v>
      </c>
      <c r="C19" s="175">
        <f>IF(C18=0,"",(C18/C14))</f>
        <v>7.9999944323657715E-3</v>
      </c>
      <c r="D19" s="175">
        <f t="shared" ref="D19:E19" si="1">IF(D18=0,"",(D18/D14))</f>
        <v>1.7200023936068936E-2</v>
      </c>
      <c r="E19" s="175">
        <f t="shared" si="1"/>
        <v>1.840002551454329E-2</v>
      </c>
      <c r="F19" s="216"/>
    </row>
    <row r="20" spans="1:6" ht="45" customHeight="1" x14ac:dyDescent="0.3">
      <c r="A20" s="405" t="str">
        <f ca="1">TranslationsHIV!$A$56</f>
        <v>C2. Country need planned to be covered by external resources</v>
      </c>
      <c r="B20" s="195" t="s">
        <v>8</v>
      </c>
      <c r="C20" s="170">
        <v>2873.75</v>
      </c>
      <c r="D20" s="176">
        <v>3161.76</v>
      </c>
      <c r="E20" s="176">
        <v>3461.56</v>
      </c>
      <c r="F20" s="216" t="s">
        <v>1773</v>
      </c>
    </row>
    <row r="21" spans="1:6" ht="45" customHeight="1" x14ac:dyDescent="0.3">
      <c r="A21" s="405"/>
      <c r="B21" s="195" t="s">
        <v>9</v>
      </c>
      <c r="C21" s="175">
        <f>IF(C20=0,"",+C20/C14)</f>
        <v>7.9999944323657715E-3</v>
      </c>
      <c r="D21" s="175">
        <f t="shared" ref="D21:E21" si="2">IF(D20=0,"",+D20/D14)</f>
        <v>8.600011968034468E-3</v>
      </c>
      <c r="E21" s="175">
        <f t="shared" si="2"/>
        <v>9.2000127572716452E-3</v>
      </c>
      <c r="F21" s="216"/>
    </row>
    <row r="22" spans="1:6" ht="45" customHeight="1" x14ac:dyDescent="0.3">
      <c r="A22" s="405" t="str">
        <f ca="1">TranslationsHIV!$A$57</f>
        <v>C3. Total country need already covered</v>
      </c>
      <c r="B22" s="195" t="s">
        <v>8</v>
      </c>
      <c r="C22" s="177">
        <f>C18+(C20)</f>
        <v>5747.5</v>
      </c>
      <c r="D22" s="177">
        <f>D18+(D20)</f>
        <v>9485.2800000000007</v>
      </c>
      <c r="E22" s="177">
        <f>E18+(E20)</f>
        <v>10384.68</v>
      </c>
      <c r="F22" s="216"/>
    </row>
    <row r="23" spans="1:6" ht="45" customHeight="1" x14ac:dyDescent="0.3">
      <c r="A23" s="405"/>
      <c r="B23" s="195" t="s">
        <v>9</v>
      </c>
      <c r="C23" s="175">
        <f>IF(C22=0,"",C22/C14)</f>
        <v>1.5999988864731543E-2</v>
      </c>
      <c r="D23" s="175">
        <f t="shared" ref="D23:E23" si="3">IF(D22=0,"",D22/D14)</f>
        <v>2.5800035904103406E-2</v>
      </c>
      <c r="E23" s="175">
        <f t="shared" si="3"/>
        <v>2.7600038271814935E-2</v>
      </c>
      <c r="F23" s="216"/>
    </row>
    <row r="24" spans="1:6" ht="17.5" customHeight="1" x14ac:dyDescent="0.3">
      <c r="A24" s="351" t="str">
        <f ca="1">TranslationsHIV!$A$42</f>
        <v>Programmatic gap</v>
      </c>
      <c r="B24" s="352"/>
      <c r="C24" s="352"/>
      <c r="D24" s="352"/>
      <c r="E24" s="352"/>
      <c r="F24" s="213"/>
    </row>
    <row r="25" spans="1:6" ht="45" customHeight="1" x14ac:dyDescent="0.3">
      <c r="A25" s="404" t="str">
        <f ca="1">TranslationsTB!$A$32</f>
        <v>D. Expected annual gap in meeting the need: A - C3</v>
      </c>
      <c r="B25" s="195" t="s">
        <v>8</v>
      </c>
      <c r="C25" s="178">
        <f>C14-C22</f>
        <v>353471.5</v>
      </c>
      <c r="D25" s="178">
        <f t="shared" ref="D25:E25" si="4">D14-D22</f>
        <v>358160.72</v>
      </c>
      <c r="E25" s="178">
        <f t="shared" si="4"/>
        <v>365871.32</v>
      </c>
      <c r="F25" s="403"/>
    </row>
    <row r="26" spans="1:6" ht="45" customHeight="1" x14ac:dyDescent="0.3">
      <c r="A26" s="404"/>
      <c r="B26" s="195" t="s">
        <v>9</v>
      </c>
      <c r="C26" s="175">
        <f>IF(C25=0,"",+C25/C14)</f>
        <v>0.98400001113526847</v>
      </c>
      <c r="D26" s="175">
        <f t="shared" ref="D26:E26" si="5">IF(D25=0,"",+D25/D14)</f>
        <v>0.97419996409589649</v>
      </c>
      <c r="E26" s="175">
        <f t="shared" si="5"/>
        <v>0.9723999617281851</v>
      </c>
      <c r="F26" s="403"/>
    </row>
    <row r="27" spans="1:6" ht="17.5" customHeight="1" x14ac:dyDescent="0.3">
      <c r="A27" s="351" t="str">
        <f ca="1">TranslationsHIV!$A$59</f>
        <v>Country target covered with the allocation amount</v>
      </c>
      <c r="B27" s="352"/>
      <c r="C27" s="352"/>
      <c r="D27" s="352"/>
      <c r="E27" s="352"/>
      <c r="F27" s="213"/>
    </row>
    <row r="28" spans="1:6" ht="45" customHeight="1" x14ac:dyDescent="0.3">
      <c r="A28" s="404" t="str">
        <f ca="1">TranslationsTB!$A$34</f>
        <v>E. Targets to be financed by funding request allocation amount</v>
      </c>
      <c r="B28" s="195" t="s">
        <v>8</v>
      </c>
      <c r="C28" s="170">
        <v>258637.5</v>
      </c>
      <c r="D28" s="170">
        <v>284558.40000000002</v>
      </c>
      <c r="E28" s="170">
        <v>311540.40000000002</v>
      </c>
      <c r="F28" s="403" t="s">
        <v>1774</v>
      </c>
    </row>
    <row r="29" spans="1:6" ht="45" customHeight="1" x14ac:dyDescent="0.3">
      <c r="A29" s="404"/>
      <c r="B29" s="195" t="s">
        <v>9</v>
      </c>
      <c r="C29" s="175">
        <f>IF(C28=0,"",+C28/C14)</f>
        <v>0.71999949891291937</v>
      </c>
      <c r="D29" s="175">
        <f t="shared" ref="D29:E29" si="6">IF(D28=0,"",+D28/D14)</f>
        <v>0.77400107712310218</v>
      </c>
      <c r="E29" s="175">
        <f t="shared" si="6"/>
        <v>0.82800114815444814</v>
      </c>
      <c r="F29" s="403"/>
    </row>
    <row r="30" spans="1:6" ht="45" customHeight="1" x14ac:dyDescent="0.3">
      <c r="A30" s="404" t="str">
        <f ca="1">TranslationsTB!$A$35</f>
        <v>F. Total coverage from allocation amount and other resources: E + C3</v>
      </c>
      <c r="B30" s="195" t="s">
        <v>8</v>
      </c>
      <c r="C30" s="178">
        <f>IF(C28="",C22,C28+C22)</f>
        <v>264385</v>
      </c>
      <c r="D30" s="178">
        <f t="shared" ref="D30:E30" si="7">IF(D28="",D22,D28+D22)</f>
        <v>294043.68000000005</v>
      </c>
      <c r="E30" s="178">
        <f t="shared" si="7"/>
        <v>321925.08</v>
      </c>
      <c r="F30" s="403"/>
    </row>
    <row r="31" spans="1:6" ht="45" customHeight="1" x14ac:dyDescent="0.3">
      <c r="A31" s="404"/>
      <c r="B31" s="195" t="s">
        <v>9</v>
      </c>
      <c r="C31" s="175">
        <f>IF(C30=0,"",+C30/C14)</f>
        <v>0.73599948777765101</v>
      </c>
      <c r="D31" s="175">
        <f t="shared" ref="D31:E31" si="8">IF(D30=0,"",+D30/D14)</f>
        <v>0.79980111302720569</v>
      </c>
      <c r="E31" s="175">
        <f t="shared" si="8"/>
        <v>0.85560118642626304</v>
      </c>
      <c r="F31" s="403"/>
    </row>
    <row r="32" spans="1:6" ht="45" customHeight="1" x14ac:dyDescent="0.3">
      <c r="A32" s="402" t="str">
        <f ca="1">TranslationsTB!$A$36</f>
        <v xml:space="preserve">G. Remaining gap: A - F </v>
      </c>
      <c r="B32" s="195" t="s">
        <v>8</v>
      </c>
      <c r="C32" s="171">
        <f>IF(C30="",C14,C14-C30)</f>
        <v>94834</v>
      </c>
      <c r="D32" s="171">
        <f t="shared" ref="D32:E32" si="9">IF(D30="",D14,D14-D30)</f>
        <v>73602.319999999949</v>
      </c>
      <c r="E32" s="171">
        <f t="shared" si="9"/>
        <v>54330.919999999984</v>
      </c>
      <c r="F32" s="403" t="s">
        <v>1775</v>
      </c>
    </row>
    <row r="33" spans="1:20" ht="45" customHeight="1" x14ac:dyDescent="0.3">
      <c r="A33" s="402"/>
      <c r="B33" s="195" t="s">
        <v>9</v>
      </c>
      <c r="C33" s="175">
        <f>IF(C32=0,"",+C32/C14)</f>
        <v>0.26400051222234905</v>
      </c>
      <c r="D33" s="175">
        <f t="shared" ref="D33:E33" si="10">IF(D32=0,"",+D32/D14)</f>
        <v>0.20019888697279434</v>
      </c>
      <c r="E33" s="175">
        <f t="shared" si="10"/>
        <v>0.14439881357373699</v>
      </c>
      <c r="F33" s="403"/>
    </row>
    <row r="34" spans="1:20" x14ac:dyDescent="0.3">
      <c r="A34" s="120"/>
      <c r="B34" s="120"/>
      <c r="C34" s="180"/>
      <c r="D34" s="180"/>
      <c r="E34" s="180"/>
      <c r="F34" s="359"/>
    </row>
    <row r="35" spans="1:20" x14ac:dyDescent="0.3">
      <c r="A35" s="120"/>
      <c r="B35" s="120"/>
      <c r="C35" s="180"/>
      <c r="D35" s="180"/>
      <c r="E35" s="180"/>
      <c r="F35" s="359"/>
    </row>
    <row r="36" spans="1:20" s="126" customFormat="1" ht="30" customHeight="1" x14ac:dyDescent="0.8">
      <c r="A36" s="389" t="str">
        <f ca="1">TranslationsTB!$A$5</f>
        <v xml:space="preserve">TB Programmatic Gap Table 2 </v>
      </c>
      <c r="B36" s="390"/>
      <c r="C36" s="390"/>
      <c r="D36" s="390"/>
      <c r="E36" s="390"/>
      <c r="F36" s="391"/>
    </row>
    <row r="37" spans="1:20" ht="45" customHeight="1" x14ac:dyDescent="0.3">
      <c r="A37" s="129" t="str">
        <f ca="1">TranslationsHIV!$A$21</f>
        <v>Priority Module</v>
      </c>
      <c r="B37" s="398" t="s">
        <v>524</v>
      </c>
      <c r="C37" s="398"/>
      <c r="D37" s="398"/>
      <c r="E37" s="398"/>
      <c r="F37" s="398"/>
    </row>
    <row r="38" spans="1:20" ht="45" customHeight="1" x14ac:dyDescent="0.3">
      <c r="A38" s="129" t="str">
        <f ca="1">TranslationsHIV!$A$22</f>
        <v>Selected coverage indicator</v>
      </c>
      <c r="B38" s="373" t="str">
        <f ca="1">VLOOKUP(B37,TBModulesIndicators,2,FALSE)</f>
        <v>Number of people with confirmed RR-TB and/or MDR-TB notified</v>
      </c>
      <c r="C38" s="373"/>
      <c r="D38" s="373"/>
      <c r="E38" s="373"/>
      <c r="F38" s="373"/>
    </row>
    <row r="39" spans="1:20" ht="17.5" customHeight="1" x14ac:dyDescent="0.3">
      <c r="A39" s="351" t="str">
        <f ca="1">TranslationsHIV!$A$24</f>
        <v>Current national coverage</v>
      </c>
      <c r="B39" s="352"/>
      <c r="C39" s="352"/>
      <c r="D39" s="352"/>
      <c r="E39" s="352"/>
      <c r="F39" s="213"/>
    </row>
    <row r="40" spans="1:20" ht="45" customHeight="1" x14ac:dyDescent="0.3">
      <c r="A40" s="131" t="str">
        <f ca="1">TranslationsHIV!$A$25</f>
        <v>Insert latest results</v>
      </c>
      <c r="B40" s="24">
        <v>1236</v>
      </c>
      <c r="C40" s="155" t="str">
        <f ca="1">TranslationsHIV!$A$26</f>
        <v>Year</v>
      </c>
      <c r="D40" s="215">
        <v>2021</v>
      </c>
      <c r="E40" s="155" t="str">
        <f ca="1">TranslationsHIV!$A$27</f>
        <v>Data source</v>
      </c>
      <c r="F40" s="216" t="s">
        <v>1662</v>
      </c>
    </row>
    <row r="41" spans="1:20" ht="45" customHeight="1" x14ac:dyDescent="0.3">
      <c r="A41" s="133" t="str">
        <f ca="1">TranslationsHIV!$A$28</f>
        <v>Comments</v>
      </c>
      <c r="B41" s="399" t="s">
        <v>1776</v>
      </c>
      <c r="C41" s="400"/>
      <c r="D41" s="400"/>
      <c r="E41" s="400"/>
      <c r="F41" s="400"/>
    </row>
    <row r="42" spans="1:20" ht="40" customHeight="1" x14ac:dyDescent="0.3">
      <c r="A42" s="193"/>
      <c r="B42" s="218"/>
      <c r="C42" s="191" t="str">
        <f ca="1">TranslationsHIV!$A$29</f>
        <v>Year 1</v>
      </c>
      <c r="D42" s="130" t="str">
        <f ca="1">TranslationsHIV!$A$30</f>
        <v>Year 2</v>
      </c>
      <c r="E42" s="130" t="str">
        <f ca="1">TranslationsHIV!$A$31</f>
        <v>Year 3</v>
      </c>
      <c r="F42" s="401" t="str">
        <f ca="1">TranslationsHIV!$A$34</f>
        <v>Comments / Assumptions</v>
      </c>
    </row>
    <row r="43" spans="1:20" s="89" customFormat="1" ht="40" customHeight="1" x14ac:dyDescent="0.3">
      <c r="A43" s="194"/>
      <c r="B43" s="219"/>
      <c r="C43" s="238">
        <v>2024</v>
      </c>
      <c r="D43" s="140">
        <v>2025</v>
      </c>
      <c r="E43" s="140">
        <v>2026</v>
      </c>
      <c r="F43" s="401"/>
      <c r="G43" s="12"/>
      <c r="H43" s="12"/>
      <c r="I43" s="12"/>
      <c r="J43" s="12"/>
      <c r="K43" s="12"/>
      <c r="L43" s="12"/>
      <c r="M43" s="12"/>
      <c r="N43" s="12"/>
      <c r="O43" s="12"/>
      <c r="P43" s="12"/>
      <c r="Q43" s="12"/>
      <c r="R43" s="12"/>
      <c r="S43" s="12"/>
      <c r="T43" s="12"/>
    </row>
    <row r="44" spans="1:20" ht="17.5" customHeight="1" x14ac:dyDescent="0.3">
      <c r="A44" s="353" t="str">
        <f ca="1">TranslationsHIV!$A$35</f>
        <v>Current estimated country need</v>
      </c>
      <c r="B44" s="354"/>
      <c r="C44" s="352"/>
      <c r="D44" s="352"/>
      <c r="E44" s="352"/>
      <c r="F44" s="213"/>
    </row>
    <row r="45" spans="1:20" ht="45" customHeight="1" x14ac:dyDescent="0.3">
      <c r="A45" s="131" t="str">
        <f ca="1">TranslationsTB!$A$25</f>
        <v>A. Total estimated population in need/at risk</v>
      </c>
      <c r="B45" s="195" t="s">
        <v>8</v>
      </c>
      <c r="C45" s="174">
        <v>7641</v>
      </c>
      <c r="D45" s="174">
        <v>7870</v>
      </c>
      <c r="E45" s="174">
        <v>8106</v>
      </c>
      <c r="F45" s="216" t="s">
        <v>1777</v>
      </c>
    </row>
    <row r="46" spans="1:20" ht="45" customHeight="1" x14ac:dyDescent="0.3">
      <c r="A46" s="402" t="str">
        <f ca="1">TranslationsTB!$A$26</f>
        <v>B. Country targets 
(from National Strategic Plan)</v>
      </c>
      <c r="B46" s="195" t="s">
        <v>8</v>
      </c>
      <c r="C46" s="309">
        <v>2483</v>
      </c>
      <c r="D46" s="174">
        <v>3185</v>
      </c>
      <c r="E46" s="174">
        <v>4063</v>
      </c>
      <c r="F46" s="216" t="s">
        <v>1778</v>
      </c>
    </row>
    <row r="47" spans="1:20" ht="45" customHeight="1" x14ac:dyDescent="0.3">
      <c r="A47" s="402"/>
      <c r="B47" s="195" t="s">
        <v>9</v>
      </c>
      <c r="C47" s="175">
        <f>IF(C46=0,"",+C46/C45)</f>
        <v>0.32495746630022249</v>
      </c>
      <c r="D47" s="175">
        <f t="shared" ref="D47:E47" si="11">IF(D46=0,"",+D46/D45)</f>
        <v>0.40470139771283353</v>
      </c>
      <c r="E47" s="175">
        <f t="shared" si="11"/>
        <v>0.50123365408339504</v>
      </c>
      <c r="F47" s="216"/>
    </row>
    <row r="48" spans="1:20" ht="17.5" customHeight="1" x14ac:dyDescent="0.3">
      <c r="A48" s="351" t="str">
        <f ca="1">TranslationsHIV!$A$54</f>
        <v>Country target already covered</v>
      </c>
      <c r="B48" s="352"/>
      <c r="C48" s="352"/>
      <c r="D48" s="352"/>
      <c r="E48" s="352"/>
      <c r="F48" s="213"/>
    </row>
    <row r="49" spans="1:6" ht="45" customHeight="1" x14ac:dyDescent="0.3">
      <c r="A49" s="405" t="str">
        <f ca="1">TranslationsHIV!$A$55</f>
        <v>C1. Country need planned to be covered by domestic resources</v>
      </c>
      <c r="B49" s="195" t="s">
        <v>8</v>
      </c>
      <c r="C49" s="170">
        <v>24.830000000000002</v>
      </c>
      <c r="D49" s="170">
        <v>31.85</v>
      </c>
      <c r="E49" s="170">
        <v>40.630000000000003</v>
      </c>
      <c r="F49" s="216" t="s">
        <v>1779</v>
      </c>
    </row>
    <row r="50" spans="1:6" ht="45" customHeight="1" x14ac:dyDescent="0.3">
      <c r="A50" s="405"/>
      <c r="B50" s="195" t="s">
        <v>9</v>
      </c>
      <c r="C50" s="175">
        <f>IF(C49=0,"",(C49/C45))</f>
        <v>3.249574663002225E-3</v>
      </c>
      <c r="D50" s="175">
        <f t="shared" ref="D50:E50" si="12">IF(D49=0,"",(D49/D45))</f>
        <v>4.0470139771283361E-3</v>
      </c>
      <c r="E50" s="175">
        <f t="shared" si="12"/>
        <v>5.0123365408339506E-3</v>
      </c>
      <c r="F50" s="216"/>
    </row>
    <row r="51" spans="1:6" ht="45" customHeight="1" x14ac:dyDescent="0.3">
      <c r="A51" s="405" t="str">
        <f ca="1">TranslationsHIV!$A$56</f>
        <v>C2. Country need planned to be covered by external resources</v>
      </c>
      <c r="B51" s="195" t="s">
        <v>8</v>
      </c>
      <c r="C51" s="170">
        <v>869.05</v>
      </c>
      <c r="D51" s="176">
        <v>1114.75</v>
      </c>
      <c r="E51" s="176">
        <v>1422.05</v>
      </c>
      <c r="F51" s="216" t="s">
        <v>1780</v>
      </c>
    </row>
    <row r="52" spans="1:6" ht="45" customHeight="1" x14ac:dyDescent="0.3">
      <c r="A52" s="405"/>
      <c r="B52" s="195" t="s">
        <v>9</v>
      </c>
      <c r="C52" s="175">
        <f>IF(C51=0,"",+C51/C45)</f>
        <v>0.11373511320507787</v>
      </c>
      <c r="D52" s="175">
        <f t="shared" ref="D52:E52" si="13">IF(D51=0,"",+D51/D45)</f>
        <v>0.14164548919949174</v>
      </c>
      <c r="E52" s="175">
        <f t="shared" si="13"/>
        <v>0.17543177892918824</v>
      </c>
      <c r="F52" s="216"/>
    </row>
    <row r="53" spans="1:6" ht="45" customHeight="1" x14ac:dyDescent="0.3">
      <c r="A53" s="405" t="str">
        <f ca="1">TranslationsHIV!$A$57</f>
        <v>C3. Total country need already covered</v>
      </c>
      <c r="B53" s="195" t="s">
        <v>8</v>
      </c>
      <c r="C53" s="177">
        <f>C49+(C51)</f>
        <v>893.88</v>
      </c>
      <c r="D53" s="177">
        <f>D49+(D51)</f>
        <v>1146.5999999999999</v>
      </c>
      <c r="E53" s="177">
        <f>E49+(E51)</f>
        <v>1462.68</v>
      </c>
      <c r="F53" s="216"/>
    </row>
    <row r="54" spans="1:6" ht="45" customHeight="1" x14ac:dyDescent="0.3">
      <c r="A54" s="405"/>
      <c r="B54" s="195" t="s">
        <v>9</v>
      </c>
      <c r="C54" s="175">
        <f>IF(C53=0,"",C53/C45)</f>
        <v>0.1169846878680801</v>
      </c>
      <c r="D54" s="175">
        <f t="shared" ref="D54:E54" si="14">IF(D53=0,"",D53/D45)</f>
        <v>0.14569250317662005</v>
      </c>
      <c r="E54" s="175">
        <f t="shared" si="14"/>
        <v>0.1804441154700222</v>
      </c>
      <c r="F54" s="216"/>
    </row>
    <row r="55" spans="1:6" ht="17.5" customHeight="1" x14ac:dyDescent="0.3">
      <c r="A55" s="351" t="str">
        <f ca="1">TranslationsHIV!$A$42</f>
        <v>Programmatic gap</v>
      </c>
      <c r="B55" s="352"/>
      <c r="C55" s="352"/>
      <c r="D55" s="352"/>
      <c r="E55" s="352"/>
      <c r="F55" s="213"/>
    </row>
    <row r="56" spans="1:6" ht="45" customHeight="1" x14ac:dyDescent="0.3">
      <c r="A56" s="404" t="str">
        <f ca="1">TranslationsTB!$A$32</f>
        <v>D. Expected annual gap in meeting the need: A - C3</v>
      </c>
      <c r="B56" s="195" t="s">
        <v>8</v>
      </c>
      <c r="C56" s="178">
        <f>C45-C53</f>
        <v>6747.12</v>
      </c>
      <c r="D56" s="178">
        <f t="shared" ref="D56:E56" si="15">D45-D53</f>
        <v>6723.4</v>
      </c>
      <c r="E56" s="178">
        <f t="shared" si="15"/>
        <v>6643.32</v>
      </c>
      <c r="F56" s="403"/>
    </row>
    <row r="57" spans="1:6" ht="45" customHeight="1" x14ac:dyDescent="0.3">
      <c r="A57" s="404"/>
      <c r="B57" s="195" t="s">
        <v>9</v>
      </c>
      <c r="C57" s="175">
        <f>IF(C56=0,"",+C56/C45)</f>
        <v>0.88301531213191986</v>
      </c>
      <c r="D57" s="175">
        <f t="shared" ref="D57:E57" si="16">IF(D56=0,"",+D56/D45)</f>
        <v>0.85430749682337992</v>
      </c>
      <c r="E57" s="175">
        <f t="shared" si="16"/>
        <v>0.81955588452997774</v>
      </c>
      <c r="F57" s="403"/>
    </row>
    <row r="58" spans="1:6" ht="17.5" customHeight="1" x14ac:dyDescent="0.3">
      <c r="A58" s="351" t="str">
        <f ca="1">TranslationsHIV!$A$59</f>
        <v>Country target covered with the allocation amount</v>
      </c>
      <c r="B58" s="352"/>
      <c r="C58" s="352"/>
      <c r="D58" s="352"/>
      <c r="E58" s="352"/>
      <c r="F58" s="213"/>
    </row>
    <row r="59" spans="1:6" ht="45" customHeight="1" x14ac:dyDescent="0.3">
      <c r="A59" s="404" t="str">
        <f ca="1">TranslationsTB!$A$34</f>
        <v>E. Targets to be financed by funding request allocation amount</v>
      </c>
      <c r="B59" s="195" t="s">
        <v>8</v>
      </c>
      <c r="C59" s="170">
        <v>1613.95</v>
      </c>
      <c r="D59" s="170">
        <v>2070.25</v>
      </c>
      <c r="E59" s="170">
        <v>2640.9500000000003</v>
      </c>
      <c r="F59" s="403" t="s">
        <v>1781</v>
      </c>
    </row>
    <row r="60" spans="1:6" ht="45" customHeight="1" x14ac:dyDescent="0.3">
      <c r="A60" s="404"/>
      <c r="B60" s="195" t="s">
        <v>9</v>
      </c>
      <c r="C60" s="175">
        <f>IF(C59=0,"",+C59/C45)</f>
        <v>0.21122235309514462</v>
      </c>
      <c r="D60" s="175">
        <f t="shared" ref="D60:E60" si="17">IF(D59=0,"",+D59/D45)</f>
        <v>0.26305590851334182</v>
      </c>
      <c r="E60" s="175">
        <f t="shared" si="17"/>
        <v>0.32580187515420678</v>
      </c>
      <c r="F60" s="403"/>
    </row>
    <row r="61" spans="1:6" ht="45" customHeight="1" x14ac:dyDescent="0.3">
      <c r="A61" s="404" t="str">
        <f ca="1">TranslationsTB!$A$35</f>
        <v>F. Total coverage from allocation amount and other resources: E + C3</v>
      </c>
      <c r="B61" s="195" t="s">
        <v>8</v>
      </c>
      <c r="C61" s="178">
        <f>IF(C59="",C53,C59+C53)</f>
        <v>2507.83</v>
      </c>
      <c r="D61" s="178">
        <f t="shared" ref="D61:E61" si="18">IF(D59="",D53,D59+D53)</f>
        <v>3216.85</v>
      </c>
      <c r="E61" s="178">
        <f t="shared" si="18"/>
        <v>4103.63</v>
      </c>
      <c r="F61" s="403"/>
    </row>
    <row r="62" spans="1:6" ht="45" customHeight="1" x14ac:dyDescent="0.3">
      <c r="A62" s="404"/>
      <c r="B62" s="195" t="s">
        <v>9</v>
      </c>
      <c r="C62" s="175">
        <f>IF(C61=0,"",+C61/C45)</f>
        <v>0.32820704096322467</v>
      </c>
      <c r="D62" s="175">
        <f t="shared" ref="D62" si="19">IF(D61=0,"",+D61/D45)</f>
        <v>0.40874841168996184</v>
      </c>
      <c r="E62" s="175">
        <f t="shared" ref="E62" si="20">IF(E61=0,"",+E61/E45)</f>
        <v>0.50624599062422893</v>
      </c>
      <c r="F62" s="403"/>
    </row>
    <row r="63" spans="1:6" ht="45" customHeight="1" x14ac:dyDescent="0.3">
      <c r="A63" s="402" t="str">
        <f ca="1">TranslationsTB!$A$36</f>
        <v xml:space="preserve">G. Remaining gap: A - F </v>
      </c>
      <c r="B63" s="195" t="s">
        <v>8</v>
      </c>
      <c r="C63" s="171">
        <f>IF(C61="",C45,C45-C61)</f>
        <v>5133.17</v>
      </c>
      <c r="D63" s="171">
        <f t="shared" ref="D63:E63" si="21">IF(D61="",D45,D45-D61)</f>
        <v>4653.1499999999996</v>
      </c>
      <c r="E63" s="171">
        <f t="shared" si="21"/>
        <v>4002.37</v>
      </c>
      <c r="F63" s="403" t="s">
        <v>1782</v>
      </c>
    </row>
    <row r="64" spans="1:6" ht="45" customHeight="1" x14ac:dyDescent="0.3">
      <c r="A64" s="402"/>
      <c r="B64" s="195" t="s">
        <v>9</v>
      </c>
      <c r="C64" s="175">
        <f>IF(C63=0,"",+C63/C45)</f>
        <v>0.67179295903677527</v>
      </c>
      <c r="D64" s="175">
        <f t="shared" ref="D64" si="22">IF(D63=0,"",+D63/D45)</f>
        <v>0.5912515883100381</v>
      </c>
      <c r="E64" s="175">
        <f t="shared" ref="E64" si="23">IF(E63=0,"",+E63/E45)</f>
        <v>0.49375400937577102</v>
      </c>
      <c r="F64" s="403"/>
    </row>
    <row r="65" spans="1:6" x14ac:dyDescent="0.3">
      <c r="A65" s="125"/>
      <c r="B65" s="125"/>
      <c r="C65" s="181"/>
      <c r="D65" s="181"/>
      <c r="E65" s="181"/>
      <c r="F65" s="125"/>
    </row>
    <row r="66" spans="1:6" x14ac:dyDescent="0.3">
      <c r="A66" s="125"/>
      <c r="B66" s="125"/>
      <c r="C66" s="181"/>
      <c r="D66" s="181"/>
      <c r="E66" s="181"/>
      <c r="F66" s="125"/>
    </row>
    <row r="67" spans="1:6" s="126" customFormat="1" ht="30" customHeight="1" x14ac:dyDescent="0.8">
      <c r="A67" s="389" t="str">
        <f ca="1">TranslationsTB!$A$6</f>
        <v xml:space="preserve">TB Programmatic Gap Table 3 </v>
      </c>
      <c r="B67" s="390"/>
      <c r="C67" s="390"/>
      <c r="D67" s="390"/>
      <c r="E67" s="390"/>
      <c r="F67" s="391"/>
    </row>
    <row r="68" spans="1:6" ht="45" customHeight="1" x14ac:dyDescent="0.3">
      <c r="A68" s="129" t="str">
        <f ca="1">TranslationsHIV!$A$21</f>
        <v>Priority Module</v>
      </c>
      <c r="B68" s="398" t="s">
        <v>531</v>
      </c>
      <c r="C68" s="398"/>
      <c r="D68" s="398"/>
      <c r="E68" s="398"/>
      <c r="F68" s="398"/>
    </row>
    <row r="69" spans="1:6" ht="45" customHeight="1" x14ac:dyDescent="0.3">
      <c r="A69" s="129" t="str">
        <f ca="1">TranslationsHIV!$A$22</f>
        <v>Selected coverage indicator</v>
      </c>
      <c r="B69" s="373" t="str">
        <f ca="1">VLOOKUP(B68,TBModulesIndicators,2,FALSE)</f>
        <v>Number of bacteriologically confirmed RR-TB and/or MDR-TB cases registered and started on a prescribed RR-TB and/or MDR-TB treatment regimen</v>
      </c>
      <c r="C69" s="373"/>
      <c r="D69" s="373"/>
      <c r="E69" s="373"/>
      <c r="F69" s="373"/>
    </row>
    <row r="70" spans="1:6" ht="17.5" customHeight="1" x14ac:dyDescent="0.3">
      <c r="A70" s="411" t="str">
        <f ca="1">TranslationsHIV!$A$24</f>
        <v>Current national coverage</v>
      </c>
      <c r="B70" s="412"/>
      <c r="C70" s="412"/>
      <c r="D70" s="412"/>
      <c r="E70" s="412"/>
      <c r="F70" s="413"/>
    </row>
    <row r="71" spans="1:6" ht="45" customHeight="1" x14ac:dyDescent="0.3">
      <c r="A71" s="131" t="str">
        <f ca="1">TranslationsHIV!$A$25</f>
        <v>Insert latest results</v>
      </c>
      <c r="B71" s="24">
        <v>1125</v>
      </c>
      <c r="C71" s="155" t="str">
        <f ca="1">TranslationsHIV!$A$26</f>
        <v>Year</v>
      </c>
      <c r="D71" s="215">
        <v>2021</v>
      </c>
      <c r="E71" s="155" t="str">
        <f ca="1">TranslationsHIV!$A$27</f>
        <v>Data source</v>
      </c>
      <c r="F71" s="216" t="s">
        <v>1662</v>
      </c>
    </row>
    <row r="72" spans="1:6" ht="45" customHeight="1" x14ac:dyDescent="0.3">
      <c r="A72" s="133" t="str">
        <f ca="1">TranslationsHIV!$A$28</f>
        <v>Comments</v>
      </c>
      <c r="B72" s="399" t="s">
        <v>1783</v>
      </c>
      <c r="C72" s="400"/>
      <c r="D72" s="400"/>
      <c r="E72" s="400"/>
      <c r="F72" s="400"/>
    </row>
    <row r="73" spans="1:6" ht="40" customHeight="1" x14ac:dyDescent="0.3">
      <c r="A73" s="193"/>
      <c r="B73" s="218"/>
      <c r="C73" s="191" t="str">
        <f ca="1">TranslationsHIV!$A$29</f>
        <v>Year 1</v>
      </c>
      <c r="D73" s="130" t="str">
        <f ca="1">TranslationsHIV!$A$30</f>
        <v>Year 2</v>
      </c>
      <c r="E73" s="130" t="str">
        <f ca="1">TranslationsHIV!$A$31</f>
        <v>Year 3</v>
      </c>
      <c r="F73" s="401" t="str">
        <f ca="1">TranslationsHIV!$A$34</f>
        <v>Comments / Assumptions</v>
      </c>
    </row>
    <row r="74" spans="1:6" ht="40" customHeight="1" x14ac:dyDescent="0.3">
      <c r="A74" s="194"/>
      <c r="B74" s="219"/>
      <c r="C74" s="238">
        <v>2024</v>
      </c>
      <c r="D74" s="140">
        <v>2025</v>
      </c>
      <c r="E74" s="140">
        <v>2026</v>
      </c>
      <c r="F74" s="401"/>
    </row>
    <row r="75" spans="1:6" ht="17.5" customHeight="1" x14ac:dyDescent="0.3">
      <c r="A75" s="353" t="str">
        <f ca="1">TranslationsHIV!$A$35</f>
        <v>Current estimated country need</v>
      </c>
      <c r="B75" s="354"/>
      <c r="C75" s="352"/>
      <c r="D75" s="352"/>
      <c r="E75" s="352"/>
      <c r="F75" s="213"/>
    </row>
    <row r="76" spans="1:6" ht="45" customHeight="1" x14ac:dyDescent="0.3">
      <c r="A76" s="131" t="str">
        <f ca="1">TranslationsTB!$A$25</f>
        <v>A. Total estimated population in need/at risk</v>
      </c>
      <c r="B76" s="195" t="s">
        <v>8</v>
      </c>
      <c r="C76" s="174">
        <v>7641</v>
      </c>
      <c r="D76" s="174">
        <v>7870</v>
      </c>
      <c r="E76" s="174">
        <v>8106</v>
      </c>
      <c r="F76" s="216" t="s">
        <v>1784</v>
      </c>
    </row>
    <row r="77" spans="1:6" ht="45" customHeight="1" x14ac:dyDescent="0.3">
      <c r="A77" s="402" t="str">
        <f ca="1">TranslationsTB!$A$26</f>
        <v>B. Country targets 
(from National Strategic Plan)</v>
      </c>
      <c r="B77" s="195" t="s">
        <v>8</v>
      </c>
      <c r="C77" s="309">
        <v>2483</v>
      </c>
      <c r="D77" s="174">
        <v>3185</v>
      </c>
      <c r="E77" s="174">
        <v>4063</v>
      </c>
      <c r="F77" s="216" t="s">
        <v>1785</v>
      </c>
    </row>
    <row r="78" spans="1:6" ht="45" customHeight="1" x14ac:dyDescent="0.3">
      <c r="A78" s="402"/>
      <c r="B78" s="195" t="s">
        <v>9</v>
      </c>
      <c r="C78" s="175">
        <f>IF(C77=0,"",+C77/C76)</f>
        <v>0.32495746630022249</v>
      </c>
      <c r="D78" s="175">
        <f t="shared" ref="D78:E78" si="24">IF(D77=0,"",+D77/D76)</f>
        <v>0.40470139771283353</v>
      </c>
      <c r="E78" s="175">
        <f t="shared" si="24"/>
        <v>0.50123365408339504</v>
      </c>
      <c r="F78" s="216"/>
    </row>
    <row r="79" spans="1:6" ht="17.5" customHeight="1" x14ac:dyDescent="0.3">
      <c r="A79" s="351" t="str">
        <f ca="1">TranslationsHIV!$A$54</f>
        <v>Country target already covered</v>
      </c>
      <c r="B79" s="352"/>
      <c r="C79" s="352"/>
      <c r="D79" s="352"/>
      <c r="E79" s="352"/>
      <c r="F79" s="213"/>
    </row>
    <row r="80" spans="1:6" ht="45" customHeight="1" x14ac:dyDescent="0.3">
      <c r="A80" s="405" t="str">
        <f ca="1">TranslationsHIV!$A$55</f>
        <v>C1. Country need planned to be covered by domestic resources</v>
      </c>
      <c r="B80" s="195" t="s">
        <v>8</v>
      </c>
      <c r="C80" s="170">
        <v>24.830000000000002</v>
      </c>
      <c r="D80" s="170">
        <v>31.85</v>
      </c>
      <c r="E80" s="170">
        <v>40.630000000000003</v>
      </c>
      <c r="F80" s="216" t="s">
        <v>1786</v>
      </c>
    </row>
    <row r="81" spans="1:6" ht="45" customHeight="1" x14ac:dyDescent="0.3">
      <c r="A81" s="405"/>
      <c r="B81" s="195" t="s">
        <v>9</v>
      </c>
      <c r="C81" s="175">
        <f>IF(C80=0,"",(C80/C76))</f>
        <v>3.249574663002225E-3</v>
      </c>
      <c r="D81" s="175">
        <f t="shared" ref="D81:E81" si="25">IF(D80=0,"",(D80/D76))</f>
        <v>4.0470139771283361E-3</v>
      </c>
      <c r="E81" s="175">
        <f t="shared" si="25"/>
        <v>5.0123365408339506E-3</v>
      </c>
      <c r="F81" s="216"/>
    </row>
    <row r="82" spans="1:6" ht="45" customHeight="1" x14ac:dyDescent="0.3">
      <c r="A82" s="405" t="str">
        <f ca="1">TranslationsHIV!$A$56</f>
        <v>C2. Country need planned to be covered by external resources</v>
      </c>
      <c r="B82" s="195" t="s">
        <v>8</v>
      </c>
      <c r="C82" s="170">
        <v>869.05</v>
      </c>
      <c r="D82" s="176">
        <v>1114.75</v>
      </c>
      <c r="E82" s="176">
        <v>1422.05</v>
      </c>
      <c r="F82" s="216" t="s">
        <v>1787</v>
      </c>
    </row>
    <row r="83" spans="1:6" ht="45" customHeight="1" x14ac:dyDescent="0.3">
      <c r="A83" s="405"/>
      <c r="B83" s="195" t="s">
        <v>9</v>
      </c>
      <c r="C83" s="175">
        <f>IF(C82=0,"",+C82/C76)</f>
        <v>0.11373511320507787</v>
      </c>
      <c r="D83" s="175">
        <f t="shared" ref="D83:E83" si="26">IF(D82=0,"",+D82/D76)</f>
        <v>0.14164548919949174</v>
      </c>
      <c r="E83" s="175">
        <f t="shared" si="26"/>
        <v>0.17543177892918824</v>
      </c>
      <c r="F83" s="216"/>
    </row>
    <row r="84" spans="1:6" ht="45" customHeight="1" x14ac:dyDescent="0.3">
      <c r="A84" s="405" t="str">
        <f ca="1">TranslationsHIV!$A$57</f>
        <v>C3. Total country need already covered</v>
      </c>
      <c r="B84" s="195" t="s">
        <v>8</v>
      </c>
      <c r="C84" s="177">
        <f>C80+(C82)</f>
        <v>893.88</v>
      </c>
      <c r="D84" s="177">
        <f>D80+(D82)</f>
        <v>1146.5999999999999</v>
      </c>
      <c r="E84" s="177">
        <f>E80+(E82)</f>
        <v>1462.68</v>
      </c>
      <c r="F84" s="216"/>
    </row>
    <row r="85" spans="1:6" ht="45" customHeight="1" x14ac:dyDescent="0.3">
      <c r="A85" s="405"/>
      <c r="B85" s="195" t="s">
        <v>9</v>
      </c>
      <c r="C85" s="175">
        <f>IF(C84=0,"",C84/C76)</f>
        <v>0.1169846878680801</v>
      </c>
      <c r="D85" s="175">
        <f t="shared" ref="D85:E85" si="27">IF(D84=0,"",D84/D76)</f>
        <v>0.14569250317662005</v>
      </c>
      <c r="E85" s="175">
        <f t="shared" si="27"/>
        <v>0.1804441154700222</v>
      </c>
      <c r="F85" s="216"/>
    </row>
    <row r="86" spans="1:6" ht="17.5" customHeight="1" x14ac:dyDescent="0.3">
      <c r="A86" s="351" t="str">
        <f ca="1">TranslationsHIV!$A$42</f>
        <v>Programmatic gap</v>
      </c>
      <c r="B86" s="352"/>
      <c r="C86" s="352"/>
      <c r="D86" s="352"/>
      <c r="E86" s="352"/>
      <c r="F86" s="213"/>
    </row>
    <row r="87" spans="1:6" ht="45" customHeight="1" x14ac:dyDescent="0.3">
      <c r="A87" s="404" t="str">
        <f ca="1">TranslationsTB!$A$32</f>
        <v>D. Expected annual gap in meeting the need: A - C3</v>
      </c>
      <c r="B87" s="195" t="s">
        <v>8</v>
      </c>
      <c r="C87" s="178">
        <f>C76-C84</f>
        <v>6747.12</v>
      </c>
      <c r="D87" s="178">
        <f t="shared" ref="D87:E87" si="28">D76-D84</f>
        <v>6723.4</v>
      </c>
      <c r="E87" s="178">
        <f t="shared" si="28"/>
        <v>6643.32</v>
      </c>
      <c r="F87" s="403"/>
    </row>
    <row r="88" spans="1:6" ht="45" customHeight="1" x14ac:dyDescent="0.3">
      <c r="A88" s="404"/>
      <c r="B88" s="195" t="s">
        <v>9</v>
      </c>
      <c r="C88" s="175">
        <f>IF(C87=0,"",+C87/C76)</f>
        <v>0.88301531213191986</v>
      </c>
      <c r="D88" s="175">
        <f t="shared" ref="D88:E88" si="29">IF(D87=0,"",+D87/D76)</f>
        <v>0.85430749682337992</v>
      </c>
      <c r="E88" s="175">
        <f t="shared" si="29"/>
        <v>0.81955588452997774</v>
      </c>
      <c r="F88" s="403"/>
    </row>
    <row r="89" spans="1:6" ht="17.5" customHeight="1" x14ac:dyDescent="0.3">
      <c r="A89" s="351" t="str">
        <f ca="1">TranslationsHIV!$A$59</f>
        <v>Country target covered with the allocation amount</v>
      </c>
      <c r="B89" s="352"/>
      <c r="C89" s="352"/>
      <c r="D89" s="352"/>
      <c r="E89" s="352"/>
      <c r="F89" s="213"/>
    </row>
    <row r="90" spans="1:6" ht="45" customHeight="1" x14ac:dyDescent="0.3">
      <c r="A90" s="404" t="str">
        <f ca="1">TranslationsTB!$A$34</f>
        <v>E. Targets to be financed by funding request allocation amount</v>
      </c>
      <c r="B90" s="195" t="s">
        <v>8</v>
      </c>
      <c r="C90" s="170">
        <v>1613.95</v>
      </c>
      <c r="D90" s="170">
        <v>2070.25</v>
      </c>
      <c r="E90" s="170">
        <v>2640.9500000000003</v>
      </c>
      <c r="F90" s="403" t="s">
        <v>1788</v>
      </c>
    </row>
    <row r="91" spans="1:6" ht="45" customHeight="1" x14ac:dyDescent="0.3">
      <c r="A91" s="404"/>
      <c r="B91" s="195" t="s">
        <v>9</v>
      </c>
      <c r="C91" s="175">
        <f>IF(C90=0,"",+C90/C76)</f>
        <v>0.21122235309514462</v>
      </c>
      <c r="D91" s="175">
        <f t="shared" ref="D91:E91" si="30">IF(D90=0,"",+D90/D76)</f>
        <v>0.26305590851334182</v>
      </c>
      <c r="E91" s="175">
        <f t="shared" si="30"/>
        <v>0.32580187515420678</v>
      </c>
      <c r="F91" s="403"/>
    </row>
    <row r="92" spans="1:6" ht="45" customHeight="1" x14ac:dyDescent="0.3">
      <c r="A92" s="404" t="str">
        <f ca="1">TranslationsTB!$A$35</f>
        <v>F. Total coverage from allocation amount and other resources: E + C3</v>
      </c>
      <c r="B92" s="195" t="s">
        <v>8</v>
      </c>
      <c r="C92" s="178">
        <f>IF(C90="",C84,C90+C84)</f>
        <v>2507.83</v>
      </c>
      <c r="D92" s="178">
        <f t="shared" ref="D92:E92" si="31">IF(D90="",D84,D90+D84)</f>
        <v>3216.85</v>
      </c>
      <c r="E92" s="178">
        <f t="shared" si="31"/>
        <v>4103.63</v>
      </c>
      <c r="F92" s="403"/>
    </row>
    <row r="93" spans="1:6" ht="45" customHeight="1" x14ac:dyDescent="0.3">
      <c r="A93" s="404"/>
      <c r="B93" s="195" t="s">
        <v>9</v>
      </c>
      <c r="C93" s="175">
        <f>IF(C92=0,"",+C92/C76)</f>
        <v>0.32820704096322467</v>
      </c>
      <c r="D93" s="175">
        <f t="shared" ref="D93" si="32">IF(D92=0,"",+D92/D76)</f>
        <v>0.40874841168996184</v>
      </c>
      <c r="E93" s="175">
        <f t="shared" ref="E93" si="33">IF(E92=0,"",+E92/E76)</f>
        <v>0.50624599062422893</v>
      </c>
      <c r="F93" s="403"/>
    </row>
    <row r="94" spans="1:6" ht="45" customHeight="1" x14ac:dyDescent="0.3">
      <c r="A94" s="402" t="str">
        <f ca="1">TranslationsTB!$A$36</f>
        <v xml:space="preserve">G. Remaining gap: A - F </v>
      </c>
      <c r="B94" s="195" t="s">
        <v>8</v>
      </c>
      <c r="C94" s="171">
        <f>IF(C92="",C76,C76-C92)</f>
        <v>5133.17</v>
      </c>
      <c r="D94" s="171">
        <f t="shared" ref="D94:E94" si="34">IF(D92="",D76,D76-D92)</f>
        <v>4653.1499999999996</v>
      </c>
      <c r="E94" s="171">
        <f t="shared" si="34"/>
        <v>4002.37</v>
      </c>
      <c r="F94" s="403" t="s">
        <v>1789</v>
      </c>
    </row>
    <row r="95" spans="1:6" ht="45" customHeight="1" x14ac:dyDescent="0.3">
      <c r="A95" s="402"/>
      <c r="B95" s="195" t="s">
        <v>9</v>
      </c>
      <c r="C95" s="175">
        <f>IF(C94=0,"",+C94/C76)</f>
        <v>0.67179295903677527</v>
      </c>
      <c r="D95" s="175">
        <f t="shared" ref="D95" si="35">IF(D94=0,"",+D94/D76)</f>
        <v>0.5912515883100381</v>
      </c>
      <c r="E95" s="175">
        <f t="shared" ref="E95" si="36">IF(E94=0,"",+E94/E76)</f>
        <v>0.49375400937577102</v>
      </c>
      <c r="F95" s="403"/>
    </row>
    <row r="96" spans="1:6" x14ac:dyDescent="0.3">
      <c r="A96" s="120"/>
      <c r="B96" s="120"/>
      <c r="C96" s="180"/>
      <c r="D96" s="180"/>
      <c r="E96" s="180"/>
      <c r="F96" s="359"/>
    </row>
    <row r="97" spans="1:6" x14ac:dyDescent="0.3">
      <c r="A97" s="120"/>
      <c r="B97" s="120"/>
      <c r="C97" s="180"/>
      <c r="D97" s="180"/>
      <c r="E97" s="180"/>
      <c r="F97" s="359"/>
    </row>
    <row r="98" spans="1:6" s="126" customFormat="1" ht="30" customHeight="1" x14ac:dyDescent="0.8">
      <c r="A98" s="389" t="str">
        <f ca="1">TranslationsTB!$A$7</f>
        <v xml:space="preserve">TB Programmatic Gap Table 4 </v>
      </c>
      <c r="B98" s="390"/>
      <c r="C98" s="390"/>
      <c r="D98" s="390"/>
      <c r="E98" s="390"/>
      <c r="F98" s="391"/>
    </row>
    <row r="99" spans="1:6" ht="45" customHeight="1" x14ac:dyDescent="0.3">
      <c r="A99" s="129" t="str">
        <f ca="1">TranslationsHIV!$A$21</f>
        <v>Priority Module</v>
      </c>
      <c r="B99" s="398" t="s">
        <v>550</v>
      </c>
      <c r="C99" s="398"/>
      <c r="D99" s="398"/>
      <c r="E99" s="398"/>
      <c r="F99" s="398"/>
    </row>
    <row r="100" spans="1:6" ht="45" customHeight="1" x14ac:dyDescent="0.3">
      <c r="A100" s="133" t="str">
        <f ca="1">TranslationsHIV!$A$22</f>
        <v>Selected coverage indicator</v>
      </c>
      <c r="B100" s="423" t="str">
        <f ca="1">VLOOKUP(B99,TBModulesIndicators,2,FALSE)</f>
        <v>Number of people in contact with TB patients who began preventive therapy</v>
      </c>
      <c r="C100" s="423"/>
      <c r="D100" s="423"/>
      <c r="E100" s="423"/>
      <c r="F100" s="423"/>
    </row>
    <row r="101" spans="1:6" ht="17.5" customHeight="1" x14ac:dyDescent="0.3">
      <c r="A101" s="351" t="str">
        <f ca="1">TranslationsHIV!$A$24</f>
        <v>Current national coverage</v>
      </c>
      <c r="B101" s="352"/>
      <c r="C101" s="352"/>
      <c r="D101" s="352"/>
      <c r="E101" s="352"/>
      <c r="F101" s="213"/>
    </row>
    <row r="102" spans="1:6" ht="45" customHeight="1" x14ac:dyDescent="0.3">
      <c r="A102" s="134" t="str">
        <f ca="1">TranslationsHIV!$A$25</f>
        <v>Insert latest results</v>
      </c>
      <c r="B102" s="118" t="s">
        <v>1663</v>
      </c>
      <c r="C102" s="135" t="str">
        <f ca="1">TranslationsHIV!$A$26</f>
        <v>Year</v>
      </c>
      <c r="D102" s="308">
        <v>2021</v>
      </c>
      <c r="E102" s="135" t="str">
        <f ca="1">TranslationsHIV!$A$27</f>
        <v>Data source</v>
      </c>
      <c r="F102" s="307" t="s">
        <v>1662</v>
      </c>
    </row>
    <row r="103" spans="1:6" ht="45" customHeight="1" x14ac:dyDescent="0.3">
      <c r="A103" s="133" t="str">
        <f ca="1">TranslationsHIV!$A$28</f>
        <v>Comments</v>
      </c>
      <c r="B103" s="399" t="s">
        <v>1790</v>
      </c>
      <c r="C103" s="399"/>
      <c r="D103" s="399"/>
      <c r="E103" s="399"/>
      <c r="F103" s="399"/>
    </row>
    <row r="104" spans="1:6" ht="40" customHeight="1" x14ac:dyDescent="0.3">
      <c r="A104" s="193"/>
      <c r="B104" s="218"/>
      <c r="C104" s="191" t="str">
        <f ca="1">TranslationsHIV!$A$29</f>
        <v>Year 1</v>
      </c>
      <c r="D104" s="130" t="str">
        <f ca="1">TranslationsHIV!$A$30</f>
        <v>Year 2</v>
      </c>
      <c r="E104" s="130" t="str">
        <f ca="1">TranslationsHIV!$A$31</f>
        <v>Year 3</v>
      </c>
      <c r="F104" s="401" t="str">
        <f ca="1">TranslationsHIV!$A$34</f>
        <v>Comments / Assumptions</v>
      </c>
    </row>
    <row r="105" spans="1:6" ht="40" customHeight="1" x14ac:dyDescent="0.3">
      <c r="A105" s="194"/>
      <c r="B105" s="219"/>
      <c r="C105" s="238">
        <v>2024</v>
      </c>
      <c r="D105" s="140">
        <v>2025</v>
      </c>
      <c r="E105" s="140">
        <v>2026</v>
      </c>
      <c r="F105" s="401"/>
    </row>
    <row r="106" spans="1:6" ht="17.5" customHeight="1" x14ac:dyDescent="0.3">
      <c r="A106" s="353" t="str">
        <f ca="1">TranslationsHIV!$A$35</f>
        <v>Current estimated country need</v>
      </c>
      <c r="B106" s="354"/>
      <c r="C106" s="354"/>
      <c r="D106" s="354"/>
      <c r="E106" s="354"/>
      <c r="F106" s="360"/>
    </row>
    <row r="107" spans="1:6" ht="45" customHeight="1" x14ac:dyDescent="0.3">
      <c r="A107" s="131" t="str">
        <f ca="1">TranslationsTB!$A$25</f>
        <v>A. Total estimated population in need/at risk</v>
      </c>
      <c r="B107" s="195" t="s">
        <v>8</v>
      </c>
      <c r="C107" s="174">
        <v>994097</v>
      </c>
      <c r="D107" s="174">
        <v>1101384</v>
      </c>
      <c r="E107" s="174">
        <v>1223601</v>
      </c>
      <c r="F107" s="216" t="s">
        <v>1791</v>
      </c>
    </row>
    <row r="108" spans="1:6" ht="45" customHeight="1" x14ac:dyDescent="0.3">
      <c r="A108" s="402" t="str">
        <f ca="1">TranslationsTB!$A$26</f>
        <v>B. Country targets 
(from National Strategic Plan)</v>
      </c>
      <c r="B108" s="195" t="s">
        <v>8</v>
      </c>
      <c r="C108" s="309">
        <v>150527</v>
      </c>
      <c r="D108" s="174">
        <v>255460</v>
      </c>
      <c r="E108" s="174">
        <v>412173</v>
      </c>
      <c r="F108" s="216" t="s">
        <v>1792</v>
      </c>
    </row>
    <row r="109" spans="1:6" ht="45" customHeight="1" x14ac:dyDescent="0.3">
      <c r="A109" s="402"/>
      <c r="B109" s="195" t="s">
        <v>9</v>
      </c>
      <c r="C109" s="175">
        <f>IF(C108=0,"",+C108/C107)</f>
        <v>0.15142083720200342</v>
      </c>
      <c r="D109" s="175">
        <f t="shared" ref="D109:E109" si="37">IF(D108=0,"",+D108/D107)</f>
        <v>0.23194453523929892</v>
      </c>
      <c r="E109" s="175">
        <f t="shared" si="37"/>
        <v>0.33685245435399286</v>
      </c>
      <c r="F109" s="216"/>
    </row>
    <row r="110" spans="1:6" ht="17.5" customHeight="1" x14ac:dyDescent="0.3">
      <c r="A110" s="351" t="str">
        <f ca="1">TranslationsHIV!$A$54</f>
        <v>Country target already covered</v>
      </c>
      <c r="B110" s="352"/>
      <c r="C110" s="352"/>
      <c r="D110" s="352"/>
      <c r="E110" s="352"/>
      <c r="F110" s="213"/>
    </row>
    <row r="111" spans="1:6" ht="45" customHeight="1" x14ac:dyDescent="0.3">
      <c r="A111" s="405" t="str">
        <f ca="1">TranslationsHIV!$A$55</f>
        <v>C1. Country need planned to be covered by domestic resources</v>
      </c>
      <c r="B111" s="195" t="s">
        <v>8</v>
      </c>
      <c r="C111" s="170">
        <v>3010.54</v>
      </c>
      <c r="D111" s="170">
        <v>5109.2</v>
      </c>
      <c r="E111" s="170">
        <v>8243.4600000000009</v>
      </c>
      <c r="F111" s="216" t="s">
        <v>1793</v>
      </c>
    </row>
    <row r="112" spans="1:6" ht="45" customHeight="1" x14ac:dyDescent="0.3">
      <c r="A112" s="405"/>
      <c r="B112" s="195" t="s">
        <v>9</v>
      </c>
      <c r="C112" s="175">
        <f>IF(C111=0,"",(C111/C107))</f>
        <v>3.0284167440400686E-3</v>
      </c>
      <c r="D112" s="175">
        <f t="shared" ref="D112:E112" si="38">IF(D111=0,"",(D111/D107))</f>
        <v>4.6388907047859784E-3</v>
      </c>
      <c r="E112" s="175">
        <f t="shared" si="38"/>
        <v>6.7370490870798574E-3</v>
      </c>
      <c r="F112" s="216"/>
    </row>
    <row r="113" spans="1:6" ht="45" customHeight="1" x14ac:dyDescent="0.3">
      <c r="A113" s="405" t="str">
        <f ca="1">TranslationsHIV!$A$56</f>
        <v>C2. Country need planned to be covered by external resources</v>
      </c>
      <c r="B113" s="195" t="s">
        <v>8</v>
      </c>
      <c r="C113" s="170">
        <v>1505.27</v>
      </c>
      <c r="D113" s="176">
        <v>38319</v>
      </c>
      <c r="E113" s="176">
        <v>61825.95</v>
      </c>
      <c r="F113" s="216" t="s">
        <v>1794</v>
      </c>
    </row>
    <row r="114" spans="1:6" ht="45" customHeight="1" x14ac:dyDescent="0.3">
      <c r="A114" s="405"/>
      <c r="B114" s="195" t="s">
        <v>9</v>
      </c>
      <c r="C114" s="175">
        <f>IF(C113=0,"",+C113/C107)</f>
        <v>1.5142083720200343E-3</v>
      </c>
      <c r="D114" s="175">
        <f t="shared" ref="D114:E114" si="39">IF(D113=0,"",+D113/D107)</f>
        <v>3.4791680285894841E-2</v>
      </c>
      <c r="E114" s="175">
        <f t="shared" si="39"/>
        <v>5.0527868153098926E-2</v>
      </c>
      <c r="F114" s="216"/>
    </row>
    <row r="115" spans="1:6" ht="45" customHeight="1" x14ac:dyDescent="0.3">
      <c r="A115" s="405" t="str">
        <f ca="1">TranslationsHIV!$A$57</f>
        <v>C3. Total country need already covered</v>
      </c>
      <c r="B115" s="195" t="s">
        <v>8</v>
      </c>
      <c r="C115" s="177">
        <f>C111+(C113)</f>
        <v>4515.8099999999995</v>
      </c>
      <c r="D115" s="177">
        <f>D111+(D113)</f>
        <v>43428.2</v>
      </c>
      <c r="E115" s="177">
        <f>E111+(E113)</f>
        <v>70069.41</v>
      </c>
      <c r="F115" s="216"/>
    </row>
    <row r="116" spans="1:6" ht="45" customHeight="1" x14ac:dyDescent="0.3">
      <c r="A116" s="405"/>
      <c r="B116" s="195" t="s">
        <v>9</v>
      </c>
      <c r="C116" s="175">
        <f>IF(C115=0,"",C115/C107)</f>
        <v>4.5426251160601023E-3</v>
      </c>
      <c r="D116" s="175">
        <f t="shared" ref="D116:E116" si="40">IF(D115=0,"",D115/D107)</f>
        <v>3.9430570990680813E-2</v>
      </c>
      <c r="E116" s="175">
        <f t="shared" si="40"/>
        <v>5.7264917240178785E-2</v>
      </c>
      <c r="F116" s="216"/>
    </row>
    <row r="117" spans="1:6" ht="17.5" customHeight="1" x14ac:dyDescent="0.3">
      <c r="A117" s="351" t="str">
        <f ca="1">TranslationsHIV!$A$42</f>
        <v>Programmatic gap</v>
      </c>
      <c r="B117" s="352"/>
      <c r="C117" s="352"/>
      <c r="D117" s="352"/>
      <c r="E117" s="352"/>
      <c r="F117" s="213"/>
    </row>
    <row r="118" spans="1:6" ht="45" customHeight="1" x14ac:dyDescent="0.3">
      <c r="A118" s="404" t="str">
        <f ca="1">TranslationsTB!$A$32</f>
        <v>D. Expected annual gap in meeting the need: A - C3</v>
      </c>
      <c r="B118" s="195" t="s">
        <v>8</v>
      </c>
      <c r="C118" s="178">
        <f>C107-C115</f>
        <v>989581.19</v>
      </c>
      <c r="D118" s="178">
        <f t="shared" ref="D118:E118" si="41">D107-D115</f>
        <v>1057955.8</v>
      </c>
      <c r="E118" s="178">
        <f t="shared" si="41"/>
        <v>1153531.5900000001</v>
      </c>
      <c r="F118" s="403"/>
    </row>
    <row r="119" spans="1:6" ht="45" customHeight="1" x14ac:dyDescent="0.3">
      <c r="A119" s="404"/>
      <c r="B119" s="195" t="s">
        <v>9</v>
      </c>
      <c r="C119" s="175">
        <f>IF(C118=0,"",+C118/C107)</f>
        <v>0.99545737488393982</v>
      </c>
      <c r="D119" s="175">
        <f t="shared" ref="D119:E119" si="42">IF(D118=0,"",+D118/D107)</f>
        <v>0.96056942900931919</v>
      </c>
      <c r="E119" s="175">
        <f t="shared" si="42"/>
        <v>0.94273508275982132</v>
      </c>
      <c r="F119" s="403"/>
    </row>
    <row r="120" spans="1:6" ht="17.5" customHeight="1" x14ac:dyDescent="0.3">
      <c r="A120" s="351" t="str">
        <f ca="1">TranslationsHIV!$A$59</f>
        <v>Country target covered with the allocation amount</v>
      </c>
      <c r="B120" s="352"/>
      <c r="C120" s="352"/>
      <c r="D120" s="352"/>
      <c r="E120" s="352"/>
      <c r="F120" s="213"/>
    </row>
    <row r="121" spans="1:6" ht="45" customHeight="1" x14ac:dyDescent="0.3">
      <c r="A121" s="404" t="str">
        <f ca="1">TranslationsTB!$A$34</f>
        <v>E. Targets to be financed by funding request allocation amount</v>
      </c>
      <c r="B121" s="195" t="s">
        <v>8</v>
      </c>
      <c r="C121" s="170">
        <v>74580.799999999988</v>
      </c>
      <c r="D121" s="170">
        <v>97949.599999999991</v>
      </c>
      <c r="E121" s="170">
        <v>118010.9</v>
      </c>
      <c r="F121" s="403" t="s">
        <v>1795</v>
      </c>
    </row>
    <row r="122" spans="1:6" ht="45" customHeight="1" x14ac:dyDescent="0.3">
      <c r="A122" s="404"/>
      <c r="B122" s="195" t="s">
        <v>9</v>
      </c>
      <c r="C122" s="175">
        <f>IF(C121=0,"",+C121/C107)</f>
        <v>7.5023664692680889E-2</v>
      </c>
      <c r="D122" s="175">
        <f t="shared" ref="D122:E122" si="43">IF(D121=0,"",+D121/D107)</f>
        <v>8.8933196777872203E-2</v>
      </c>
      <c r="E122" s="175">
        <f t="shared" si="43"/>
        <v>9.6445573352751418E-2</v>
      </c>
      <c r="F122" s="403"/>
    </row>
    <row r="123" spans="1:6" ht="45" customHeight="1" x14ac:dyDescent="0.3">
      <c r="A123" s="404" t="str">
        <f ca="1">TranslationsTB!$A$35</f>
        <v>F. Total coverage from allocation amount and other resources: E + C3</v>
      </c>
      <c r="B123" s="195" t="s">
        <v>8</v>
      </c>
      <c r="C123" s="178">
        <f>IF(C121="",C115,C121+C115)</f>
        <v>79096.609999999986</v>
      </c>
      <c r="D123" s="178">
        <f t="shared" ref="D123:E123" si="44">IF(D121="",D115,D121+D115)</f>
        <v>141377.79999999999</v>
      </c>
      <c r="E123" s="178">
        <f t="shared" si="44"/>
        <v>188080.31</v>
      </c>
      <c r="F123" s="403"/>
    </row>
    <row r="124" spans="1:6" ht="45" customHeight="1" x14ac:dyDescent="0.3">
      <c r="A124" s="404"/>
      <c r="B124" s="195" t="s">
        <v>9</v>
      </c>
      <c r="C124" s="175">
        <f>IF(C123=0,"",+C123/C107)</f>
        <v>7.9566289808740989E-2</v>
      </c>
      <c r="D124" s="175">
        <f t="shared" ref="D124" si="45">IF(D123=0,"",+D123/D107)</f>
        <v>0.12836376776855302</v>
      </c>
      <c r="E124" s="175">
        <f t="shared" ref="E124" si="46">IF(E123=0,"",+E123/E107)</f>
        <v>0.15371049059293021</v>
      </c>
      <c r="F124" s="403"/>
    </row>
    <row r="125" spans="1:6" ht="45" customHeight="1" x14ac:dyDescent="0.3">
      <c r="A125" s="402" t="str">
        <f ca="1">TranslationsTB!$A$36</f>
        <v xml:space="preserve">G. Remaining gap: A - F </v>
      </c>
      <c r="B125" s="195" t="s">
        <v>8</v>
      </c>
      <c r="C125" s="171">
        <f>IF(C123="",C107,C107-C123)</f>
        <v>915000.39</v>
      </c>
      <c r="D125" s="171">
        <f t="shared" ref="D125:E125" si="47">IF(D123="",D107,D107-D123)</f>
        <v>960006.2</v>
      </c>
      <c r="E125" s="171">
        <f t="shared" si="47"/>
        <v>1035520.69</v>
      </c>
      <c r="F125" s="403" t="s">
        <v>1796</v>
      </c>
    </row>
    <row r="126" spans="1:6" ht="45" customHeight="1" x14ac:dyDescent="0.3">
      <c r="A126" s="402"/>
      <c r="B126" s="195" t="s">
        <v>9</v>
      </c>
      <c r="C126" s="175">
        <f>IF(C125=0,"",+C125/C107)</f>
        <v>0.92043371019125897</v>
      </c>
      <c r="D126" s="175">
        <f t="shared" ref="D126" si="48">IF(D125=0,"",+D125/D107)</f>
        <v>0.87163623223144693</v>
      </c>
      <c r="E126" s="175">
        <f t="shared" ref="E126" si="49">IF(E125=0,"",+E125/E107)</f>
        <v>0.84628950940706971</v>
      </c>
      <c r="F126" s="403"/>
    </row>
    <row r="127" spans="1:6" x14ac:dyDescent="0.3">
      <c r="A127" s="120"/>
      <c r="B127" s="120"/>
      <c r="C127" s="180"/>
      <c r="D127" s="180"/>
      <c r="E127" s="180"/>
      <c r="F127" s="359"/>
    </row>
    <row r="128" spans="1:6" x14ac:dyDescent="0.3">
      <c r="A128" s="120"/>
      <c r="B128" s="120"/>
      <c r="C128" s="180"/>
      <c r="D128" s="180"/>
      <c r="E128" s="180"/>
      <c r="F128" s="359"/>
    </row>
    <row r="129" spans="1:6" s="126" customFormat="1" ht="30" customHeight="1" x14ac:dyDescent="0.8">
      <c r="A129" s="389" t="str">
        <f ca="1">TranslationsTB!$A$8</f>
        <v xml:space="preserve">TB Programmatic Gap Table 5 </v>
      </c>
      <c r="B129" s="390"/>
      <c r="C129" s="390"/>
      <c r="D129" s="390"/>
      <c r="E129" s="390"/>
      <c r="F129" s="391"/>
    </row>
    <row r="130" spans="1:6" ht="45" customHeight="1" x14ac:dyDescent="0.3">
      <c r="A130" s="129" t="str">
        <f ca="1">TranslationsHIV!$A$21</f>
        <v>Priority Module</v>
      </c>
      <c r="B130" s="398" t="s">
        <v>1664</v>
      </c>
      <c r="C130" s="398"/>
      <c r="D130" s="398"/>
      <c r="E130" s="398"/>
      <c r="F130" s="398"/>
    </row>
    <row r="131" spans="1:6" ht="45" customHeight="1" x14ac:dyDescent="0.3">
      <c r="A131" s="129" t="str">
        <f ca="1">TranslationsHIV!$A$22</f>
        <v>Selected coverage indicator</v>
      </c>
      <c r="B131" s="373" t="e">
        <f ca="1">VLOOKUP(B130,TBModulesIndicators,2,FALSE)</f>
        <v>#N/A</v>
      </c>
      <c r="C131" s="373"/>
      <c r="D131" s="373"/>
      <c r="E131" s="373"/>
      <c r="F131" s="373"/>
    </row>
    <row r="132" spans="1:6" ht="17.5" customHeight="1" x14ac:dyDescent="0.3">
      <c r="A132" s="351" t="str">
        <f ca="1">TranslationsHIV!$A$24</f>
        <v>Current national coverage</v>
      </c>
      <c r="B132" s="352"/>
      <c r="C132" s="352"/>
      <c r="D132" s="352"/>
      <c r="E132" s="352"/>
      <c r="F132" s="213"/>
    </row>
    <row r="133" spans="1:6" ht="45" customHeight="1" x14ac:dyDescent="0.3">
      <c r="A133" s="131" t="str">
        <f ca="1">TranslationsHIV!$A$25</f>
        <v>Insert latest results</v>
      </c>
      <c r="B133" s="24"/>
      <c r="C133" s="155" t="str">
        <f ca="1">TranslationsHIV!$A$26</f>
        <v>Year</v>
      </c>
      <c r="D133" s="215"/>
      <c r="E133" s="155" t="str">
        <f ca="1">TranslationsHIV!$A$27</f>
        <v>Data source</v>
      </c>
      <c r="F133" s="216"/>
    </row>
    <row r="134" spans="1:6" ht="45" customHeight="1" x14ac:dyDescent="0.3">
      <c r="A134" s="133" t="str">
        <f ca="1">TranslationsHIV!$A$28</f>
        <v>Comments</v>
      </c>
      <c r="B134" s="399"/>
      <c r="C134" s="400"/>
      <c r="D134" s="400"/>
      <c r="E134" s="400"/>
      <c r="F134" s="400"/>
    </row>
    <row r="135" spans="1:6" ht="40" customHeight="1" x14ac:dyDescent="0.3">
      <c r="A135" s="193"/>
      <c r="B135" s="218"/>
      <c r="C135" s="191" t="str">
        <f ca="1">TranslationsHIV!$A$29</f>
        <v>Year 1</v>
      </c>
      <c r="D135" s="130" t="str">
        <f ca="1">TranslationsHIV!$A$30</f>
        <v>Year 2</v>
      </c>
      <c r="E135" s="130" t="str">
        <f ca="1">TranslationsHIV!$A$31</f>
        <v>Year 3</v>
      </c>
      <c r="F135" s="401" t="str">
        <f ca="1">TranslationsHIV!$A$34</f>
        <v>Comments / Assumptions</v>
      </c>
    </row>
    <row r="136" spans="1:6" ht="40" customHeight="1" x14ac:dyDescent="0.3">
      <c r="A136" s="194"/>
      <c r="B136" s="219"/>
      <c r="C136" s="192" t="str">
        <f ca="1">TranslationsTB!$A$22</f>
        <v>Insert year</v>
      </c>
      <c r="D136" s="19" t="str">
        <f ca="1">TranslationsTB!$A$22</f>
        <v>Insert year</v>
      </c>
      <c r="E136" s="19" t="str">
        <f ca="1">TranslationsTB!$A$22</f>
        <v>Insert year</v>
      </c>
      <c r="F136" s="401"/>
    </row>
    <row r="137" spans="1:6" ht="17.5" customHeight="1" x14ac:dyDescent="0.3">
      <c r="A137" s="353" t="str">
        <f ca="1">TranslationsHIV!$A$35</f>
        <v>Current estimated country need</v>
      </c>
      <c r="B137" s="354"/>
      <c r="C137" s="352"/>
      <c r="D137" s="352"/>
      <c r="E137" s="352"/>
      <c r="F137" s="213"/>
    </row>
    <row r="138" spans="1:6" ht="45" customHeight="1" x14ac:dyDescent="0.3">
      <c r="A138" s="131" t="str">
        <f ca="1">TranslationsTB!$A$25</f>
        <v>A. Total estimated population in need/at risk</v>
      </c>
      <c r="B138" s="195" t="s">
        <v>8</v>
      </c>
      <c r="C138" s="174"/>
      <c r="D138" s="174"/>
      <c r="E138" s="174"/>
      <c r="F138" s="216"/>
    </row>
    <row r="139" spans="1:6" ht="45" customHeight="1" x14ac:dyDescent="0.3">
      <c r="A139" s="402" t="str">
        <f ca="1">TranslationsTB!$A$26</f>
        <v>B. Country targets 
(from National Strategic Plan)</v>
      </c>
      <c r="B139" s="195" t="s">
        <v>8</v>
      </c>
      <c r="C139" s="309"/>
      <c r="D139" s="174"/>
      <c r="E139" s="174"/>
      <c r="F139" s="216"/>
    </row>
    <row r="140" spans="1:6" ht="45" customHeight="1" x14ac:dyDescent="0.3">
      <c r="A140" s="402"/>
      <c r="B140" s="195" t="s">
        <v>9</v>
      </c>
      <c r="C140" s="175" t="str">
        <f>IF(C139=0,"",+C139/C138)</f>
        <v/>
      </c>
      <c r="D140" s="175" t="str">
        <f t="shared" ref="D140:E140" si="50">IF(D139=0,"",+D139/D138)</f>
        <v/>
      </c>
      <c r="E140" s="175" t="str">
        <f t="shared" si="50"/>
        <v/>
      </c>
      <c r="F140" s="216"/>
    </row>
    <row r="141" spans="1:6" ht="17.5" customHeight="1" x14ac:dyDescent="0.3">
      <c r="A141" s="351" t="str">
        <f ca="1">TranslationsHIV!$A$54</f>
        <v>Country target already covered</v>
      </c>
      <c r="B141" s="352"/>
      <c r="C141" s="352"/>
      <c r="D141" s="352"/>
      <c r="E141" s="352"/>
      <c r="F141" s="213"/>
    </row>
    <row r="142" spans="1:6" ht="45" customHeight="1" x14ac:dyDescent="0.3">
      <c r="A142" s="405" t="str">
        <f ca="1">TranslationsHIV!$A$55</f>
        <v>C1. Country need planned to be covered by domestic resources</v>
      </c>
      <c r="B142" s="195" t="s">
        <v>8</v>
      </c>
      <c r="C142" s="170"/>
      <c r="D142" s="170"/>
      <c r="E142" s="170"/>
      <c r="F142" s="216"/>
    </row>
    <row r="143" spans="1:6" ht="45" customHeight="1" x14ac:dyDescent="0.3">
      <c r="A143" s="405"/>
      <c r="B143" s="195" t="s">
        <v>9</v>
      </c>
      <c r="C143" s="175" t="str">
        <f>IF(C142=0,"",(C142/C138))</f>
        <v/>
      </c>
      <c r="D143" s="175" t="str">
        <f t="shared" ref="D143:E143" si="51">IF(D142=0,"",(D142/D138))</f>
        <v/>
      </c>
      <c r="E143" s="175" t="str">
        <f t="shared" si="51"/>
        <v/>
      </c>
      <c r="F143" s="216"/>
    </row>
    <row r="144" spans="1:6" ht="45" customHeight="1" x14ac:dyDescent="0.3">
      <c r="A144" s="405" t="str">
        <f ca="1">TranslationsHIV!$A$56</f>
        <v>C2. Country need planned to be covered by external resources</v>
      </c>
      <c r="B144" s="195" t="s">
        <v>8</v>
      </c>
      <c r="C144" s="170"/>
      <c r="D144" s="176"/>
      <c r="E144" s="176"/>
      <c r="F144" s="216"/>
    </row>
    <row r="145" spans="1:6" ht="45" customHeight="1" x14ac:dyDescent="0.3">
      <c r="A145" s="405"/>
      <c r="B145" s="195" t="s">
        <v>9</v>
      </c>
      <c r="C145" s="175" t="str">
        <f>IF(C144=0,"",+C144/C138)</f>
        <v/>
      </c>
      <c r="D145" s="175" t="str">
        <f t="shared" ref="D145:E145" si="52">IF(D144=0,"",+D144/D138)</f>
        <v/>
      </c>
      <c r="E145" s="175" t="str">
        <f t="shared" si="52"/>
        <v/>
      </c>
      <c r="F145" s="216"/>
    </row>
    <row r="146" spans="1:6" ht="45" customHeight="1" x14ac:dyDescent="0.3">
      <c r="A146" s="405" t="str">
        <f ca="1">TranslationsHIV!$A$57</f>
        <v>C3. Total country need already covered</v>
      </c>
      <c r="B146" s="195" t="s">
        <v>8</v>
      </c>
      <c r="C146" s="177">
        <f>C142+(C144)</f>
        <v>0</v>
      </c>
      <c r="D146" s="177">
        <f>D142+(D144)</f>
        <v>0</v>
      </c>
      <c r="E146" s="177">
        <f>E142+(E144)</f>
        <v>0</v>
      </c>
      <c r="F146" s="216"/>
    </row>
    <row r="147" spans="1:6" ht="45" customHeight="1" x14ac:dyDescent="0.3">
      <c r="A147" s="405"/>
      <c r="B147" s="195" t="s">
        <v>9</v>
      </c>
      <c r="C147" s="175" t="str">
        <f>IF(C146=0,"",C146/C138)</f>
        <v/>
      </c>
      <c r="D147" s="175" t="str">
        <f t="shared" ref="D147:E147" si="53">IF(D146=0,"",D146/D138)</f>
        <v/>
      </c>
      <c r="E147" s="175" t="str">
        <f t="shared" si="53"/>
        <v/>
      </c>
      <c r="F147" s="216"/>
    </row>
    <row r="148" spans="1:6" ht="17.5" customHeight="1" x14ac:dyDescent="0.3">
      <c r="A148" s="351" t="str">
        <f ca="1">TranslationsHIV!$A$42</f>
        <v>Programmatic gap</v>
      </c>
      <c r="B148" s="352"/>
      <c r="C148" s="352"/>
      <c r="D148" s="352"/>
      <c r="E148" s="352"/>
      <c r="F148" s="213"/>
    </row>
    <row r="149" spans="1:6" ht="45" customHeight="1" x14ac:dyDescent="0.3">
      <c r="A149" s="404" t="str">
        <f ca="1">TranslationsTB!$A$32</f>
        <v>D. Expected annual gap in meeting the need: A - C3</v>
      </c>
      <c r="B149" s="195" t="s">
        <v>8</v>
      </c>
      <c r="C149" s="178">
        <f>C138-C146</f>
        <v>0</v>
      </c>
      <c r="D149" s="178">
        <f t="shared" ref="D149:E149" si="54">D138-D146</f>
        <v>0</v>
      </c>
      <c r="E149" s="178">
        <f t="shared" si="54"/>
        <v>0</v>
      </c>
      <c r="F149" s="403"/>
    </row>
    <row r="150" spans="1:6" ht="45" customHeight="1" x14ac:dyDescent="0.3">
      <c r="A150" s="404"/>
      <c r="B150" s="195" t="s">
        <v>9</v>
      </c>
      <c r="C150" s="175" t="str">
        <f>IF(C149=0,"",+C149/C138)</f>
        <v/>
      </c>
      <c r="D150" s="175" t="str">
        <f t="shared" ref="D150:E150" si="55">IF(D149=0,"",+D149/D138)</f>
        <v/>
      </c>
      <c r="E150" s="175" t="str">
        <f t="shared" si="55"/>
        <v/>
      </c>
      <c r="F150" s="403"/>
    </row>
    <row r="151" spans="1:6" ht="17.5" customHeight="1" x14ac:dyDescent="0.3">
      <c r="A151" s="351" t="str">
        <f ca="1">TranslationsHIV!$A$59</f>
        <v>Country target covered with the allocation amount</v>
      </c>
      <c r="B151" s="352"/>
      <c r="C151" s="352"/>
      <c r="D151" s="352"/>
      <c r="E151" s="352"/>
      <c r="F151" s="213"/>
    </row>
    <row r="152" spans="1:6" ht="45" customHeight="1" x14ac:dyDescent="0.3">
      <c r="A152" s="404" t="str">
        <f ca="1">TranslationsTB!$A$34</f>
        <v>E. Targets to be financed by funding request allocation amount</v>
      </c>
      <c r="B152" s="195" t="s">
        <v>8</v>
      </c>
      <c r="C152" s="170"/>
      <c r="D152" s="170"/>
      <c r="E152" s="170"/>
      <c r="F152" s="403"/>
    </row>
    <row r="153" spans="1:6" ht="45" customHeight="1" x14ac:dyDescent="0.3">
      <c r="A153" s="404"/>
      <c r="B153" s="195" t="s">
        <v>9</v>
      </c>
      <c r="C153" s="175" t="str">
        <f>IF(C152=0,"",+C152/C138)</f>
        <v/>
      </c>
      <c r="D153" s="175" t="str">
        <f t="shared" ref="D153:E153" si="56">IF(D152=0,"",+D152/D138)</f>
        <v/>
      </c>
      <c r="E153" s="175" t="str">
        <f t="shared" si="56"/>
        <v/>
      </c>
      <c r="F153" s="403"/>
    </row>
    <row r="154" spans="1:6" ht="45" customHeight="1" x14ac:dyDescent="0.3">
      <c r="A154" s="404" t="str">
        <f ca="1">TranslationsTB!$A$35</f>
        <v>F. Total coverage from allocation amount and other resources: E + C3</v>
      </c>
      <c r="B154" s="195" t="s">
        <v>8</v>
      </c>
      <c r="C154" s="178">
        <f>IF(C152="",C146,C152+C146)</f>
        <v>0</v>
      </c>
      <c r="D154" s="178">
        <f t="shared" ref="D154:E154" si="57">IF(D152="",D146,D152+D146)</f>
        <v>0</v>
      </c>
      <c r="E154" s="178">
        <f t="shared" si="57"/>
        <v>0</v>
      </c>
      <c r="F154" s="403"/>
    </row>
    <row r="155" spans="1:6" ht="45" customHeight="1" x14ac:dyDescent="0.3">
      <c r="A155" s="404"/>
      <c r="B155" s="195" t="s">
        <v>9</v>
      </c>
      <c r="C155" s="175" t="str">
        <f>IF(C154=0,"",+C154/C138)</f>
        <v/>
      </c>
      <c r="D155" s="175" t="str">
        <f t="shared" ref="D155" si="58">IF(D154=0,"",+D154/D138)</f>
        <v/>
      </c>
      <c r="E155" s="175" t="str">
        <f t="shared" ref="E155" si="59">IF(E154=0,"",+E154/E138)</f>
        <v/>
      </c>
      <c r="F155" s="403"/>
    </row>
    <row r="156" spans="1:6" ht="45" customHeight="1" x14ac:dyDescent="0.3">
      <c r="A156" s="402" t="str">
        <f ca="1">TranslationsTB!$A$36</f>
        <v xml:space="preserve">G. Remaining gap: A - F </v>
      </c>
      <c r="B156" s="195" t="s">
        <v>8</v>
      </c>
      <c r="C156" s="171">
        <f>IF(C154="",C138,C138-C154)</f>
        <v>0</v>
      </c>
      <c r="D156" s="171">
        <f t="shared" ref="D156:E156" si="60">IF(D154="",D138,D138-D154)</f>
        <v>0</v>
      </c>
      <c r="E156" s="171">
        <f t="shared" si="60"/>
        <v>0</v>
      </c>
      <c r="F156" s="403"/>
    </row>
    <row r="157" spans="1:6" ht="45" customHeight="1" x14ac:dyDescent="0.3">
      <c r="A157" s="419"/>
      <c r="B157" s="196" t="s">
        <v>9</v>
      </c>
      <c r="C157" s="175" t="str">
        <f>IF(C156=0,"",+C156/C138)</f>
        <v/>
      </c>
      <c r="D157" s="175" t="str">
        <f t="shared" ref="D157" si="61">IF(D156=0,"",+D156/D138)</f>
        <v/>
      </c>
      <c r="E157" s="175" t="str">
        <f t="shared" ref="E157" si="62">IF(E156=0,"",+E156/E138)</f>
        <v/>
      </c>
      <c r="F157" s="420"/>
    </row>
    <row r="158" spans="1:6" x14ac:dyDescent="0.3">
      <c r="A158" s="121"/>
      <c r="B158" s="121"/>
      <c r="C158" s="182"/>
      <c r="D158" s="182"/>
      <c r="E158" s="182"/>
      <c r="F158" s="361"/>
    </row>
    <row r="159" spans="1:6" x14ac:dyDescent="0.3">
      <c r="A159" s="122"/>
      <c r="B159" s="122"/>
      <c r="C159" s="183"/>
      <c r="D159" s="183"/>
      <c r="E159" s="183"/>
      <c r="F159" s="362"/>
    </row>
    <row r="160" spans="1:6" s="126" customFormat="1" ht="30" customHeight="1" x14ac:dyDescent="0.8">
      <c r="A160" s="389" t="str">
        <f ca="1">TranslationsTB!$A$9</f>
        <v xml:space="preserve">TB Programmatic Gap Table 6 </v>
      </c>
      <c r="B160" s="390"/>
      <c r="C160" s="390"/>
      <c r="D160" s="390"/>
      <c r="E160" s="390"/>
      <c r="F160" s="391"/>
    </row>
    <row r="161" spans="1:6" ht="45" customHeight="1" x14ac:dyDescent="0.3">
      <c r="A161" s="129" t="str">
        <f ca="1">TranslationsHIV!$A$21</f>
        <v>Priority Module</v>
      </c>
      <c r="B161" s="398" t="s">
        <v>2</v>
      </c>
      <c r="C161" s="398"/>
      <c r="D161" s="398"/>
      <c r="E161" s="398"/>
      <c r="F161" s="398"/>
    </row>
    <row r="162" spans="1:6" ht="45" customHeight="1" x14ac:dyDescent="0.3">
      <c r="A162" s="129" t="str">
        <f ca="1">TranslationsHIV!$A$22</f>
        <v>Selected coverage indicator</v>
      </c>
      <c r="B162" s="373" t="str">
        <f ca="1">VLOOKUP(B161,TBModulesIndicators,2,FALSE)</f>
        <v>Please select…</v>
      </c>
      <c r="C162" s="373"/>
      <c r="D162" s="373"/>
      <c r="E162" s="373"/>
      <c r="F162" s="373"/>
    </row>
    <row r="163" spans="1:6" ht="17.5" customHeight="1" x14ac:dyDescent="0.3">
      <c r="A163" s="351" t="str">
        <f ca="1">TranslationsHIV!$A$24</f>
        <v>Current national coverage</v>
      </c>
      <c r="B163" s="352"/>
      <c r="C163" s="352"/>
      <c r="D163" s="352"/>
      <c r="E163" s="352"/>
      <c r="F163" s="213"/>
    </row>
    <row r="164" spans="1:6" ht="45" customHeight="1" x14ac:dyDescent="0.3">
      <c r="A164" s="131" t="str">
        <f ca="1">TranslationsHIV!$A$25</f>
        <v>Insert latest results</v>
      </c>
      <c r="B164" s="24"/>
      <c r="C164" s="155" t="str">
        <f ca="1">TranslationsHIV!$A$26</f>
        <v>Year</v>
      </c>
      <c r="D164" s="215"/>
      <c r="E164" s="155" t="str">
        <f ca="1">TranslationsHIV!$A$27</f>
        <v>Data source</v>
      </c>
      <c r="F164" s="216"/>
    </row>
    <row r="165" spans="1:6" ht="45" customHeight="1" x14ac:dyDescent="0.3">
      <c r="A165" s="133" t="str">
        <f ca="1">TranslationsHIV!$A$28</f>
        <v>Comments</v>
      </c>
      <c r="B165" s="399"/>
      <c r="C165" s="400"/>
      <c r="D165" s="400"/>
      <c r="E165" s="400"/>
      <c r="F165" s="400"/>
    </row>
    <row r="166" spans="1:6" ht="40" customHeight="1" x14ac:dyDescent="0.3">
      <c r="A166" s="193"/>
      <c r="B166" s="218"/>
      <c r="C166" s="191" t="str">
        <f ca="1">TranslationsHIV!$A$29</f>
        <v>Year 1</v>
      </c>
      <c r="D166" s="130" t="str">
        <f ca="1">TranslationsHIV!$A$30</f>
        <v>Year 2</v>
      </c>
      <c r="E166" s="130" t="str">
        <f ca="1">TranslationsHIV!$A$31</f>
        <v>Year 3</v>
      </c>
      <c r="F166" s="401" t="str">
        <f ca="1">TranslationsHIV!$A$34</f>
        <v>Comments / Assumptions</v>
      </c>
    </row>
    <row r="167" spans="1:6" ht="40" customHeight="1" x14ac:dyDescent="0.3">
      <c r="A167" s="194"/>
      <c r="B167" s="219"/>
      <c r="C167" s="192" t="str">
        <f ca="1">TranslationsTB!$A$22</f>
        <v>Insert year</v>
      </c>
      <c r="D167" s="19" t="str">
        <f ca="1">TranslationsTB!$A$22</f>
        <v>Insert year</v>
      </c>
      <c r="E167" s="19" t="str">
        <f ca="1">TranslationsTB!$A$22</f>
        <v>Insert year</v>
      </c>
      <c r="F167" s="401"/>
    </row>
    <row r="168" spans="1:6" ht="17.5" customHeight="1" x14ac:dyDescent="0.3">
      <c r="A168" s="353" t="str">
        <f ca="1">TranslationsHIV!$A$35</f>
        <v>Current estimated country need</v>
      </c>
      <c r="B168" s="354"/>
      <c r="C168" s="352"/>
      <c r="D168" s="352"/>
      <c r="E168" s="352"/>
      <c r="F168" s="213"/>
    </row>
    <row r="169" spans="1:6" ht="45" customHeight="1" x14ac:dyDescent="0.3">
      <c r="A169" s="131" t="str">
        <f ca="1">TranslationsTB!$A$25</f>
        <v>A. Total estimated population in need/at risk</v>
      </c>
      <c r="B169" s="195" t="s">
        <v>8</v>
      </c>
      <c r="C169" s="174"/>
      <c r="D169" s="174"/>
      <c r="E169" s="174"/>
      <c r="F169" s="216"/>
    </row>
    <row r="170" spans="1:6" ht="45" customHeight="1" x14ac:dyDescent="0.3">
      <c r="A170" s="402" t="str">
        <f ca="1">TranslationsTB!$A$26</f>
        <v>B. Country targets 
(from National Strategic Plan)</v>
      </c>
      <c r="B170" s="195" t="s">
        <v>8</v>
      </c>
      <c r="C170" s="309"/>
      <c r="D170" s="174"/>
      <c r="E170" s="174"/>
      <c r="F170" s="216"/>
    </row>
    <row r="171" spans="1:6" ht="45" customHeight="1" x14ac:dyDescent="0.3">
      <c r="A171" s="402"/>
      <c r="B171" s="195" t="s">
        <v>9</v>
      </c>
      <c r="C171" s="175" t="str">
        <f>IF(C170=0,"",+C170/C169)</f>
        <v/>
      </c>
      <c r="D171" s="175" t="str">
        <f t="shared" ref="D171:E171" si="63">IF(D170=0,"",+D170/D169)</f>
        <v/>
      </c>
      <c r="E171" s="175" t="str">
        <f t="shared" si="63"/>
        <v/>
      </c>
      <c r="F171" s="216"/>
    </row>
    <row r="172" spans="1:6" ht="17.5" customHeight="1" x14ac:dyDescent="0.3">
      <c r="A172" s="351" t="str">
        <f ca="1">TranslationsHIV!$A$54</f>
        <v>Country target already covered</v>
      </c>
      <c r="B172" s="352"/>
      <c r="C172" s="352"/>
      <c r="D172" s="352"/>
      <c r="E172" s="352"/>
      <c r="F172" s="213"/>
    </row>
    <row r="173" spans="1:6" ht="45" customHeight="1" x14ac:dyDescent="0.3">
      <c r="A173" s="405" t="str">
        <f ca="1">TranslationsHIV!$A$55</f>
        <v>C1. Country need planned to be covered by domestic resources</v>
      </c>
      <c r="B173" s="195" t="s">
        <v>8</v>
      </c>
      <c r="C173" s="170"/>
      <c r="D173" s="170"/>
      <c r="E173" s="170"/>
      <c r="F173" s="216"/>
    </row>
    <row r="174" spans="1:6" ht="45" customHeight="1" x14ac:dyDescent="0.3">
      <c r="A174" s="405"/>
      <c r="B174" s="195" t="s">
        <v>9</v>
      </c>
      <c r="C174" s="175" t="str">
        <f>IF(C173=0,"",(C173/C169))</f>
        <v/>
      </c>
      <c r="D174" s="175" t="str">
        <f t="shared" ref="D174:E174" si="64">IF(D173=0,"",(D173/D169))</f>
        <v/>
      </c>
      <c r="E174" s="175" t="str">
        <f t="shared" si="64"/>
        <v/>
      </c>
      <c r="F174" s="216"/>
    </row>
    <row r="175" spans="1:6" ht="45" customHeight="1" x14ac:dyDescent="0.3">
      <c r="A175" s="405" t="str">
        <f ca="1">TranslationsHIV!$A$56</f>
        <v>C2. Country need planned to be covered by external resources</v>
      </c>
      <c r="B175" s="195" t="s">
        <v>8</v>
      </c>
      <c r="C175" s="170"/>
      <c r="D175" s="176"/>
      <c r="E175" s="176"/>
      <c r="F175" s="216"/>
    </row>
    <row r="176" spans="1:6" ht="45" customHeight="1" x14ac:dyDescent="0.3">
      <c r="A176" s="405"/>
      <c r="B176" s="195" t="s">
        <v>9</v>
      </c>
      <c r="C176" s="175" t="str">
        <f>IF(C175=0,"",+C175/C169)</f>
        <v/>
      </c>
      <c r="D176" s="175" t="str">
        <f t="shared" ref="D176:E176" si="65">IF(D175=0,"",+D175/D169)</f>
        <v/>
      </c>
      <c r="E176" s="175" t="str">
        <f t="shared" si="65"/>
        <v/>
      </c>
      <c r="F176" s="216"/>
    </row>
    <row r="177" spans="1:6" ht="45" customHeight="1" x14ac:dyDescent="0.3">
      <c r="A177" s="405" t="str">
        <f ca="1">TranslationsHIV!$A$57</f>
        <v>C3. Total country need already covered</v>
      </c>
      <c r="B177" s="195" t="s">
        <v>8</v>
      </c>
      <c r="C177" s="177">
        <f>C173+(C175)</f>
        <v>0</v>
      </c>
      <c r="D177" s="177">
        <f>D173+(D175)</f>
        <v>0</v>
      </c>
      <c r="E177" s="177">
        <f>E173+(E175)</f>
        <v>0</v>
      </c>
      <c r="F177" s="216"/>
    </row>
    <row r="178" spans="1:6" ht="45" customHeight="1" x14ac:dyDescent="0.3">
      <c r="A178" s="405"/>
      <c r="B178" s="195" t="s">
        <v>9</v>
      </c>
      <c r="C178" s="175" t="str">
        <f>IF(C177=0,"",C177/C169)</f>
        <v/>
      </c>
      <c r="D178" s="175" t="str">
        <f t="shared" ref="D178:E178" si="66">IF(D177=0,"",D177/D169)</f>
        <v/>
      </c>
      <c r="E178" s="175" t="str">
        <f t="shared" si="66"/>
        <v/>
      </c>
      <c r="F178" s="216"/>
    </row>
    <row r="179" spans="1:6" ht="17.5" customHeight="1" x14ac:dyDescent="0.3">
      <c r="A179" s="351" t="str">
        <f ca="1">TranslationsHIV!$A$42</f>
        <v>Programmatic gap</v>
      </c>
      <c r="B179" s="352"/>
      <c r="C179" s="352"/>
      <c r="D179" s="352"/>
      <c r="E179" s="352"/>
      <c r="F179" s="213"/>
    </row>
    <row r="180" spans="1:6" ht="45" customHeight="1" x14ac:dyDescent="0.3">
      <c r="A180" s="404" t="str">
        <f ca="1">TranslationsTB!$A$32</f>
        <v>D. Expected annual gap in meeting the need: A - C3</v>
      </c>
      <c r="B180" s="195" t="s">
        <v>8</v>
      </c>
      <c r="C180" s="178">
        <f>C169-C177</f>
        <v>0</v>
      </c>
      <c r="D180" s="178">
        <f t="shared" ref="D180:E180" si="67">D169-D177</f>
        <v>0</v>
      </c>
      <c r="E180" s="178">
        <f t="shared" si="67"/>
        <v>0</v>
      </c>
      <c r="F180" s="403"/>
    </row>
    <row r="181" spans="1:6" ht="45" customHeight="1" x14ac:dyDescent="0.3">
      <c r="A181" s="404"/>
      <c r="B181" s="195" t="s">
        <v>9</v>
      </c>
      <c r="C181" s="175" t="str">
        <f>IF(C180=0,"",+C180/C169)</f>
        <v/>
      </c>
      <c r="D181" s="175" t="str">
        <f t="shared" ref="D181:E181" si="68">IF(D180=0,"",+D180/D169)</f>
        <v/>
      </c>
      <c r="E181" s="175" t="str">
        <f t="shared" si="68"/>
        <v/>
      </c>
      <c r="F181" s="403"/>
    </row>
    <row r="182" spans="1:6" ht="17.5" customHeight="1" x14ac:dyDescent="0.3">
      <c r="A182" s="351" t="str">
        <f ca="1">TranslationsHIV!$A$59</f>
        <v>Country target covered with the allocation amount</v>
      </c>
      <c r="B182" s="352"/>
      <c r="C182" s="352"/>
      <c r="D182" s="352"/>
      <c r="E182" s="352"/>
      <c r="F182" s="213"/>
    </row>
    <row r="183" spans="1:6" ht="45" customHeight="1" x14ac:dyDescent="0.3">
      <c r="A183" s="404" t="str">
        <f ca="1">TranslationsTB!$A$34</f>
        <v>E. Targets to be financed by funding request allocation amount</v>
      </c>
      <c r="B183" s="195" t="s">
        <v>8</v>
      </c>
      <c r="C183" s="170"/>
      <c r="D183" s="170"/>
      <c r="E183" s="170"/>
      <c r="F183" s="403"/>
    </row>
    <row r="184" spans="1:6" ht="45" customHeight="1" x14ac:dyDescent="0.3">
      <c r="A184" s="404"/>
      <c r="B184" s="195" t="s">
        <v>9</v>
      </c>
      <c r="C184" s="175" t="str">
        <f>IF(C183=0,"",+C183/C169)</f>
        <v/>
      </c>
      <c r="D184" s="175" t="str">
        <f t="shared" ref="D184:E184" si="69">IF(D183=0,"",+D183/D169)</f>
        <v/>
      </c>
      <c r="E184" s="175" t="str">
        <f t="shared" si="69"/>
        <v/>
      </c>
      <c r="F184" s="403"/>
    </row>
    <row r="185" spans="1:6" ht="45" customHeight="1" x14ac:dyDescent="0.3">
      <c r="A185" s="404" t="str">
        <f ca="1">TranslationsTB!$A$35</f>
        <v>F. Total coverage from allocation amount and other resources: E + C3</v>
      </c>
      <c r="B185" s="195" t="s">
        <v>8</v>
      </c>
      <c r="C185" s="178">
        <f>IF(C183="",C177,C183+C177)</f>
        <v>0</v>
      </c>
      <c r="D185" s="178">
        <f t="shared" ref="D185:E185" si="70">IF(D183="",D177,D183+D177)</f>
        <v>0</v>
      </c>
      <c r="E185" s="178">
        <f t="shared" si="70"/>
        <v>0</v>
      </c>
      <c r="F185" s="403"/>
    </row>
    <row r="186" spans="1:6" ht="45" customHeight="1" x14ac:dyDescent="0.3">
      <c r="A186" s="404"/>
      <c r="B186" s="195" t="s">
        <v>9</v>
      </c>
      <c r="C186" s="175" t="str">
        <f>IF(C185=0,"",+C185/C169)</f>
        <v/>
      </c>
      <c r="D186" s="175" t="str">
        <f t="shared" ref="D186" si="71">IF(D185=0,"",+D185/D169)</f>
        <v/>
      </c>
      <c r="E186" s="175" t="str">
        <f t="shared" ref="E186" si="72">IF(E185=0,"",+E185/E169)</f>
        <v/>
      </c>
      <c r="F186" s="403"/>
    </row>
    <row r="187" spans="1:6" ht="45" customHeight="1" x14ac:dyDescent="0.3">
      <c r="A187" s="402" t="str">
        <f ca="1">TranslationsTB!$A$36</f>
        <v xml:space="preserve">G. Remaining gap: A - F </v>
      </c>
      <c r="B187" s="195" t="s">
        <v>8</v>
      </c>
      <c r="C187" s="171">
        <f>IF(C185="",C169,C169-C185)</f>
        <v>0</v>
      </c>
      <c r="D187" s="171">
        <f t="shared" ref="D187:E187" si="73">IF(D185="",D169,D169-D185)</f>
        <v>0</v>
      </c>
      <c r="E187" s="171">
        <f t="shared" si="73"/>
        <v>0</v>
      </c>
      <c r="F187" s="403"/>
    </row>
    <row r="188" spans="1:6" ht="45" customHeight="1" x14ac:dyDescent="0.3">
      <c r="A188" s="419"/>
      <c r="B188" s="196" t="s">
        <v>9</v>
      </c>
      <c r="C188" s="175" t="str">
        <f>IF(C187=0,"",+C187/C169)</f>
        <v/>
      </c>
      <c r="D188" s="175" t="str">
        <f t="shared" ref="D188" si="74">IF(D187=0,"",+D187/D169)</f>
        <v/>
      </c>
      <c r="E188" s="175" t="str">
        <f t="shared" ref="E188" si="75">IF(E187=0,"",+E187/E169)</f>
        <v/>
      </c>
      <c r="F188" s="420"/>
    </row>
    <row r="189" spans="1:6" x14ac:dyDescent="0.3">
      <c r="A189" s="121"/>
      <c r="B189" s="121"/>
      <c r="C189" s="182"/>
      <c r="D189" s="182"/>
      <c r="E189" s="182"/>
      <c r="F189" s="361"/>
    </row>
    <row r="190" spans="1:6" x14ac:dyDescent="0.3">
      <c r="A190" s="122"/>
      <c r="B190" s="122"/>
      <c r="C190" s="183"/>
      <c r="D190" s="183"/>
      <c r="E190" s="183"/>
      <c r="F190" s="362"/>
    </row>
    <row r="191" spans="1:6" s="126" customFormat="1" ht="30" customHeight="1" x14ac:dyDescent="0.8">
      <c r="A191" s="408" t="str">
        <f ca="1">TranslationsTB!$A$10</f>
        <v xml:space="preserve">TB Programmatic Gap Table 7 </v>
      </c>
      <c r="B191" s="409"/>
      <c r="C191" s="409"/>
      <c r="D191" s="409"/>
      <c r="E191" s="409"/>
      <c r="F191" s="410"/>
    </row>
    <row r="192" spans="1:6" ht="45" customHeight="1" x14ac:dyDescent="0.3">
      <c r="A192" s="129" t="str">
        <f ca="1">TranslationsHIV!$A$21</f>
        <v>Priority Module</v>
      </c>
      <c r="B192" s="398" t="s">
        <v>2</v>
      </c>
      <c r="C192" s="398"/>
      <c r="D192" s="398"/>
      <c r="E192" s="398"/>
      <c r="F192" s="398"/>
    </row>
    <row r="193" spans="1:6" ht="45" customHeight="1" x14ac:dyDescent="0.3">
      <c r="A193" s="129" t="str">
        <f ca="1">TranslationsHIV!$A$22</f>
        <v>Selected coverage indicator</v>
      </c>
      <c r="B193" s="373" t="str">
        <f ca="1">VLOOKUP(B192,TBModulesIndicators,2,FALSE)</f>
        <v>Please select…</v>
      </c>
      <c r="C193" s="373"/>
      <c r="D193" s="373"/>
      <c r="E193" s="373"/>
      <c r="F193" s="373"/>
    </row>
    <row r="194" spans="1:6" ht="17.5" customHeight="1" x14ac:dyDescent="0.3">
      <c r="A194" s="351" t="str">
        <f ca="1">TranslationsHIV!$A$24</f>
        <v>Current national coverage</v>
      </c>
      <c r="B194" s="352"/>
      <c r="C194" s="352"/>
      <c r="D194" s="352"/>
      <c r="E194" s="352"/>
      <c r="F194" s="213"/>
    </row>
    <row r="195" spans="1:6" ht="45" customHeight="1" x14ac:dyDescent="0.3">
      <c r="A195" s="138" t="str">
        <f ca="1">TranslationsHIV!$A$25</f>
        <v>Insert latest results</v>
      </c>
      <c r="B195" s="24"/>
      <c r="C195" s="155" t="str">
        <f ca="1">TranslationsHIV!$A$26</f>
        <v>Year</v>
      </c>
      <c r="D195" s="215"/>
      <c r="E195" s="155" t="str">
        <f ca="1">TranslationsHIV!$A$27</f>
        <v>Data source</v>
      </c>
      <c r="F195" s="216"/>
    </row>
    <row r="196" spans="1:6" ht="45" customHeight="1" x14ac:dyDescent="0.3">
      <c r="A196" s="133" t="str">
        <f ca="1">TranslationsHIV!$A$28</f>
        <v>Comments</v>
      </c>
      <c r="B196" s="399"/>
      <c r="C196" s="400"/>
      <c r="D196" s="400"/>
      <c r="E196" s="400"/>
      <c r="F196" s="400"/>
    </row>
    <row r="197" spans="1:6" ht="40" customHeight="1" x14ac:dyDescent="0.3">
      <c r="A197" s="193"/>
      <c r="B197" s="218"/>
      <c r="C197" s="191" t="str">
        <f ca="1">TranslationsHIV!$A$29</f>
        <v>Year 1</v>
      </c>
      <c r="D197" s="130" t="str">
        <f ca="1">TranslationsHIV!$A$30</f>
        <v>Year 2</v>
      </c>
      <c r="E197" s="130" t="str">
        <f ca="1">TranslationsHIV!$A$31</f>
        <v>Year 3</v>
      </c>
      <c r="F197" s="401" t="str">
        <f ca="1">TranslationsHIV!$A$34</f>
        <v>Comments / Assumptions</v>
      </c>
    </row>
    <row r="198" spans="1:6" ht="40" customHeight="1" x14ac:dyDescent="0.3">
      <c r="A198" s="194"/>
      <c r="B198" s="219"/>
      <c r="C198" s="192" t="str">
        <f ca="1">TranslationsTB!$A$22</f>
        <v>Insert year</v>
      </c>
      <c r="D198" s="19" t="str">
        <f ca="1">TranslationsTB!$A$22</f>
        <v>Insert year</v>
      </c>
      <c r="E198" s="19" t="str">
        <f ca="1">TranslationsTB!$A$22</f>
        <v>Insert year</v>
      </c>
      <c r="F198" s="401"/>
    </row>
    <row r="199" spans="1:6" ht="17.5" customHeight="1" x14ac:dyDescent="0.3">
      <c r="A199" s="353" t="str">
        <f ca="1">TranslationsHIV!$A$35</f>
        <v>Current estimated country need</v>
      </c>
      <c r="B199" s="354"/>
      <c r="C199" s="352"/>
      <c r="D199" s="352"/>
      <c r="E199" s="352"/>
      <c r="F199" s="213"/>
    </row>
    <row r="200" spans="1:6" ht="45" customHeight="1" x14ac:dyDescent="0.3">
      <c r="A200" s="131" t="str">
        <f ca="1">TranslationsTB!$A$25</f>
        <v>A. Total estimated population in need/at risk</v>
      </c>
      <c r="B200" s="195" t="s">
        <v>8</v>
      </c>
      <c r="C200" s="174"/>
      <c r="D200" s="174"/>
      <c r="E200" s="174"/>
      <c r="F200" s="216"/>
    </row>
    <row r="201" spans="1:6" ht="45" customHeight="1" x14ac:dyDescent="0.3">
      <c r="A201" s="402" t="str">
        <f ca="1">TranslationsTB!$A$26</f>
        <v>B. Country targets 
(from National Strategic Plan)</v>
      </c>
      <c r="B201" s="195" t="s">
        <v>8</v>
      </c>
      <c r="C201" s="309"/>
      <c r="D201" s="174"/>
      <c r="E201" s="174"/>
      <c r="F201" s="216"/>
    </row>
    <row r="202" spans="1:6" ht="45" customHeight="1" x14ac:dyDescent="0.3">
      <c r="A202" s="402"/>
      <c r="B202" s="195" t="s">
        <v>9</v>
      </c>
      <c r="C202" s="175" t="str">
        <f>IF(C201=0,"",+C201/C200)</f>
        <v/>
      </c>
      <c r="D202" s="175" t="str">
        <f t="shared" ref="D202:E202" si="76">IF(D201=0,"",+D201/D200)</f>
        <v/>
      </c>
      <c r="E202" s="175" t="str">
        <f t="shared" si="76"/>
        <v/>
      </c>
      <c r="F202" s="216"/>
    </row>
    <row r="203" spans="1:6" ht="17.5" customHeight="1" x14ac:dyDescent="0.3">
      <c r="A203" s="351" t="str">
        <f ca="1">TranslationsHIV!$A$54</f>
        <v>Country target already covered</v>
      </c>
      <c r="B203" s="352"/>
      <c r="C203" s="352"/>
      <c r="D203" s="352"/>
      <c r="E203" s="352"/>
      <c r="F203" s="213"/>
    </row>
    <row r="204" spans="1:6" ht="45" customHeight="1" x14ac:dyDescent="0.3">
      <c r="A204" s="405" t="str">
        <f ca="1">TranslationsHIV!$A$55</f>
        <v>C1. Country need planned to be covered by domestic resources</v>
      </c>
      <c r="B204" s="195" t="s">
        <v>8</v>
      </c>
      <c r="C204" s="170"/>
      <c r="D204" s="170"/>
      <c r="E204" s="170"/>
      <c r="F204" s="216"/>
    </row>
    <row r="205" spans="1:6" ht="45" customHeight="1" x14ac:dyDescent="0.3">
      <c r="A205" s="405"/>
      <c r="B205" s="195" t="s">
        <v>9</v>
      </c>
      <c r="C205" s="175" t="str">
        <f>IF(C204=0,"",(C204/C200))</f>
        <v/>
      </c>
      <c r="D205" s="175" t="str">
        <f t="shared" ref="D205:E205" si="77">IF(D204=0,"",(D204/D200))</f>
        <v/>
      </c>
      <c r="E205" s="175" t="str">
        <f t="shared" si="77"/>
        <v/>
      </c>
      <c r="F205" s="216"/>
    </row>
    <row r="206" spans="1:6" ht="45" customHeight="1" x14ac:dyDescent="0.3">
      <c r="A206" s="405" t="str">
        <f ca="1">TranslationsHIV!$A$56</f>
        <v>C2. Country need planned to be covered by external resources</v>
      </c>
      <c r="B206" s="195" t="s">
        <v>8</v>
      </c>
      <c r="C206" s="170"/>
      <c r="D206" s="176"/>
      <c r="E206" s="176"/>
      <c r="F206" s="216"/>
    </row>
    <row r="207" spans="1:6" ht="45" customHeight="1" x14ac:dyDescent="0.3">
      <c r="A207" s="405"/>
      <c r="B207" s="195" t="s">
        <v>9</v>
      </c>
      <c r="C207" s="175" t="str">
        <f>IF(C206=0,"",+C206/C200)</f>
        <v/>
      </c>
      <c r="D207" s="175" t="str">
        <f t="shared" ref="D207:E207" si="78">IF(D206=0,"",+D206/D200)</f>
        <v/>
      </c>
      <c r="E207" s="175" t="str">
        <f t="shared" si="78"/>
        <v/>
      </c>
      <c r="F207" s="216"/>
    </row>
    <row r="208" spans="1:6" ht="45" customHeight="1" x14ac:dyDescent="0.3">
      <c r="A208" s="405" t="str">
        <f ca="1">TranslationsHIV!$A$57</f>
        <v>C3. Total country need already covered</v>
      </c>
      <c r="B208" s="195" t="s">
        <v>8</v>
      </c>
      <c r="C208" s="177">
        <f>C204+(C206)</f>
        <v>0</v>
      </c>
      <c r="D208" s="177">
        <f>D204+(D206)</f>
        <v>0</v>
      </c>
      <c r="E208" s="177">
        <f>E204+(E206)</f>
        <v>0</v>
      </c>
      <c r="F208" s="216"/>
    </row>
    <row r="209" spans="1:6" ht="45" customHeight="1" x14ac:dyDescent="0.3">
      <c r="A209" s="405"/>
      <c r="B209" s="195" t="s">
        <v>9</v>
      </c>
      <c r="C209" s="175" t="str">
        <f>IF(C208=0,"",C208/C200)</f>
        <v/>
      </c>
      <c r="D209" s="175" t="str">
        <f t="shared" ref="D209:E209" si="79">IF(D208=0,"",D208/D200)</f>
        <v/>
      </c>
      <c r="E209" s="175" t="str">
        <f t="shared" si="79"/>
        <v/>
      </c>
      <c r="F209" s="216"/>
    </row>
    <row r="210" spans="1:6" ht="17.5" customHeight="1" x14ac:dyDescent="0.3">
      <c r="A210" s="351" t="str">
        <f ca="1">TranslationsHIV!$A$42</f>
        <v>Programmatic gap</v>
      </c>
      <c r="B210" s="352"/>
      <c r="C210" s="352"/>
      <c r="D210" s="352"/>
      <c r="E210" s="352"/>
      <c r="F210" s="213"/>
    </row>
    <row r="211" spans="1:6" ht="45" customHeight="1" x14ac:dyDescent="0.3">
      <c r="A211" s="404" t="str">
        <f ca="1">TranslationsTB!$A$32</f>
        <v>D. Expected annual gap in meeting the need: A - C3</v>
      </c>
      <c r="B211" s="195" t="s">
        <v>8</v>
      </c>
      <c r="C211" s="178">
        <f>C200-C208</f>
        <v>0</v>
      </c>
      <c r="D211" s="178">
        <f t="shared" ref="D211:E211" si="80">D200-D208</f>
        <v>0</v>
      </c>
      <c r="E211" s="178">
        <f t="shared" si="80"/>
        <v>0</v>
      </c>
      <c r="F211" s="403"/>
    </row>
    <row r="212" spans="1:6" ht="45" customHeight="1" x14ac:dyDescent="0.3">
      <c r="A212" s="404"/>
      <c r="B212" s="195" t="s">
        <v>9</v>
      </c>
      <c r="C212" s="175" t="str">
        <f>IF(C211=0,"",+C211/C200)</f>
        <v/>
      </c>
      <c r="D212" s="175" t="str">
        <f t="shared" ref="D212:E212" si="81">IF(D211=0,"",+D211/D200)</f>
        <v/>
      </c>
      <c r="E212" s="175" t="str">
        <f t="shared" si="81"/>
        <v/>
      </c>
      <c r="F212" s="403"/>
    </row>
    <row r="213" spans="1:6" ht="17.5" customHeight="1" x14ac:dyDescent="0.3">
      <c r="A213" s="351" t="str">
        <f ca="1">TranslationsHIV!$A$59</f>
        <v>Country target covered with the allocation amount</v>
      </c>
      <c r="B213" s="352"/>
      <c r="C213" s="352"/>
      <c r="D213" s="352"/>
      <c r="E213" s="352"/>
      <c r="F213" s="213"/>
    </row>
    <row r="214" spans="1:6" ht="45" customHeight="1" x14ac:dyDescent="0.3">
      <c r="A214" s="404" t="str">
        <f ca="1">TranslationsTB!$A$34</f>
        <v>E. Targets to be financed by funding request allocation amount</v>
      </c>
      <c r="B214" s="195" t="s">
        <v>8</v>
      </c>
      <c r="C214" s="170"/>
      <c r="D214" s="170"/>
      <c r="E214" s="170"/>
      <c r="F214" s="403"/>
    </row>
    <row r="215" spans="1:6" ht="45" customHeight="1" x14ac:dyDescent="0.3">
      <c r="A215" s="404"/>
      <c r="B215" s="195" t="s">
        <v>9</v>
      </c>
      <c r="C215" s="175" t="str">
        <f>IF(C214=0,"",+C214/C200)</f>
        <v/>
      </c>
      <c r="D215" s="175" t="str">
        <f t="shared" ref="D215:E215" si="82">IF(D214=0,"",+D214/D200)</f>
        <v/>
      </c>
      <c r="E215" s="175" t="str">
        <f t="shared" si="82"/>
        <v/>
      </c>
      <c r="F215" s="403"/>
    </row>
    <row r="216" spans="1:6" ht="45" customHeight="1" x14ac:dyDescent="0.3">
      <c r="A216" s="404" t="str">
        <f ca="1">TranslationsTB!$A$35</f>
        <v>F. Total coverage from allocation amount and other resources: E + C3</v>
      </c>
      <c r="B216" s="195" t="s">
        <v>8</v>
      </c>
      <c r="C216" s="178">
        <f>IF(C214="",C208,C214+C208)</f>
        <v>0</v>
      </c>
      <c r="D216" s="178">
        <f t="shared" ref="D216:E216" si="83">IF(D214="",D208,D214+D208)</f>
        <v>0</v>
      </c>
      <c r="E216" s="178">
        <f t="shared" si="83"/>
        <v>0</v>
      </c>
      <c r="F216" s="403"/>
    </row>
    <row r="217" spans="1:6" ht="45" customHeight="1" x14ac:dyDescent="0.3">
      <c r="A217" s="404"/>
      <c r="B217" s="195" t="s">
        <v>9</v>
      </c>
      <c r="C217" s="175" t="str">
        <f>IF(C216=0,"",+C216/C200)</f>
        <v/>
      </c>
      <c r="D217" s="175" t="str">
        <f t="shared" ref="D217" si="84">IF(D216=0,"",+D216/D200)</f>
        <v/>
      </c>
      <c r="E217" s="175" t="str">
        <f t="shared" ref="E217" si="85">IF(E216=0,"",+E216/E200)</f>
        <v/>
      </c>
      <c r="F217" s="403"/>
    </row>
    <row r="218" spans="1:6" ht="45" customHeight="1" x14ac:dyDescent="0.3">
      <c r="A218" s="402" t="str">
        <f ca="1">TranslationsTB!$A$36</f>
        <v xml:space="preserve">G. Remaining gap: A - F </v>
      </c>
      <c r="B218" s="195" t="s">
        <v>8</v>
      </c>
      <c r="C218" s="171">
        <f>IF(C216="",C200,C200-C216)</f>
        <v>0</v>
      </c>
      <c r="D218" s="171">
        <f t="shared" ref="D218:E218" si="86">IF(D216="",D200,D200-D216)</f>
        <v>0</v>
      </c>
      <c r="E218" s="171">
        <f t="shared" si="86"/>
        <v>0</v>
      </c>
      <c r="F218" s="403"/>
    </row>
    <row r="219" spans="1:6" ht="45" customHeight="1" x14ac:dyDescent="0.3">
      <c r="A219" s="419"/>
      <c r="B219" s="196" t="s">
        <v>9</v>
      </c>
      <c r="C219" s="175" t="str">
        <f>IF(C218=0,"",+C218/C200)</f>
        <v/>
      </c>
      <c r="D219" s="175" t="str">
        <f t="shared" ref="D219" si="87">IF(D218=0,"",+D218/D200)</f>
        <v/>
      </c>
      <c r="E219" s="175" t="str">
        <f t="shared" ref="E219" si="88">IF(E218=0,"",+E218/E200)</f>
        <v/>
      </c>
      <c r="F219" s="420"/>
    </row>
    <row r="220" spans="1:6" x14ac:dyDescent="0.3">
      <c r="A220" s="121"/>
      <c r="B220" s="121"/>
      <c r="C220" s="182"/>
      <c r="D220" s="182"/>
      <c r="E220" s="182"/>
      <c r="F220" s="361"/>
    </row>
    <row r="221" spans="1:6" x14ac:dyDescent="0.3">
      <c r="A221" s="122"/>
      <c r="B221" s="122"/>
      <c r="C221" s="183"/>
      <c r="D221" s="183"/>
      <c r="E221" s="183"/>
      <c r="F221" s="362"/>
    </row>
    <row r="222" spans="1:6" s="126" customFormat="1" ht="30" customHeight="1" x14ac:dyDescent="0.8">
      <c r="A222" s="389" t="str">
        <f ca="1">TranslationsTB!$A$44</f>
        <v xml:space="preserve">TB Programmatic Gap Table 8 </v>
      </c>
      <c r="B222" s="390"/>
      <c r="C222" s="390"/>
      <c r="D222" s="390"/>
      <c r="E222" s="390"/>
      <c r="F222" s="391"/>
    </row>
    <row r="223" spans="1:6" ht="45" customHeight="1" x14ac:dyDescent="0.3">
      <c r="A223" s="129" t="str">
        <f ca="1">TranslationsHIV!$A$21</f>
        <v>Priority Module</v>
      </c>
      <c r="B223" s="398" t="s">
        <v>2</v>
      </c>
      <c r="C223" s="398"/>
      <c r="D223" s="398"/>
      <c r="E223" s="398"/>
      <c r="F223" s="398"/>
    </row>
    <row r="224" spans="1:6" ht="45" customHeight="1" x14ac:dyDescent="0.3">
      <c r="A224" s="129" t="str">
        <f ca="1">TranslationsHIV!$A$22</f>
        <v>Selected coverage indicator</v>
      </c>
      <c r="B224" s="373" t="str">
        <f ca="1">VLOOKUP(B223,TBModulesIndicators,2,FALSE)</f>
        <v>Please select…</v>
      </c>
      <c r="C224" s="373"/>
      <c r="D224" s="373"/>
      <c r="E224" s="373"/>
      <c r="F224" s="373"/>
    </row>
    <row r="225" spans="1:6" ht="17.5" customHeight="1" x14ac:dyDescent="0.3">
      <c r="A225" s="351" t="str">
        <f ca="1">TranslationsHIV!$A$24</f>
        <v>Current national coverage</v>
      </c>
      <c r="B225" s="352"/>
      <c r="C225" s="352"/>
      <c r="D225" s="352"/>
      <c r="E225" s="352"/>
      <c r="F225" s="213"/>
    </row>
    <row r="226" spans="1:6" ht="45" customHeight="1" x14ac:dyDescent="0.3">
      <c r="A226" s="131" t="str">
        <f ca="1">TranslationsHIV!$A$25</f>
        <v>Insert latest results</v>
      </c>
      <c r="B226" s="24"/>
      <c r="C226" s="155" t="str">
        <f ca="1">TranslationsHIV!$A$26</f>
        <v>Year</v>
      </c>
      <c r="D226" s="215"/>
      <c r="E226" s="155" t="str">
        <f ca="1">TranslationsHIV!$A$27</f>
        <v>Data source</v>
      </c>
      <c r="F226" s="216"/>
    </row>
    <row r="227" spans="1:6" ht="45" customHeight="1" x14ac:dyDescent="0.3">
      <c r="A227" s="133" t="str">
        <f ca="1">TranslationsHIV!$A$28</f>
        <v>Comments</v>
      </c>
      <c r="B227" s="399"/>
      <c r="C227" s="400"/>
      <c r="D227" s="400"/>
      <c r="E227" s="400"/>
      <c r="F227" s="400"/>
    </row>
    <row r="228" spans="1:6" ht="40" customHeight="1" x14ac:dyDescent="0.3">
      <c r="A228" s="193"/>
      <c r="B228" s="218"/>
      <c r="C228" s="191" t="str">
        <f ca="1">TranslationsHIV!$A$29</f>
        <v>Year 1</v>
      </c>
      <c r="D228" s="130" t="str">
        <f ca="1">TranslationsHIV!$A$30</f>
        <v>Year 2</v>
      </c>
      <c r="E228" s="130" t="str">
        <f ca="1">TranslationsHIV!$A$31</f>
        <v>Year 3</v>
      </c>
      <c r="F228" s="401" t="str">
        <f ca="1">TranslationsHIV!$A$34</f>
        <v>Comments / Assumptions</v>
      </c>
    </row>
    <row r="229" spans="1:6" ht="40" customHeight="1" x14ac:dyDescent="0.3">
      <c r="A229" s="194"/>
      <c r="B229" s="219"/>
      <c r="C229" s="192" t="str">
        <f ca="1">TranslationsTB!$A$22</f>
        <v>Insert year</v>
      </c>
      <c r="D229" s="19" t="str">
        <f ca="1">TranslationsTB!$A$22</f>
        <v>Insert year</v>
      </c>
      <c r="E229" s="19" t="str">
        <f ca="1">TranslationsTB!$A$22</f>
        <v>Insert year</v>
      </c>
      <c r="F229" s="401"/>
    </row>
    <row r="230" spans="1:6" ht="17.5" customHeight="1" x14ac:dyDescent="0.3">
      <c r="A230" s="353" t="str">
        <f ca="1">TranslationsHIV!$A$35</f>
        <v>Current estimated country need</v>
      </c>
      <c r="B230" s="354"/>
      <c r="C230" s="352"/>
      <c r="D230" s="352"/>
      <c r="E230" s="352"/>
      <c r="F230" s="213"/>
    </row>
    <row r="231" spans="1:6" ht="45" customHeight="1" x14ac:dyDescent="0.3">
      <c r="A231" s="131" t="str">
        <f ca="1">TranslationsTB!$A$25</f>
        <v>A. Total estimated population in need/at risk</v>
      </c>
      <c r="B231" s="195" t="s">
        <v>8</v>
      </c>
      <c r="C231" s="174"/>
      <c r="D231" s="174"/>
      <c r="E231" s="174"/>
      <c r="F231" s="216"/>
    </row>
    <row r="232" spans="1:6" ht="45" customHeight="1" x14ac:dyDescent="0.3">
      <c r="A232" s="402" t="str">
        <f ca="1">TranslationsTB!$A$26</f>
        <v>B. Country targets 
(from National Strategic Plan)</v>
      </c>
      <c r="B232" s="195" t="s">
        <v>8</v>
      </c>
      <c r="C232" s="309"/>
      <c r="D232" s="174"/>
      <c r="E232" s="174"/>
      <c r="F232" s="216"/>
    </row>
    <row r="233" spans="1:6" ht="45" customHeight="1" x14ac:dyDescent="0.3">
      <c r="A233" s="402"/>
      <c r="B233" s="195" t="s">
        <v>9</v>
      </c>
      <c r="C233" s="175" t="str">
        <f>IF(C232=0,"",+C232/C231)</f>
        <v/>
      </c>
      <c r="D233" s="175" t="str">
        <f t="shared" ref="D233:E233" si="89">IF(D232=0,"",+D232/D231)</f>
        <v/>
      </c>
      <c r="E233" s="175" t="str">
        <f t="shared" si="89"/>
        <v/>
      </c>
      <c r="F233" s="216"/>
    </row>
    <row r="234" spans="1:6" ht="17.5" customHeight="1" x14ac:dyDescent="0.3">
      <c r="A234" s="351" t="str">
        <f ca="1">TranslationsHIV!$A$54</f>
        <v>Country target already covered</v>
      </c>
      <c r="B234" s="352"/>
      <c r="C234" s="352"/>
      <c r="D234" s="352"/>
      <c r="E234" s="352"/>
      <c r="F234" s="213"/>
    </row>
    <row r="235" spans="1:6" ht="45" customHeight="1" x14ac:dyDescent="0.3">
      <c r="A235" s="405" t="str">
        <f ca="1">TranslationsHIV!$A$55</f>
        <v>C1. Country need planned to be covered by domestic resources</v>
      </c>
      <c r="B235" s="195" t="s">
        <v>8</v>
      </c>
      <c r="C235" s="170"/>
      <c r="D235" s="170"/>
      <c r="E235" s="170"/>
      <c r="F235" s="216"/>
    </row>
    <row r="236" spans="1:6" ht="45" customHeight="1" x14ac:dyDescent="0.3">
      <c r="A236" s="405"/>
      <c r="B236" s="195" t="s">
        <v>9</v>
      </c>
      <c r="C236" s="175" t="str">
        <f>IF(C235=0,"",(C235/C231))</f>
        <v/>
      </c>
      <c r="D236" s="175" t="str">
        <f t="shared" ref="D236:E236" si="90">IF(D235=0,"",(D235/D231))</f>
        <v/>
      </c>
      <c r="E236" s="175" t="str">
        <f t="shared" si="90"/>
        <v/>
      </c>
      <c r="F236" s="216"/>
    </row>
    <row r="237" spans="1:6" ht="45" customHeight="1" x14ac:dyDescent="0.3">
      <c r="A237" s="405" t="str">
        <f ca="1">TranslationsHIV!$A$56</f>
        <v>C2. Country need planned to be covered by external resources</v>
      </c>
      <c r="B237" s="195" t="s">
        <v>8</v>
      </c>
      <c r="C237" s="170"/>
      <c r="D237" s="176"/>
      <c r="E237" s="176"/>
      <c r="F237" s="216"/>
    </row>
    <row r="238" spans="1:6" ht="45" customHeight="1" x14ac:dyDescent="0.3">
      <c r="A238" s="405"/>
      <c r="B238" s="195" t="s">
        <v>9</v>
      </c>
      <c r="C238" s="175" t="str">
        <f>IF(C237=0,"",+C237/C231)</f>
        <v/>
      </c>
      <c r="D238" s="175" t="str">
        <f t="shared" ref="D238:E238" si="91">IF(D237=0,"",+D237/D231)</f>
        <v/>
      </c>
      <c r="E238" s="175" t="str">
        <f t="shared" si="91"/>
        <v/>
      </c>
      <c r="F238" s="216"/>
    </row>
    <row r="239" spans="1:6" ht="45" customHeight="1" x14ac:dyDescent="0.3">
      <c r="A239" s="405" t="str">
        <f ca="1">TranslationsHIV!$A$57</f>
        <v>C3. Total country need already covered</v>
      </c>
      <c r="B239" s="195" t="s">
        <v>8</v>
      </c>
      <c r="C239" s="177">
        <f>C235+(C237)</f>
        <v>0</v>
      </c>
      <c r="D239" s="177">
        <f>D235+(D237)</f>
        <v>0</v>
      </c>
      <c r="E239" s="177">
        <f>E235+(E237)</f>
        <v>0</v>
      </c>
      <c r="F239" s="216"/>
    </row>
    <row r="240" spans="1:6" ht="45" customHeight="1" x14ac:dyDescent="0.3">
      <c r="A240" s="405"/>
      <c r="B240" s="195" t="s">
        <v>9</v>
      </c>
      <c r="C240" s="175" t="str">
        <f>IF(C239=0,"",C239/C231)</f>
        <v/>
      </c>
      <c r="D240" s="175" t="str">
        <f t="shared" ref="D240:E240" si="92">IF(D239=0,"",D239/D231)</f>
        <v/>
      </c>
      <c r="E240" s="175" t="str">
        <f t="shared" si="92"/>
        <v/>
      </c>
      <c r="F240" s="216"/>
    </row>
    <row r="241" spans="1:6" ht="17.5" customHeight="1" x14ac:dyDescent="0.3">
      <c r="A241" s="351" t="str">
        <f ca="1">TranslationsHIV!$A$42</f>
        <v>Programmatic gap</v>
      </c>
      <c r="B241" s="352"/>
      <c r="C241" s="352"/>
      <c r="D241" s="352"/>
      <c r="E241" s="352"/>
      <c r="F241" s="213"/>
    </row>
    <row r="242" spans="1:6" ht="45" customHeight="1" x14ac:dyDescent="0.3">
      <c r="A242" s="404" t="str">
        <f ca="1">TranslationsTB!$A$32</f>
        <v>D. Expected annual gap in meeting the need: A - C3</v>
      </c>
      <c r="B242" s="195" t="s">
        <v>8</v>
      </c>
      <c r="C242" s="178">
        <f>C231-C239</f>
        <v>0</v>
      </c>
      <c r="D242" s="178">
        <f t="shared" ref="D242:E242" si="93">D231-D239</f>
        <v>0</v>
      </c>
      <c r="E242" s="178">
        <f t="shared" si="93"/>
        <v>0</v>
      </c>
      <c r="F242" s="403"/>
    </row>
    <row r="243" spans="1:6" ht="45" customHeight="1" x14ac:dyDescent="0.3">
      <c r="A243" s="404"/>
      <c r="B243" s="195" t="s">
        <v>9</v>
      </c>
      <c r="C243" s="175" t="str">
        <f>IF(C242=0,"",+C242/C231)</f>
        <v/>
      </c>
      <c r="D243" s="175" t="str">
        <f t="shared" ref="D243:E243" si="94">IF(D242=0,"",+D242/D231)</f>
        <v/>
      </c>
      <c r="E243" s="175" t="str">
        <f t="shared" si="94"/>
        <v/>
      </c>
      <c r="F243" s="403"/>
    </row>
    <row r="244" spans="1:6" ht="17.5" customHeight="1" x14ac:dyDescent="0.3">
      <c r="A244" s="351" t="str">
        <f ca="1">TranslationsHIV!$A$59</f>
        <v>Country target covered with the allocation amount</v>
      </c>
      <c r="B244" s="352"/>
      <c r="C244" s="352"/>
      <c r="D244" s="352"/>
      <c r="E244" s="352"/>
      <c r="F244" s="213"/>
    </row>
    <row r="245" spans="1:6" ht="45" customHeight="1" x14ac:dyDescent="0.3">
      <c r="A245" s="404" t="str">
        <f ca="1">TranslationsTB!$A$34</f>
        <v>E. Targets to be financed by funding request allocation amount</v>
      </c>
      <c r="B245" s="195" t="s">
        <v>8</v>
      </c>
      <c r="C245" s="170"/>
      <c r="D245" s="170"/>
      <c r="E245" s="170"/>
      <c r="F245" s="403"/>
    </row>
    <row r="246" spans="1:6" ht="45" customHeight="1" x14ac:dyDescent="0.3">
      <c r="A246" s="404"/>
      <c r="B246" s="195" t="s">
        <v>9</v>
      </c>
      <c r="C246" s="175" t="str">
        <f>IF(C245=0,"",+C245/C231)</f>
        <v/>
      </c>
      <c r="D246" s="175" t="str">
        <f t="shared" ref="D246:E246" si="95">IF(D245=0,"",+D245/D231)</f>
        <v/>
      </c>
      <c r="E246" s="175" t="str">
        <f t="shared" si="95"/>
        <v/>
      </c>
      <c r="F246" s="403"/>
    </row>
    <row r="247" spans="1:6" ht="45" customHeight="1" x14ac:dyDescent="0.3">
      <c r="A247" s="404" t="str">
        <f ca="1">TranslationsTB!$A$35</f>
        <v>F. Total coverage from allocation amount and other resources: E + C3</v>
      </c>
      <c r="B247" s="195" t="s">
        <v>8</v>
      </c>
      <c r="C247" s="178">
        <f>IF(C245="",C239,C245+C239)</f>
        <v>0</v>
      </c>
      <c r="D247" s="178">
        <f t="shared" ref="D247:E247" si="96">IF(D245="",D239,D245+D239)</f>
        <v>0</v>
      </c>
      <c r="E247" s="178">
        <f t="shared" si="96"/>
        <v>0</v>
      </c>
      <c r="F247" s="403"/>
    </row>
    <row r="248" spans="1:6" ht="45" customHeight="1" x14ac:dyDescent="0.3">
      <c r="A248" s="404"/>
      <c r="B248" s="195" t="s">
        <v>9</v>
      </c>
      <c r="C248" s="175" t="str">
        <f>IF(C247=0,"",+C247/C231)</f>
        <v/>
      </c>
      <c r="D248" s="175" t="str">
        <f t="shared" ref="D248" si="97">IF(D247=0,"",+D247/D231)</f>
        <v/>
      </c>
      <c r="E248" s="175" t="str">
        <f t="shared" ref="E248" si="98">IF(E247=0,"",+E247/E231)</f>
        <v/>
      </c>
      <c r="F248" s="403"/>
    </row>
    <row r="249" spans="1:6" ht="45" customHeight="1" x14ac:dyDescent="0.3">
      <c r="A249" s="402" t="str">
        <f ca="1">TranslationsTB!$A$36</f>
        <v xml:space="preserve">G. Remaining gap: A - F </v>
      </c>
      <c r="B249" s="195" t="s">
        <v>8</v>
      </c>
      <c r="C249" s="171">
        <f>IF(C247="",C231,C231-C247)</f>
        <v>0</v>
      </c>
      <c r="D249" s="171">
        <f t="shared" ref="D249:E249" si="99">IF(D247="",D231,D231-D247)</f>
        <v>0</v>
      </c>
      <c r="E249" s="171">
        <f t="shared" si="99"/>
        <v>0</v>
      </c>
      <c r="F249" s="403"/>
    </row>
    <row r="250" spans="1:6" ht="45" customHeight="1" x14ac:dyDescent="0.3">
      <c r="A250" s="419"/>
      <c r="B250" s="196" t="s">
        <v>9</v>
      </c>
      <c r="C250" s="175" t="str">
        <f>IF(C249=0,"",+C249/C231)</f>
        <v/>
      </c>
      <c r="D250" s="175" t="str">
        <f t="shared" ref="D250" si="100">IF(D249=0,"",+D249/D231)</f>
        <v/>
      </c>
      <c r="E250" s="175" t="str">
        <f t="shared" ref="E250" si="101">IF(E249=0,"",+E249/E231)</f>
        <v/>
      </c>
      <c r="F250" s="420"/>
    </row>
    <row r="251" spans="1:6" x14ac:dyDescent="0.3">
      <c r="A251" s="121"/>
      <c r="B251" s="121"/>
      <c r="C251" s="182"/>
      <c r="D251" s="182"/>
      <c r="E251" s="182"/>
      <c r="F251" s="361"/>
    </row>
    <row r="252" spans="1:6" x14ac:dyDescent="0.3">
      <c r="A252" s="122"/>
      <c r="B252" s="122"/>
      <c r="C252" s="183"/>
      <c r="D252" s="183"/>
      <c r="E252" s="183"/>
      <c r="F252" s="362"/>
    </row>
    <row r="253" spans="1:6" s="126" customFormat="1" ht="30" customHeight="1" x14ac:dyDescent="0.8">
      <c r="A253" s="389" t="str">
        <f ca="1">TranslationsTB!$A$45</f>
        <v xml:space="preserve">TB Programmatic Gap Table 9 </v>
      </c>
      <c r="B253" s="390"/>
      <c r="C253" s="390"/>
      <c r="D253" s="390"/>
      <c r="E253" s="390"/>
      <c r="F253" s="391"/>
    </row>
    <row r="254" spans="1:6" ht="45" customHeight="1" x14ac:dyDescent="0.3">
      <c r="A254" s="129" t="str">
        <f ca="1">TranslationsHIV!$A$21</f>
        <v>Priority Module</v>
      </c>
      <c r="B254" s="398" t="s">
        <v>2</v>
      </c>
      <c r="C254" s="398"/>
      <c r="D254" s="398"/>
      <c r="E254" s="398"/>
      <c r="F254" s="398"/>
    </row>
    <row r="255" spans="1:6" ht="45" customHeight="1" x14ac:dyDescent="0.3">
      <c r="A255" s="129" t="str">
        <f ca="1">TranslationsHIV!$A$22</f>
        <v>Selected coverage indicator</v>
      </c>
      <c r="B255" s="373" t="str">
        <f ca="1">VLOOKUP(B254,TBModulesIndicators,2,FALSE)</f>
        <v>Please select…</v>
      </c>
      <c r="C255" s="373"/>
      <c r="D255" s="373"/>
      <c r="E255" s="373"/>
      <c r="F255" s="373"/>
    </row>
    <row r="256" spans="1:6" ht="17.5" customHeight="1" x14ac:dyDescent="0.3">
      <c r="A256" s="351" t="str">
        <f ca="1">TranslationsHIV!$A$24</f>
        <v>Current national coverage</v>
      </c>
      <c r="B256" s="352"/>
      <c r="C256" s="352"/>
      <c r="D256" s="352"/>
      <c r="E256" s="352"/>
      <c r="F256" s="213"/>
    </row>
    <row r="257" spans="1:6" ht="45" customHeight="1" x14ac:dyDescent="0.3">
      <c r="A257" s="131" t="str">
        <f ca="1">TranslationsHIV!$A$25</f>
        <v>Insert latest results</v>
      </c>
      <c r="B257" s="24"/>
      <c r="C257" s="155" t="str">
        <f ca="1">TranslationsHIV!$A$26</f>
        <v>Year</v>
      </c>
      <c r="D257" s="215"/>
      <c r="E257" s="155" t="str">
        <f ca="1">TranslationsHIV!$A$27</f>
        <v>Data source</v>
      </c>
      <c r="F257" s="216"/>
    </row>
    <row r="258" spans="1:6" ht="45" customHeight="1" x14ac:dyDescent="0.3">
      <c r="A258" s="133" t="str">
        <f ca="1">TranslationsHIV!$A$28</f>
        <v>Comments</v>
      </c>
      <c r="B258" s="399"/>
      <c r="C258" s="400"/>
      <c r="D258" s="400"/>
      <c r="E258" s="400"/>
      <c r="F258" s="400"/>
    </row>
    <row r="259" spans="1:6" ht="40" customHeight="1" x14ac:dyDescent="0.3">
      <c r="A259" s="193"/>
      <c r="B259" s="406"/>
      <c r="C259" s="191" t="str">
        <f ca="1">TranslationsHIV!$A$29</f>
        <v>Year 1</v>
      </c>
      <c r="D259" s="130" t="str">
        <f ca="1">TranslationsHIV!$A$30</f>
        <v>Year 2</v>
      </c>
      <c r="E259" s="130" t="str">
        <f ca="1">TranslationsHIV!$A$31</f>
        <v>Year 3</v>
      </c>
      <c r="F259" s="401" t="str">
        <f ca="1">TranslationsHIV!$A$34</f>
        <v>Comments / Assumptions</v>
      </c>
    </row>
    <row r="260" spans="1:6" ht="40" customHeight="1" x14ac:dyDescent="0.3">
      <c r="A260" s="194"/>
      <c r="B260" s="407"/>
      <c r="C260" s="192" t="str">
        <f ca="1">TranslationsTB!$A$22</f>
        <v>Insert year</v>
      </c>
      <c r="D260" s="19" t="str">
        <f ca="1">TranslationsTB!$A$22</f>
        <v>Insert year</v>
      </c>
      <c r="E260" s="19" t="str">
        <f ca="1">TranslationsTB!$A$22</f>
        <v>Insert year</v>
      </c>
      <c r="F260" s="401"/>
    </row>
    <row r="261" spans="1:6" ht="17.5" customHeight="1" x14ac:dyDescent="0.3">
      <c r="A261" s="353" t="str">
        <f ca="1">TranslationsHIV!$A$35</f>
        <v>Current estimated country need</v>
      </c>
      <c r="B261" s="354"/>
      <c r="C261" s="352"/>
      <c r="D261" s="352"/>
      <c r="E261" s="352"/>
      <c r="F261" s="213"/>
    </row>
    <row r="262" spans="1:6" ht="45" customHeight="1" x14ac:dyDescent="0.3">
      <c r="A262" s="131" t="str">
        <f ca="1">TranslationsTB!$A$25</f>
        <v>A. Total estimated population in need/at risk</v>
      </c>
      <c r="B262" s="195" t="s">
        <v>8</v>
      </c>
      <c r="C262" s="174"/>
      <c r="D262" s="174"/>
      <c r="E262" s="174"/>
      <c r="F262" s="216"/>
    </row>
    <row r="263" spans="1:6" ht="45" customHeight="1" x14ac:dyDescent="0.3">
      <c r="A263" s="402" t="str">
        <f ca="1">TranslationsTB!$A$26</f>
        <v>B. Country targets 
(from National Strategic Plan)</v>
      </c>
      <c r="B263" s="195" t="s">
        <v>8</v>
      </c>
      <c r="C263" s="309"/>
      <c r="D263" s="174"/>
      <c r="E263" s="174"/>
      <c r="F263" s="216"/>
    </row>
    <row r="264" spans="1:6" ht="45" customHeight="1" x14ac:dyDescent="0.3">
      <c r="A264" s="402"/>
      <c r="B264" s="195" t="s">
        <v>9</v>
      </c>
      <c r="C264" s="175" t="str">
        <f>IF(C263=0,"",+C263/C262)</f>
        <v/>
      </c>
      <c r="D264" s="175" t="str">
        <f t="shared" ref="D264:E264" si="102">IF(D263=0,"",+D263/D262)</f>
        <v/>
      </c>
      <c r="E264" s="175" t="str">
        <f t="shared" si="102"/>
        <v/>
      </c>
      <c r="F264" s="216"/>
    </row>
    <row r="265" spans="1:6" ht="17.5" customHeight="1" x14ac:dyDescent="0.3">
      <c r="A265" s="351" t="str">
        <f ca="1">TranslationsHIV!$A$54</f>
        <v>Country target already covered</v>
      </c>
      <c r="B265" s="352"/>
      <c r="C265" s="352"/>
      <c r="D265" s="352"/>
      <c r="E265" s="352"/>
      <c r="F265" s="213"/>
    </row>
    <row r="266" spans="1:6" ht="45" customHeight="1" x14ac:dyDescent="0.3">
      <c r="A266" s="405" t="str">
        <f ca="1">TranslationsHIV!$A$55</f>
        <v>C1. Country need planned to be covered by domestic resources</v>
      </c>
      <c r="B266" s="195" t="s">
        <v>8</v>
      </c>
      <c r="C266" s="170"/>
      <c r="D266" s="170"/>
      <c r="E266" s="170"/>
      <c r="F266" s="216"/>
    </row>
    <row r="267" spans="1:6" ht="45" customHeight="1" x14ac:dyDescent="0.3">
      <c r="A267" s="405"/>
      <c r="B267" s="195" t="s">
        <v>9</v>
      </c>
      <c r="C267" s="175" t="str">
        <f>IF(C266=0,"",(C266/C262))</f>
        <v/>
      </c>
      <c r="D267" s="175" t="str">
        <f t="shared" ref="D267:E267" si="103">IF(D266=0,"",(D266/D262))</f>
        <v/>
      </c>
      <c r="E267" s="175" t="str">
        <f t="shared" si="103"/>
        <v/>
      </c>
      <c r="F267" s="216"/>
    </row>
    <row r="268" spans="1:6" ht="45" customHeight="1" x14ac:dyDescent="0.3">
      <c r="A268" s="405" t="str">
        <f ca="1">TranslationsHIV!$A$56</f>
        <v>C2. Country need planned to be covered by external resources</v>
      </c>
      <c r="B268" s="195" t="s">
        <v>8</v>
      </c>
      <c r="C268" s="170"/>
      <c r="D268" s="176"/>
      <c r="E268" s="176"/>
      <c r="F268" s="216"/>
    </row>
    <row r="269" spans="1:6" ht="45" customHeight="1" x14ac:dyDescent="0.3">
      <c r="A269" s="405"/>
      <c r="B269" s="195" t="s">
        <v>9</v>
      </c>
      <c r="C269" s="175" t="str">
        <f>IF(C268=0,"",+C268/C262)</f>
        <v/>
      </c>
      <c r="D269" s="175" t="str">
        <f t="shared" ref="D269:E269" si="104">IF(D268=0,"",+D268/D262)</f>
        <v/>
      </c>
      <c r="E269" s="175" t="str">
        <f t="shared" si="104"/>
        <v/>
      </c>
      <c r="F269" s="216"/>
    </row>
    <row r="270" spans="1:6" ht="45" customHeight="1" x14ac:dyDescent="0.3">
      <c r="A270" s="405" t="str">
        <f ca="1">TranslationsHIV!$A$57</f>
        <v>C3. Total country need already covered</v>
      </c>
      <c r="B270" s="195" t="s">
        <v>8</v>
      </c>
      <c r="C270" s="177">
        <f>C266+(C268)</f>
        <v>0</v>
      </c>
      <c r="D270" s="177">
        <f>D266+(D268)</f>
        <v>0</v>
      </c>
      <c r="E270" s="177">
        <f>E266+(E268)</f>
        <v>0</v>
      </c>
      <c r="F270" s="216"/>
    </row>
    <row r="271" spans="1:6" ht="45" customHeight="1" x14ac:dyDescent="0.3">
      <c r="A271" s="405"/>
      <c r="B271" s="195" t="s">
        <v>9</v>
      </c>
      <c r="C271" s="175" t="str">
        <f>IF(C270=0,"",C270/C262)</f>
        <v/>
      </c>
      <c r="D271" s="175" t="str">
        <f t="shared" ref="D271:E271" si="105">IF(D270=0,"",D270/D262)</f>
        <v/>
      </c>
      <c r="E271" s="175" t="str">
        <f t="shared" si="105"/>
        <v/>
      </c>
      <c r="F271" s="216"/>
    </row>
    <row r="272" spans="1:6" ht="17.5" customHeight="1" x14ac:dyDescent="0.3">
      <c r="A272" s="351" t="str">
        <f ca="1">TranslationsHIV!$A$42</f>
        <v>Programmatic gap</v>
      </c>
      <c r="B272" s="352"/>
      <c r="C272" s="352"/>
      <c r="D272" s="352"/>
      <c r="E272" s="352"/>
      <c r="F272" s="213"/>
    </row>
    <row r="273" spans="1:6" ht="45" customHeight="1" x14ac:dyDescent="0.3">
      <c r="A273" s="404" t="str">
        <f ca="1">TranslationsTB!$A$32</f>
        <v>D. Expected annual gap in meeting the need: A - C3</v>
      </c>
      <c r="B273" s="195" t="s">
        <v>8</v>
      </c>
      <c r="C273" s="178">
        <f>C262-C270</f>
        <v>0</v>
      </c>
      <c r="D273" s="178">
        <f t="shared" ref="D273:E273" si="106">D262-D270</f>
        <v>0</v>
      </c>
      <c r="E273" s="178">
        <f t="shared" si="106"/>
        <v>0</v>
      </c>
      <c r="F273" s="403"/>
    </row>
    <row r="274" spans="1:6" ht="45" customHeight="1" x14ac:dyDescent="0.3">
      <c r="A274" s="404"/>
      <c r="B274" s="195" t="s">
        <v>9</v>
      </c>
      <c r="C274" s="175" t="str">
        <f>IF(C273=0,"",+C273/C262)</f>
        <v/>
      </c>
      <c r="D274" s="175" t="str">
        <f t="shared" ref="D274:E274" si="107">IF(D273=0,"",+D273/D262)</f>
        <v/>
      </c>
      <c r="E274" s="175" t="str">
        <f t="shared" si="107"/>
        <v/>
      </c>
      <c r="F274" s="403"/>
    </row>
    <row r="275" spans="1:6" ht="17.5" customHeight="1" x14ac:dyDescent="0.3">
      <c r="A275" s="351" t="str">
        <f ca="1">TranslationsHIV!$A$59</f>
        <v>Country target covered with the allocation amount</v>
      </c>
      <c r="B275" s="352"/>
      <c r="C275" s="352"/>
      <c r="D275" s="352"/>
      <c r="E275" s="352"/>
      <c r="F275" s="213"/>
    </row>
    <row r="276" spans="1:6" ht="45" customHeight="1" x14ac:dyDescent="0.3">
      <c r="A276" s="404" t="str">
        <f ca="1">TranslationsTB!$A$34</f>
        <v>E. Targets to be financed by funding request allocation amount</v>
      </c>
      <c r="B276" s="195" t="s">
        <v>8</v>
      </c>
      <c r="C276" s="170"/>
      <c r="D276" s="170"/>
      <c r="E276" s="170"/>
      <c r="F276" s="403"/>
    </row>
    <row r="277" spans="1:6" ht="45" customHeight="1" x14ac:dyDescent="0.3">
      <c r="A277" s="404"/>
      <c r="B277" s="195" t="s">
        <v>9</v>
      </c>
      <c r="C277" s="175" t="str">
        <f>IF(C276=0,"",+C276/C262)</f>
        <v/>
      </c>
      <c r="D277" s="175" t="str">
        <f t="shared" ref="D277:E277" si="108">IF(D276=0,"",+D276/D262)</f>
        <v/>
      </c>
      <c r="E277" s="175" t="str">
        <f t="shared" si="108"/>
        <v/>
      </c>
      <c r="F277" s="403"/>
    </row>
    <row r="278" spans="1:6" ht="45" customHeight="1" x14ac:dyDescent="0.3">
      <c r="A278" s="404" t="str">
        <f ca="1">TranslationsTB!$A$35</f>
        <v>F. Total coverage from allocation amount and other resources: E + C3</v>
      </c>
      <c r="B278" s="195" t="s">
        <v>8</v>
      </c>
      <c r="C278" s="178">
        <f>IF(C276="",C270,C276+C270)</f>
        <v>0</v>
      </c>
      <c r="D278" s="178">
        <f t="shared" ref="D278:E278" si="109">IF(D276="",D270,D276+D270)</f>
        <v>0</v>
      </c>
      <c r="E278" s="178">
        <f t="shared" si="109"/>
        <v>0</v>
      </c>
      <c r="F278" s="403"/>
    </row>
    <row r="279" spans="1:6" ht="45" customHeight="1" x14ac:dyDescent="0.3">
      <c r="A279" s="404"/>
      <c r="B279" s="195" t="s">
        <v>9</v>
      </c>
      <c r="C279" s="175" t="str">
        <f>IF(C278=0,"",+C278/C262)</f>
        <v/>
      </c>
      <c r="D279" s="175" t="str">
        <f t="shared" ref="D279" si="110">IF(D278=0,"",+D278/D262)</f>
        <v/>
      </c>
      <c r="E279" s="175" t="str">
        <f t="shared" ref="E279" si="111">IF(E278=0,"",+E278/E262)</f>
        <v/>
      </c>
      <c r="F279" s="403"/>
    </row>
    <row r="280" spans="1:6" ht="45" customHeight="1" x14ac:dyDescent="0.3">
      <c r="A280" s="402" t="str">
        <f ca="1">TranslationsTB!$A$36</f>
        <v xml:space="preserve">G. Remaining gap: A - F </v>
      </c>
      <c r="B280" s="195" t="s">
        <v>8</v>
      </c>
      <c r="C280" s="171">
        <f>IF(C278="",C262,C262-C278)</f>
        <v>0</v>
      </c>
      <c r="D280" s="171">
        <f t="shared" ref="D280:E280" si="112">IF(D278="",D262,D262-D278)</f>
        <v>0</v>
      </c>
      <c r="E280" s="171">
        <f t="shared" si="112"/>
        <v>0</v>
      </c>
      <c r="F280" s="403"/>
    </row>
    <row r="281" spans="1:6" ht="45" customHeight="1" x14ac:dyDescent="0.3">
      <c r="A281" s="402"/>
      <c r="B281" s="195" t="s">
        <v>9</v>
      </c>
      <c r="C281" s="175" t="str">
        <f>IF(C280=0,"",+C280/C262)</f>
        <v/>
      </c>
      <c r="D281" s="175" t="str">
        <f t="shared" ref="D281" si="113">IF(D280=0,"",+D280/D262)</f>
        <v/>
      </c>
      <c r="E281" s="175" t="str">
        <f t="shared" ref="E281" si="114">IF(E280=0,"",+E280/E262)</f>
        <v/>
      </c>
      <c r="F281" s="403"/>
    </row>
    <row r="282" spans="1:6" x14ac:dyDescent="0.3">
      <c r="A282" s="392"/>
      <c r="B282" s="393"/>
      <c r="C282" s="393"/>
      <c r="D282" s="393"/>
      <c r="E282" s="393"/>
      <c r="F282" s="394"/>
    </row>
    <row r="283" spans="1:6" x14ac:dyDescent="0.3">
      <c r="A283" s="395"/>
      <c r="B283" s="396"/>
      <c r="C283" s="396"/>
      <c r="D283" s="396"/>
      <c r="E283" s="396"/>
      <c r="F283" s="397"/>
    </row>
    <row r="284" spans="1:6" s="126" customFormat="1" ht="30" customHeight="1" x14ac:dyDescent="0.8">
      <c r="A284" s="127" t="str">
        <f ca="1">TranslationsTB!$A$46</f>
        <v xml:space="preserve">TB Programmatic Gap Table 10 </v>
      </c>
      <c r="B284" s="128"/>
      <c r="C284" s="184"/>
      <c r="D284" s="184"/>
      <c r="E284" s="184"/>
      <c r="F284" s="128"/>
    </row>
    <row r="285" spans="1:6" ht="45" customHeight="1" x14ac:dyDescent="0.3">
      <c r="A285" s="129" t="str">
        <f ca="1">TranslationsHIV!$A$21</f>
        <v>Priority Module</v>
      </c>
      <c r="B285" s="398" t="s">
        <v>2</v>
      </c>
      <c r="C285" s="398"/>
      <c r="D285" s="398"/>
      <c r="E285" s="398"/>
      <c r="F285" s="398"/>
    </row>
    <row r="286" spans="1:6" ht="45" customHeight="1" x14ac:dyDescent="0.3">
      <c r="A286" s="129" t="str">
        <f ca="1">TranslationsHIV!$A$22</f>
        <v>Selected coverage indicator</v>
      </c>
      <c r="B286" s="373" t="str">
        <f ca="1">VLOOKUP(B285,TBModulesIndicators,2,FALSE)</f>
        <v>Please select…</v>
      </c>
      <c r="C286" s="373"/>
      <c r="D286" s="373"/>
      <c r="E286" s="373"/>
      <c r="F286" s="373"/>
    </row>
    <row r="287" spans="1:6" ht="17.5" customHeight="1" x14ac:dyDescent="0.3">
      <c r="A287" s="351" t="str">
        <f ca="1">TranslationsHIV!$A$24</f>
        <v>Current national coverage</v>
      </c>
      <c r="B287" s="352"/>
      <c r="C287" s="352"/>
      <c r="D287" s="352"/>
      <c r="E287" s="352"/>
      <c r="F287" s="213"/>
    </row>
    <row r="288" spans="1:6" ht="45" customHeight="1" x14ac:dyDescent="0.3">
      <c r="A288" s="131" t="str">
        <f ca="1">TranslationsHIV!$A$25</f>
        <v>Insert latest results</v>
      </c>
      <c r="B288" s="24"/>
      <c r="C288" s="155" t="str">
        <f ca="1">TranslationsHIV!$A$26</f>
        <v>Year</v>
      </c>
      <c r="D288" s="215"/>
      <c r="E288" s="155" t="str">
        <f ca="1">TranslationsHIV!$A$27</f>
        <v>Data source</v>
      </c>
      <c r="F288" s="216"/>
    </row>
    <row r="289" spans="1:6" ht="45" customHeight="1" x14ac:dyDescent="0.3">
      <c r="A289" s="133" t="str">
        <f ca="1">TranslationsHIV!$A$28</f>
        <v>Comments</v>
      </c>
      <c r="B289" s="399"/>
      <c r="C289" s="400"/>
      <c r="D289" s="400"/>
      <c r="E289" s="400"/>
      <c r="F289" s="400"/>
    </row>
    <row r="290" spans="1:6" ht="40" customHeight="1" x14ac:dyDescent="0.3">
      <c r="A290" s="193"/>
      <c r="B290" s="218"/>
      <c r="C290" s="191" t="str">
        <f ca="1">TranslationsHIV!$A$29</f>
        <v>Year 1</v>
      </c>
      <c r="D290" s="130" t="str">
        <f ca="1">TranslationsHIV!$A$30</f>
        <v>Year 2</v>
      </c>
      <c r="E290" s="130" t="str">
        <f ca="1">TranslationsHIV!$A$31</f>
        <v>Year 3</v>
      </c>
      <c r="F290" s="401" t="str">
        <f ca="1">TranslationsHIV!$A$34</f>
        <v>Comments / Assumptions</v>
      </c>
    </row>
    <row r="291" spans="1:6" ht="40" customHeight="1" x14ac:dyDescent="0.3">
      <c r="A291" s="194"/>
      <c r="B291" s="219"/>
      <c r="C291" s="192" t="str">
        <f ca="1">TranslationsTB!$A$22</f>
        <v>Insert year</v>
      </c>
      <c r="D291" s="19" t="str">
        <f ca="1">TranslationsTB!$A$22</f>
        <v>Insert year</v>
      </c>
      <c r="E291" s="19" t="str">
        <f ca="1">TranslationsTB!$A$22</f>
        <v>Insert year</v>
      </c>
      <c r="F291" s="401"/>
    </row>
    <row r="292" spans="1:6" ht="17.5" customHeight="1" x14ac:dyDescent="0.3">
      <c r="A292" s="353" t="str">
        <f ca="1">TranslationsHIV!$A$35</f>
        <v>Current estimated country need</v>
      </c>
      <c r="B292" s="354"/>
      <c r="C292" s="352"/>
      <c r="D292" s="352"/>
      <c r="E292" s="352"/>
      <c r="F292" s="213"/>
    </row>
    <row r="293" spans="1:6" ht="45" customHeight="1" x14ac:dyDescent="0.3">
      <c r="A293" s="131" t="str">
        <f ca="1">TranslationsTB!$A$25</f>
        <v>A. Total estimated population in need/at risk</v>
      </c>
      <c r="B293" s="195" t="s">
        <v>8</v>
      </c>
      <c r="C293" s="174"/>
      <c r="D293" s="174"/>
      <c r="E293" s="174"/>
      <c r="F293" s="216"/>
    </row>
    <row r="294" spans="1:6" ht="45" customHeight="1" x14ac:dyDescent="0.3">
      <c r="A294" s="402" t="str">
        <f ca="1">TranslationsTB!$A$26</f>
        <v>B. Country targets 
(from National Strategic Plan)</v>
      </c>
      <c r="B294" s="195" t="s">
        <v>8</v>
      </c>
      <c r="C294" s="309"/>
      <c r="D294" s="174"/>
      <c r="E294" s="174"/>
      <c r="F294" s="216"/>
    </row>
    <row r="295" spans="1:6" ht="45" customHeight="1" x14ac:dyDescent="0.3">
      <c r="A295" s="402"/>
      <c r="B295" s="195" t="s">
        <v>9</v>
      </c>
      <c r="C295" s="175" t="str">
        <f>IF(C294=0,"",+C294/C293)</f>
        <v/>
      </c>
      <c r="D295" s="175" t="str">
        <f t="shared" ref="D295:E295" si="115">IF(D294=0,"",+D294/D293)</f>
        <v/>
      </c>
      <c r="E295" s="175" t="str">
        <f t="shared" si="115"/>
        <v/>
      </c>
      <c r="F295" s="216"/>
    </row>
    <row r="296" spans="1:6" ht="17.5" customHeight="1" x14ac:dyDescent="0.3">
      <c r="A296" s="351" t="str">
        <f ca="1">TranslationsHIV!$A$54</f>
        <v>Country target already covered</v>
      </c>
      <c r="B296" s="352"/>
      <c r="C296" s="352"/>
      <c r="D296" s="352"/>
      <c r="E296" s="352"/>
      <c r="F296" s="213"/>
    </row>
    <row r="297" spans="1:6" ht="45" customHeight="1" x14ac:dyDescent="0.3">
      <c r="A297" s="405" t="str">
        <f ca="1">TranslationsHIV!$A$55</f>
        <v>C1. Country need planned to be covered by domestic resources</v>
      </c>
      <c r="B297" s="195" t="s">
        <v>8</v>
      </c>
      <c r="C297" s="170"/>
      <c r="D297" s="170"/>
      <c r="E297" s="170"/>
      <c r="F297" s="216"/>
    </row>
    <row r="298" spans="1:6" ht="45" customHeight="1" x14ac:dyDescent="0.3">
      <c r="A298" s="405"/>
      <c r="B298" s="195" t="s">
        <v>9</v>
      </c>
      <c r="C298" s="175" t="str">
        <f>IF(C297=0,"",(C297/C293))</f>
        <v/>
      </c>
      <c r="D298" s="175" t="str">
        <f t="shared" ref="D298:E298" si="116">IF(D297=0,"",(D297/D293))</f>
        <v/>
      </c>
      <c r="E298" s="175" t="str">
        <f t="shared" si="116"/>
        <v/>
      </c>
      <c r="F298" s="216"/>
    </row>
    <row r="299" spans="1:6" ht="45" customHeight="1" x14ac:dyDescent="0.3">
      <c r="A299" s="405" t="str">
        <f ca="1">TranslationsHIV!$A$56</f>
        <v>C2. Country need planned to be covered by external resources</v>
      </c>
      <c r="B299" s="195" t="s">
        <v>8</v>
      </c>
      <c r="C299" s="170"/>
      <c r="D299" s="176"/>
      <c r="E299" s="176"/>
      <c r="F299" s="216"/>
    </row>
    <row r="300" spans="1:6" ht="45" customHeight="1" x14ac:dyDescent="0.3">
      <c r="A300" s="405"/>
      <c r="B300" s="195" t="s">
        <v>9</v>
      </c>
      <c r="C300" s="175" t="str">
        <f>IF(C299=0,"",+C299/C293)</f>
        <v/>
      </c>
      <c r="D300" s="175" t="str">
        <f t="shared" ref="D300:E300" si="117">IF(D299=0,"",+D299/D293)</f>
        <v/>
      </c>
      <c r="E300" s="175" t="str">
        <f t="shared" si="117"/>
        <v/>
      </c>
      <c r="F300" s="216"/>
    </row>
    <row r="301" spans="1:6" ht="45" customHeight="1" x14ac:dyDescent="0.3">
      <c r="A301" s="405" t="str">
        <f ca="1">TranslationsHIV!$A$57</f>
        <v>C3. Total country need already covered</v>
      </c>
      <c r="B301" s="195" t="s">
        <v>8</v>
      </c>
      <c r="C301" s="177">
        <f>C297+(C299)</f>
        <v>0</v>
      </c>
      <c r="D301" s="177">
        <f>D297+(D299)</f>
        <v>0</v>
      </c>
      <c r="E301" s="177">
        <f>E297+(E299)</f>
        <v>0</v>
      </c>
      <c r="F301" s="216"/>
    </row>
    <row r="302" spans="1:6" ht="45" customHeight="1" x14ac:dyDescent="0.3">
      <c r="A302" s="405"/>
      <c r="B302" s="195" t="s">
        <v>9</v>
      </c>
      <c r="C302" s="175" t="str">
        <f>IF(C301=0,"",C301/C293)</f>
        <v/>
      </c>
      <c r="D302" s="175" t="str">
        <f t="shared" ref="D302:E302" si="118">IF(D301=0,"",D301/D293)</f>
        <v/>
      </c>
      <c r="E302" s="175" t="str">
        <f t="shared" si="118"/>
        <v/>
      </c>
      <c r="F302" s="216"/>
    </row>
    <row r="303" spans="1:6" ht="17.5" customHeight="1" x14ac:dyDescent="0.3">
      <c r="A303" s="351" t="str">
        <f ca="1">TranslationsHIV!$A$42</f>
        <v>Programmatic gap</v>
      </c>
      <c r="B303" s="352"/>
      <c r="C303" s="352"/>
      <c r="D303" s="352"/>
      <c r="E303" s="352"/>
      <c r="F303" s="213"/>
    </row>
    <row r="304" spans="1:6" ht="45" customHeight="1" x14ac:dyDescent="0.3">
      <c r="A304" s="404" t="str">
        <f ca="1">TranslationsTB!$A$32</f>
        <v>D. Expected annual gap in meeting the need: A - C3</v>
      </c>
      <c r="B304" s="195" t="s">
        <v>8</v>
      </c>
      <c r="C304" s="178">
        <f>C293-C301</f>
        <v>0</v>
      </c>
      <c r="D304" s="178">
        <f t="shared" ref="D304:E304" si="119">D293-D301</f>
        <v>0</v>
      </c>
      <c r="E304" s="178">
        <f t="shared" si="119"/>
        <v>0</v>
      </c>
      <c r="F304" s="403"/>
    </row>
    <row r="305" spans="1:6" ht="45" customHeight="1" x14ac:dyDescent="0.3">
      <c r="A305" s="404"/>
      <c r="B305" s="195" t="s">
        <v>9</v>
      </c>
      <c r="C305" s="175" t="str">
        <f>IF(C304=0,"",+C304/C293)</f>
        <v/>
      </c>
      <c r="D305" s="175" t="str">
        <f t="shared" ref="D305:E305" si="120">IF(D304=0,"",+D304/D293)</f>
        <v/>
      </c>
      <c r="E305" s="175" t="str">
        <f t="shared" si="120"/>
        <v/>
      </c>
      <c r="F305" s="403"/>
    </row>
    <row r="306" spans="1:6" ht="17.5" customHeight="1" x14ac:dyDescent="0.3">
      <c r="A306" s="351" t="str">
        <f ca="1">TranslationsHIV!$A$59</f>
        <v>Country target covered with the allocation amount</v>
      </c>
      <c r="B306" s="352"/>
      <c r="C306" s="352"/>
      <c r="D306" s="352"/>
      <c r="E306" s="352"/>
      <c r="F306" s="213"/>
    </row>
    <row r="307" spans="1:6" ht="45" customHeight="1" x14ac:dyDescent="0.3">
      <c r="A307" s="404" t="str">
        <f ca="1">TranslationsTB!$A$34</f>
        <v>E. Targets to be financed by funding request allocation amount</v>
      </c>
      <c r="B307" s="195" t="s">
        <v>8</v>
      </c>
      <c r="C307" s="170"/>
      <c r="D307" s="170"/>
      <c r="E307" s="170"/>
      <c r="F307" s="403"/>
    </row>
    <row r="308" spans="1:6" ht="45" customHeight="1" x14ac:dyDescent="0.3">
      <c r="A308" s="404"/>
      <c r="B308" s="195" t="s">
        <v>9</v>
      </c>
      <c r="C308" s="175" t="str">
        <f>IF(C307=0,"",+C307/C293)</f>
        <v/>
      </c>
      <c r="D308" s="175" t="str">
        <f t="shared" ref="D308:E308" si="121">IF(D307=0,"",+D307/D293)</f>
        <v/>
      </c>
      <c r="E308" s="175" t="str">
        <f t="shared" si="121"/>
        <v/>
      </c>
      <c r="F308" s="403"/>
    </row>
    <row r="309" spans="1:6" ht="45" customHeight="1" x14ac:dyDescent="0.3">
      <c r="A309" s="404" t="str">
        <f ca="1">TranslationsTB!$A$35</f>
        <v>F. Total coverage from allocation amount and other resources: E + C3</v>
      </c>
      <c r="B309" s="195" t="s">
        <v>8</v>
      </c>
      <c r="C309" s="178">
        <f>IF(C307="",C301,C307+C301)</f>
        <v>0</v>
      </c>
      <c r="D309" s="178">
        <f t="shared" ref="D309:E309" si="122">IF(D307="",D301,D307+D301)</f>
        <v>0</v>
      </c>
      <c r="E309" s="178">
        <f t="shared" si="122"/>
        <v>0</v>
      </c>
      <c r="F309" s="403"/>
    </row>
    <row r="310" spans="1:6" ht="45" customHeight="1" x14ac:dyDescent="0.3">
      <c r="A310" s="404"/>
      <c r="B310" s="195" t="s">
        <v>9</v>
      </c>
      <c r="C310" s="175" t="str">
        <f>IF(C309=0,"",+C309/C293)</f>
        <v/>
      </c>
      <c r="D310" s="175" t="str">
        <f t="shared" ref="D310" si="123">IF(D309=0,"",+D309/D293)</f>
        <v/>
      </c>
      <c r="E310" s="175" t="str">
        <f t="shared" ref="E310" si="124">IF(E309=0,"",+E309/E293)</f>
        <v/>
      </c>
      <c r="F310" s="403"/>
    </row>
    <row r="311" spans="1:6" ht="45" customHeight="1" x14ac:dyDescent="0.3">
      <c r="A311" s="402" t="str">
        <f ca="1">TranslationsTB!$A$36</f>
        <v xml:space="preserve">G. Remaining gap: A - F </v>
      </c>
      <c r="B311" s="195" t="s">
        <v>8</v>
      </c>
      <c r="C311" s="171">
        <f>IF(C309="",C293,C293-C309)</f>
        <v>0</v>
      </c>
      <c r="D311" s="171">
        <f t="shared" ref="D311:E311" si="125">IF(D309="",D293,D293-D309)</f>
        <v>0</v>
      </c>
      <c r="E311" s="171">
        <f t="shared" si="125"/>
        <v>0</v>
      </c>
      <c r="F311" s="403"/>
    </row>
    <row r="312" spans="1:6" ht="45" customHeight="1" x14ac:dyDescent="0.3">
      <c r="A312" s="402"/>
      <c r="B312" s="195" t="s">
        <v>9</v>
      </c>
      <c r="C312" s="175" t="str">
        <f>IF(C311=0,"",+C311/C293)</f>
        <v/>
      </c>
      <c r="D312" s="175" t="str">
        <f t="shared" ref="D312" si="126">IF(D311=0,"",+D311/D293)</f>
        <v/>
      </c>
      <c r="E312" s="175" t="str">
        <f t="shared" ref="E312" si="127">IF(E311=0,"",+E311/E293)</f>
        <v/>
      </c>
      <c r="F312" s="403"/>
    </row>
    <row r="313" spans="1:6" x14ac:dyDescent="0.3">
      <c r="A313" s="392"/>
      <c r="B313" s="393"/>
      <c r="C313" s="393"/>
      <c r="D313" s="393"/>
      <c r="E313" s="393"/>
      <c r="F313" s="394"/>
    </row>
    <row r="314" spans="1:6" x14ac:dyDescent="0.3">
      <c r="A314" s="395"/>
      <c r="B314" s="396"/>
      <c r="C314" s="396"/>
      <c r="D314" s="396"/>
      <c r="E314" s="396"/>
      <c r="F314" s="397"/>
    </row>
    <row r="315" spans="1:6" s="126" customFormat="1" ht="30" customHeight="1" x14ac:dyDescent="0.8">
      <c r="A315" s="127" t="str">
        <f ca="1">TranslationsTB!$A$47</f>
        <v xml:space="preserve">TB Programmatic Gap Table 11 </v>
      </c>
      <c r="B315" s="128"/>
      <c r="C315" s="184"/>
      <c r="D315" s="184"/>
      <c r="E315" s="184"/>
      <c r="F315" s="128"/>
    </row>
    <row r="316" spans="1:6" ht="45" customHeight="1" x14ac:dyDescent="0.3">
      <c r="A316" s="129" t="str">
        <f ca="1">TranslationsHIV!$A$21</f>
        <v>Priority Module</v>
      </c>
      <c r="B316" s="398" t="s">
        <v>2</v>
      </c>
      <c r="C316" s="398"/>
      <c r="D316" s="398"/>
      <c r="E316" s="398"/>
      <c r="F316" s="398"/>
    </row>
    <row r="317" spans="1:6" ht="45" customHeight="1" x14ac:dyDescent="0.3">
      <c r="A317" s="129" t="str">
        <f ca="1">TranslationsHIV!$A$22</f>
        <v>Selected coverage indicator</v>
      </c>
      <c r="B317" s="373" t="str">
        <f ca="1">VLOOKUP(B316,TBModulesIndicators,2,FALSE)</f>
        <v>Please select…</v>
      </c>
      <c r="C317" s="373"/>
      <c r="D317" s="373"/>
      <c r="E317" s="373"/>
      <c r="F317" s="373"/>
    </row>
    <row r="318" spans="1:6" ht="17.5" customHeight="1" x14ac:dyDescent="0.3">
      <c r="A318" s="136" t="str">
        <f ca="1">TranslationsHIV!$A$24</f>
        <v>Current national coverage</v>
      </c>
      <c r="B318" s="137"/>
      <c r="C318" s="185"/>
      <c r="D318" s="185"/>
      <c r="E318" s="185"/>
      <c r="F318" s="137"/>
    </row>
    <row r="319" spans="1:6" ht="45" customHeight="1" x14ac:dyDescent="0.3">
      <c r="A319" s="131" t="str">
        <f ca="1">TranslationsHIV!$A$25</f>
        <v>Insert latest results</v>
      </c>
      <c r="B319" s="24"/>
      <c r="C319" s="155" t="str">
        <f ca="1">TranslationsHIV!$A$26</f>
        <v>Year</v>
      </c>
      <c r="D319" s="215"/>
      <c r="E319" s="155" t="str">
        <f ca="1">TranslationsHIV!$A$27</f>
        <v>Data source</v>
      </c>
      <c r="F319" s="216"/>
    </row>
    <row r="320" spans="1:6" ht="45" customHeight="1" x14ac:dyDescent="0.3">
      <c r="A320" s="133" t="str">
        <f ca="1">TranslationsHIV!$A$28</f>
        <v>Comments</v>
      </c>
      <c r="B320" s="399"/>
      <c r="C320" s="400"/>
      <c r="D320" s="400"/>
      <c r="E320" s="400"/>
      <c r="F320" s="400"/>
    </row>
    <row r="321" spans="1:6" ht="45" customHeight="1" x14ac:dyDescent="0.3">
      <c r="A321" s="193"/>
      <c r="B321" s="218"/>
      <c r="C321" s="191" t="str">
        <f ca="1">TranslationsHIV!$A$29</f>
        <v>Year 1</v>
      </c>
      <c r="D321" s="130" t="str">
        <f ca="1">TranslationsHIV!$A$30</f>
        <v>Year 2</v>
      </c>
      <c r="E321" s="130" t="str">
        <f ca="1">TranslationsHIV!$A$31</f>
        <v>Year 3</v>
      </c>
      <c r="F321" s="401" t="str">
        <f ca="1">TranslationsHIV!$A$34</f>
        <v>Comments / Assumptions</v>
      </c>
    </row>
    <row r="322" spans="1:6" ht="45" customHeight="1" x14ac:dyDescent="0.3">
      <c r="A322" s="194"/>
      <c r="B322" s="219"/>
      <c r="C322" s="192" t="str">
        <f ca="1">TranslationsTB!$A$22</f>
        <v>Insert year</v>
      </c>
      <c r="D322" s="19" t="str">
        <f ca="1">TranslationsTB!$A$22</f>
        <v>Insert year</v>
      </c>
      <c r="E322" s="19" t="str">
        <f ca="1">TranslationsTB!$A$22</f>
        <v>Insert year</v>
      </c>
      <c r="F322" s="401"/>
    </row>
    <row r="323" spans="1:6" ht="17.5" customHeight="1" x14ac:dyDescent="0.3">
      <c r="A323" s="353" t="str">
        <f ca="1">TranslationsHIV!$A$35</f>
        <v>Current estimated country need</v>
      </c>
      <c r="B323" s="354"/>
      <c r="C323" s="352"/>
      <c r="D323" s="352"/>
      <c r="E323" s="352"/>
      <c r="F323" s="213"/>
    </row>
    <row r="324" spans="1:6" ht="45" customHeight="1" x14ac:dyDescent="0.3">
      <c r="A324" s="131" t="str">
        <f ca="1">TranslationsTB!$A$25</f>
        <v>A. Total estimated population in need/at risk</v>
      </c>
      <c r="B324" s="195" t="s">
        <v>8</v>
      </c>
      <c r="C324" s="174"/>
      <c r="D324" s="174"/>
      <c r="E324" s="174"/>
      <c r="F324" s="216"/>
    </row>
    <row r="325" spans="1:6" ht="45" customHeight="1" x14ac:dyDescent="0.3">
      <c r="A325" s="402" t="str">
        <f ca="1">TranslationsTB!$A$26</f>
        <v>B. Country targets 
(from National Strategic Plan)</v>
      </c>
      <c r="B325" s="195" t="s">
        <v>8</v>
      </c>
      <c r="C325" s="309"/>
      <c r="D325" s="174"/>
      <c r="E325" s="174"/>
      <c r="F325" s="216"/>
    </row>
    <row r="326" spans="1:6" ht="45" customHeight="1" x14ac:dyDescent="0.3">
      <c r="A326" s="402"/>
      <c r="B326" s="195" t="s">
        <v>9</v>
      </c>
      <c r="C326" s="175" t="str">
        <f>IF(C325=0,"",+C325/C324)</f>
        <v/>
      </c>
      <c r="D326" s="175" t="str">
        <f t="shared" ref="D326:E326" si="128">IF(D325=0,"",+D325/D324)</f>
        <v/>
      </c>
      <c r="E326" s="175" t="str">
        <f t="shared" si="128"/>
        <v/>
      </c>
      <c r="F326" s="216"/>
    </row>
    <row r="327" spans="1:6" ht="17.5" customHeight="1" x14ac:dyDescent="0.3">
      <c r="A327" s="351" t="str">
        <f ca="1">TranslationsHIV!$A$54</f>
        <v>Country target already covered</v>
      </c>
      <c r="B327" s="352"/>
      <c r="C327" s="352"/>
      <c r="D327" s="352"/>
      <c r="E327" s="352"/>
      <c r="F327" s="213"/>
    </row>
    <row r="328" spans="1:6" ht="45" customHeight="1" x14ac:dyDescent="0.3">
      <c r="A328" s="405" t="str">
        <f ca="1">TranslationsHIV!$A$55</f>
        <v>C1. Country need planned to be covered by domestic resources</v>
      </c>
      <c r="B328" s="195" t="s">
        <v>8</v>
      </c>
      <c r="C328" s="170"/>
      <c r="D328" s="170"/>
      <c r="E328" s="170"/>
      <c r="F328" s="216"/>
    </row>
    <row r="329" spans="1:6" ht="45" customHeight="1" x14ac:dyDescent="0.3">
      <c r="A329" s="405"/>
      <c r="B329" s="195" t="s">
        <v>9</v>
      </c>
      <c r="C329" s="175" t="str">
        <f>IF(C328=0,"",(C328/C324))</f>
        <v/>
      </c>
      <c r="D329" s="175" t="str">
        <f t="shared" ref="D329:E329" si="129">IF(D328=0,"",(D328/D324))</f>
        <v/>
      </c>
      <c r="E329" s="175" t="str">
        <f t="shared" si="129"/>
        <v/>
      </c>
      <c r="F329" s="216"/>
    </row>
    <row r="330" spans="1:6" ht="45" customHeight="1" x14ac:dyDescent="0.3">
      <c r="A330" s="405" t="str">
        <f ca="1">TranslationsHIV!$A$56</f>
        <v>C2. Country need planned to be covered by external resources</v>
      </c>
      <c r="B330" s="195" t="s">
        <v>8</v>
      </c>
      <c r="C330" s="170"/>
      <c r="D330" s="176"/>
      <c r="E330" s="176"/>
      <c r="F330" s="216"/>
    </row>
    <row r="331" spans="1:6" ht="45" customHeight="1" x14ac:dyDescent="0.3">
      <c r="A331" s="405"/>
      <c r="B331" s="195" t="s">
        <v>9</v>
      </c>
      <c r="C331" s="175" t="str">
        <f>IF(C330=0,"",+C330/C324)</f>
        <v/>
      </c>
      <c r="D331" s="175" t="str">
        <f t="shared" ref="D331:E331" si="130">IF(D330=0,"",+D330/D324)</f>
        <v/>
      </c>
      <c r="E331" s="175" t="str">
        <f t="shared" si="130"/>
        <v/>
      </c>
      <c r="F331" s="216"/>
    </row>
    <row r="332" spans="1:6" ht="45" customHeight="1" x14ac:dyDescent="0.3">
      <c r="A332" s="405" t="str">
        <f ca="1">TranslationsHIV!$A$57</f>
        <v>C3. Total country need already covered</v>
      </c>
      <c r="B332" s="195" t="s">
        <v>8</v>
      </c>
      <c r="C332" s="177">
        <f>C328+(C330)</f>
        <v>0</v>
      </c>
      <c r="D332" s="177">
        <f>D328+(D330)</f>
        <v>0</v>
      </c>
      <c r="E332" s="177">
        <f>E328+(E330)</f>
        <v>0</v>
      </c>
      <c r="F332" s="216"/>
    </row>
    <row r="333" spans="1:6" ht="45" customHeight="1" x14ac:dyDescent="0.3">
      <c r="A333" s="405"/>
      <c r="B333" s="195" t="s">
        <v>9</v>
      </c>
      <c r="C333" s="175" t="str">
        <f>IF(C332=0,"",C332/C324)</f>
        <v/>
      </c>
      <c r="D333" s="175" t="str">
        <f t="shared" ref="D333:E333" si="131">IF(D332=0,"",D332/D324)</f>
        <v/>
      </c>
      <c r="E333" s="175" t="str">
        <f t="shared" si="131"/>
        <v/>
      </c>
      <c r="F333" s="216"/>
    </row>
    <row r="334" spans="1:6" ht="17.5" customHeight="1" x14ac:dyDescent="0.3">
      <c r="A334" s="351" t="str">
        <f ca="1">TranslationsHIV!$A$42</f>
        <v>Programmatic gap</v>
      </c>
      <c r="B334" s="352"/>
      <c r="C334" s="352"/>
      <c r="D334" s="352"/>
      <c r="E334" s="352"/>
      <c r="F334" s="213"/>
    </row>
    <row r="335" spans="1:6" ht="45" customHeight="1" x14ac:dyDescent="0.3">
      <c r="A335" s="404" t="str">
        <f ca="1">TranslationsTB!$A$32</f>
        <v>D. Expected annual gap in meeting the need: A - C3</v>
      </c>
      <c r="B335" s="195" t="s">
        <v>8</v>
      </c>
      <c r="C335" s="178">
        <f>C324-C332</f>
        <v>0</v>
      </c>
      <c r="D335" s="178">
        <f t="shared" ref="D335:E335" si="132">D324-D332</f>
        <v>0</v>
      </c>
      <c r="E335" s="178">
        <f t="shared" si="132"/>
        <v>0</v>
      </c>
      <c r="F335" s="403"/>
    </row>
    <row r="336" spans="1:6" ht="45" customHeight="1" x14ac:dyDescent="0.3">
      <c r="A336" s="404"/>
      <c r="B336" s="195" t="s">
        <v>9</v>
      </c>
      <c r="C336" s="175" t="str">
        <f>IF(C335=0,"",+C335/C324)</f>
        <v/>
      </c>
      <c r="D336" s="175" t="str">
        <f t="shared" ref="D336:E336" si="133">IF(D335=0,"",+D335/D324)</f>
        <v/>
      </c>
      <c r="E336" s="175" t="str">
        <f t="shared" si="133"/>
        <v/>
      </c>
      <c r="F336" s="403"/>
    </row>
    <row r="337" spans="1:6" ht="17.5" customHeight="1" x14ac:dyDescent="0.3">
      <c r="A337" s="351" t="str">
        <f ca="1">TranslationsHIV!$A$59</f>
        <v>Country target covered with the allocation amount</v>
      </c>
      <c r="B337" s="352"/>
      <c r="C337" s="352"/>
      <c r="D337" s="352"/>
      <c r="E337" s="352"/>
      <c r="F337" s="213"/>
    </row>
    <row r="338" spans="1:6" ht="45" customHeight="1" x14ac:dyDescent="0.3">
      <c r="A338" s="404" t="str">
        <f ca="1">TranslationsTB!$A$34</f>
        <v>E. Targets to be financed by funding request allocation amount</v>
      </c>
      <c r="B338" s="195" t="s">
        <v>8</v>
      </c>
      <c r="C338" s="170"/>
      <c r="D338" s="170"/>
      <c r="E338" s="170"/>
      <c r="F338" s="403"/>
    </row>
    <row r="339" spans="1:6" ht="45" customHeight="1" x14ac:dyDescent="0.3">
      <c r="A339" s="404"/>
      <c r="B339" s="195" t="s">
        <v>9</v>
      </c>
      <c r="C339" s="175" t="str">
        <f>IF(C338=0,"",+C338/C324)</f>
        <v/>
      </c>
      <c r="D339" s="175" t="str">
        <f t="shared" ref="D339:E339" si="134">IF(D338=0,"",+D338/D324)</f>
        <v/>
      </c>
      <c r="E339" s="175" t="str">
        <f t="shared" si="134"/>
        <v/>
      </c>
      <c r="F339" s="403"/>
    </row>
    <row r="340" spans="1:6" ht="45" customHeight="1" x14ac:dyDescent="0.3">
      <c r="A340" s="404" t="str">
        <f ca="1">TranslationsTB!$A$35</f>
        <v>F. Total coverage from allocation amount and other resources: E + C3</v>
      </c>
      <c r="B340" s="195" t="s">
        <v>8</v>
      </c>
      <c r="C340" s="178">
        <f>IF(C338="",C332,C338+C332)</f>
        <v>0</v>
      </c>
      <c r="D340" s="178">
        <f t="shared" ref="D340:E340" si="135">IF(D338="",D332,D338+D332)</f>
        <v>0</v>
      </c>
      <c r="E340" s="178">
        <f t="shared" si="135"/>
        <v>0</v>
      </c>
      <c r="F340" s="403"/>
    </row>
    <row r="341" spans="1:6" ht="45" customHeight="1" x14ac:dyDescent="0.3">
      <c r="A341" s="404"/>
      <c r="B341" s="195" t="s">
        <v>9</v>
      </c>
      <c r="C341" s="175" t="str">
        <f>IF(C340=0,"",+C340/C324)</f>
        <v/>
      </c>
      <c r="D341" s="175" t="str">
        <f t="shared" ref="D341" si="136">IF(D340=0,"",+D340/D324)</f>
        <v/>
      </c>
      <c r="E341" s="175" t="str">
        <f t="shared" ref="E341" si="137">IF(E340=0,"",+E340/E324)</f>
        <v/>
      </c>
      <c r="F341" s="403"/>
    </row>
    <row r="342" spans="1:6" ht="45" customHeight="1" x14ac:dyDescent="0.3">
      <c r="A342" s="402" t="str">
        <f ca="1">TranslationsTB!$A$36</f>
        <v xml:space="preserve">G. Remaining gap: A - F </v>
      </c>
      <c r="B342" s="195" t="s">
        <v>8</v>
      </c>
      <c r="C342" s="171">
        <f>IF(C340="",C324,C324-C340)</f>
        <v>0</v>
      </c>
      <c r="D342" s="171">
        <f t="shared" ref="D342:E342" si="138">IF(D340="",D324,D324-D340)</f>
        <v>0</v>
      </c>
      <c r="E342" s="171">
        <f t="shared" si="138"/>
        <v>0</v>
      </c>
      <c r="F342" s="403"/>
    </row>
    <row r="343" spans="1:6" ht="45" customHeight="1" x14ac:dyDescent="0.3">
      <c r="A343" s="402"/>
      <c r="B343" s="195" t="s">
        <v>9</v>
      </c>
      <c r="C343" s="175" t="str">
        <f>IF(C342=0,"",+C342/C324)</f>
        <v/>
      </c>
      <c r="D343" s="175" t="str">
        <f t="shared" ref="D343" si="139">IF(D342=0,"",+D342/D324)</f>
        <v/>
      </c>
      <c r="E343" s="175" t="str">
        <f t="shared" ref="E343" si="140">IF(E342=0,"",+E342/E324)</f>
        <v/>
      </c>
      <c r="F343" s="403"/>
    </row>
    <row r="344" spans="1:6" x14ac:dyDescent="0.3">
      <c r="A344" s="424" t="s">
        <v>10</v>
      </c>
      <c r="B344" s="424"/>
      <c r="C344" s="424"/>
      <c r="D344" s="424"/>
      <c r="E344" s="424"/>
      <c r="F344" s="424"/>
    </row>
    <row r="345" spans="1:6" x14ac:dyDescent="0.3">
      <c r="A345" s="424"/>
      <c r="B345" s="424"/>
      <c r="C345" s="424"/>
      <c r="D345" s="424"/>
      <c r="E345" s="424"/>
      <c r="F345" s="424"/>
    </row>
    <row r="346" spans="1:6" x14ac:dyDescent="0.3">
      <c r="A346" s="424"/>
      <c r="B346" s="424"/>
      <c r="C346" s="424"/>
      <c r="D346" s="424"/>
      <c r="E346" s="424"/>
      <c r="F346" s="424"/>
    </row>
    <row r="347" spans="1:6" x14ac:dyDescent="0.3">
      <c r="A347" s="424"/>
      <c r="B347" s="424"/>
      <c r="C347" s="424"/>
      <c r="D347" s="424"/>
      <c r="E347" s="424"/>
      <c r="F347" s="424"/>
    </row>
    <row r="348" spans="1:6" x14ac:dyDescent="0.3">
      <c r="A348" s="424"/>
      <c r="B348" s="424"/>
      <c r="C348" s="424"/>
      <c r="D348" s="424"/>
      <c r="E348" s="424"/>
      <c r="F348" s="424"/>
    </row>
    <row r="349" spans="1:6" x14ac:dyDescent="0.3">
      <c r="A349" s="424"/>
      <c r="B349" s="424"/>
      <c r="C349" s="424"/>
      <c r="D349" s="424"/>
      <c r="E349" s="424"/>
      <c r="F349" s="424"/>
    </row>
    <row r="350" spans="1:6" x14ac:dyDescent="0.3">
      <c r="A350" s="424"/>
      <c r="B350" s="424"/>
      <c r="C350" s="424"/>
      <c r="D350" s="424"/>
      <c r="E350" s="424"/>
      <c r="F350" s="424"/>
    </row>
    <row r="351" spans="1:6" x14ac:dyDescent="0.3">
      <c r="A351" s="424"/>
      <c r="B351" s="424"/>
      <c r="C351" s="424"/>
      <c r="D351" s="424"/>
      <c r="E351" s="424"/>
      <c r="F351" s="424"/>
    </row>
    <row r="352" spans="1:6" x14ac:dyDescent="0.3">
      <c r="A352" s="424"/>
      <c r="B352" s="424"/>
      <c r="C352" s="424"/>
      <c r="D352" s="424"/>
      <c r="E352" s="424"/>
      <c r="F352" s="424"/>
    </row>
    <row r="353" spans="1:6" x14ac:dyDescent="0.3">
      <c r="A353" s="424"/>
      <c r="B353" s="424"/>
      <c r="C353" s="424"/>
      <c r="D353" s="424"/>
      <c r="E353" s="424"/>
      <c r="F353" s="424"/>
    </row>
    <row r="354" spans="1:6" x14ac:dyDescent="0.3">
      <c r="A354" s="424"/>
      <c r="B354" s="424"/>
      <c r="C354" s="424"/>
      <c r="D354" s="424"/>
      <c r="E354" s="424"/>
      <c r="F354" s="424"/>
    </row>
  </sheetData>
  <sheetProtection algorithmName="SHA-512" hashValue="pFCPS+n054uKGUddIzJwQiG1eNTxM585oS+aLNubgzn2DHLvAG8P2DGhfP2r28nhLcDvEns0sTCki+6jhoqWRQ==" saltValue="UCu3JxW02vXENZJ9AfVdbA==" spinCount="100000" sheet="1" formatColumns="0" formatRows="0"/>
  <mergeCells count="197">
    <mergeCell ref="A344:F354"/>
    <mergeCell ref="A22:A23"/>
    <mergeCell ref="A25:A26"/>
    <mergeCell ref="F25:F26"/>
    <mergeCell ref="A28:A29"/>
    <mergeCell ref="F28:F29"/>
    <mergeCell ref="A30:A31"/>
    <mergeCell ref="F30:F31"/>
    <mergeCell ref="A92:A93"/>
    <mergeCell ref="F92:F93"/>
    <mergeCell ref="A82:A83"/>
    <mergeCell ref="A84:A85"/>
    <mergeCell ref="B72:F72"/>
    <mergeCell ref="F73:F74"/>
    <mergeCell ref="A56:A57"/>
    <mergeCell ref="F56:F57"/>
    <mergeCell ref="B68:F68"/>
    <mergeCell ref="B69:F69"/>
    <mergeCell ref="A49:A50"/>
    <mergeCell ref="A51:A52"/>
    <mergeCell ref="A53:A54"/>
    <mergeCell ref="A121:A122"/>
    <mergeCell ref="F121:F122"/>
    <mergeCell ref="F90:F91"/>
    <mergeCell ref="A1:E1"/>
    <mergeCell ref="F1:F3"/>
    <mergeCell ref="A2:E2"/>
    <mergeCell ref="A3:E3"/>
    <mergeCell ref="A4:F4"/>
    <mergeCell ref="B6:F6"/>
    <mergeCell ref="A15:A16"/>
    <mergeCell ref="A118:A119"/>
    <mergeCell ref="F118:F119"/>
    <mergeCell ref="A59:A60"/>
    <mergeCell ref="F59:F60"/>
    <mergeCell ref="A115:A116"/>
    <mergeCell ref="A111:A112"/>
    <mergeCell ref="F104:F105"/>
    <mergeCell ref="A108:A109"/>
    <mergeCell ref="A113:A114"/>
    <mergeCell ref="A94:A95"/>
    <mergeCell ref="F94:F95"/>
    <mergeCell ref="B103:F103"/>
    <mergeCell ref="B99:F99"/>
    <mergeCell ref="B100:F100"/>
    <mergeCell ref="A87:A88"/>
    <mergeCell ref="F87:F88"/>
    <mergeCell ref="A90:A91"/>
    <mergeCell ref="A61:A62"/>
    <mergeCell ref="F61:F62"/>
    <mergeCell ref="A63:A64"/>
    <mergeCell ref="F63:F64"/>
    <mergeCell ref="A154:A155"/>
    <mergeCell ref="F154:F155"/>
    <mergeCell ref="A156:A157"/>
    <mergeCell ref="F156:F157"/>
    <mergeCell ref="A160:F160"/>
    <mergeCell ref="A123:A124"/>
    <mergeCell ref="F123:F124"/>
    <mergeCell ref="A125:A126"/>
    <mergeCell ref="F125:F126"/>
    <mergeCell ref="F135:F136"/>
    <mergeCell ref="A139:A140"/>
    <mergeCell ref="A142:A143"/>
    <mergeCell ref="A144:A145"/>
    <mergeCell ref="A146:A147"/>
    <mergeCell ref="A149:A150"/>
    <mergeCell ref="F149:F150"/>
    <mergeCell ref="A152:A153"/>
    <mergeCell ref="F152:F153"/>
    <mergeCell ref="A77:A78"/>
    <mergeCell ref="A80:A81"/>
    <mergeCell ref="A247:A248"/>
    <mergeCell ref="F247:F248"/>
    <mergeCell ref="A249:A250"/>
    <mergeCell ref="F249:F250"/>
    <mergeCell ref="B227:F227"/>
    <mergeCell ref="F228:F229"/>
    <mergeCell ref="A232:A233"/>
    <mergeCell ref="A218:A219"/>
    <mergeCell ref="F218:F219"/>
    <mergeCell ref="B223:F223"/>
    <mergeCell ref="B224:F224"/>
    <mergeCell ref="A235:A236"/>
    <mergeCell ref="A237:A238"/>
    <mergeCell ref="A239:A240"/>
    <mergeCell ref="A242:A243"/>
    <mergeCell ref="F242:F243"/>
    <mergeCell ref="A245:A246"/>
    <mergeCell ref="F245:F246"/>
    <mergeCell ref="A222:F222"/>
    <mergeCell ref="B130:F130"/>
    <mergeCell ref="B131:F131"/>
    <mergeCell ref="B134:F134"/>
    <mergeCell ref="A216:A217"/>
    <mergeCell ref="F216:F217"/>
    <mergeCell ref="A211:A212"/>
    <mergeCell ref="F211:F212"/>
    <mergeCell ref="A208:A209"/>
    <mergeCell ref="A342:A343"/>
    <mergeCell ref="F342:F343"/>
    <mergeCell ref="F321:F322"/>
    <mergeCell ref="A325:A326"/>
    <mergeCell ref="A328:A329"/>
    <mergeCell ref="A330:A331"/>
    <mergeCell ref="A332:A333"/>
    <mergeCell ref="A335:A336"/>
    <mergeCell ref="F335:F336"/>
    <mergeCell ref="A338:A339"/>
    <mergeCell ref="F338:F339"/>
    <mergeCell ref="A340:A341"/>
    <mergeCell ref="F340:F341"/>
    <mergeCell ref="B192:F192"/>
    <mergeCell ref="B193:F193"/>
    <mergeCell ref="B196:F196"/>
    <mergeCell ref="F197:F198"/>
    <mergeCell ref="A201:A202"/>
    <mergeCell ref="A204:A205"/>
    <mergeCell ref="A206:A207"/>
    <mergeCell ref="A214:A215"/>
    <mergeCell ref="F214:F215"/>
    <mergeCell ref="B161:F161"/>
    <mergeCell ref="B162:F162"/>
    <mergeCell ref="B165:F165"/>
    <mergeCell ref="A187:A188"/>
    <mergeCell ref="F187:F188"/>
    <mergeCell ref="A185:A186"/>
    <mergeCell ref="F185:F186"/>
    <mergeCell ref="A177:A178"/>
    <mergeCell ref="A180:A181"/>
    <mergeCell ref="F180:F181"/>
    <mergeCell ref="F166:F167"/>
    <mergeCell ref="A170:A171"/>
    <mergeCell ref="A173:A174"/>
    <mergeCell ref="A175:A176"/>
    <mergeCell ref="A183:A184"/>
    <mergeCell ref="F183:F184"/>
    <mergeCell ref="F307:F308"/>
    <mergeCell ref="A309:A310"/>
    <mergeCell ref="F309:F310"/>
    <mergeCell ref="A311:A312"/>
    <mergeCell ref="F311:F312"/>
    <mergeCell ref="B316:F316"/>
    <mergeCell ref="B317:F317"/>
    <mergeCell ref="B285:F285"/>
    <mergeCell ref="B286:F286"/>
    <mergeCell ref="B289:F289"/>
    <mergeCell ref="F290:F291"/>
    <mergeCell ref="A294:A295"/>
    <mergeCell ref="A297:A298"/>
    <mergeCell ref="A299:A300"/>
    <mergeCell ref="A301:A302"/>
    <mergeCell ref="A304:A305"/>
    <mergeCell ref="A313:F314"/>
    <mergeCell ref="A20:A21"/>
    <mergeCell ref="A191:F191"/>
    <mergeCell ref="A67:F67"/>
    <mergeCell ref="A98:F98"/>
    <mergeCell ref="A129:F129"/>
    <mergeCell ref="A70:F70"/>
    <mergeCell ref="B320:F320"/>
    <mergeCell ref="A36:F36"/>
    <mergeCell ref="A5:F5"/>
    <mergeCell ref="A8:F8"/>
    <mergeCell ref="A13:F13"/>
    <mergeCell ref="B37:F37"/>
    <mergeCell ref="B41:F41"/>
    <mergeCell ref="F42:F43"/>
    <mergeCell ref="B38:F38"/>
    <mergeCell ref="A46:A47"/>
    <mergeCell ref="A32:A33"/>
    <mergeCell ref="F32:F33"/>
    <mergeCell ref="B7:F7"/>
    <mergeCell ref="B10:F10"/>
    <mergeCell ref="F11:F12"/>
    <mergeCell ref="A18:A19"/>
    <mergeCell ref="F304:F305"/>
    <mergeCell ref="A307:A308"/>
    <mergeCell ref="A253:F253"/>
    <mergeCell ref="A282:F283"/>
    <mergeCell ref="B254:F254"/>
    <mergeCell ref="B255:F255"/>
    <mergeCell ref="B258:F258"/>
    <mergeCell ref="F259:F260"/>
    <mergeCell ref="A263:A264"/>
    <mergeCell ref="A280:A281"/>
    <mergeCell ref="F280:F281"/>
    <mergeCell ref="A273:A274"/>
    <mergeCell ref="F273:F274"/>
    <mergeCell ref="A276:A277"/>
    <mergeCell ref="F276:F277"/>
    <mergeCell ref="A266:A267"/>
    <mergeCell ref="A268:A269"/>
    <mergeCell ref="A270:A271"/>
    <mergeCell ref="A278:A279"/>
    <mergeCell ref="F278:F279"/>
    <mergeCell ref="B259:B260"/>
  </mergeCells>
  <pageMargins left="0.7" right="0.7" top="0.75" bottom="0.75" header="0.3" footer="0.3"/>
  <pageSetup paperSize="9" scale="55" orientation="portrait" r:id="rId1"/>
  <rowBreaks count="5" manualBreakCount="5">
    <brk id="183" max="5" man="1"/>
    <brk id="219" max="5" man="1"/>
    <brk id="258" max="5" man="1"/>
    <brk id="283" max="5" man="1"/>
    <brk id="312" max="5" man="1"/>
  </rowBreaks>
  <ignoredErrors>
    <ignoredError sqref="C322:E322 C136:E136 C167:E167 C198:E198 C229:E229 C260:E260 C291:E291" unlockedFormula="1"/>
  </ignoredErrors>
  <extLst>
    <ext xmlns:x14="http://schemas.microsoft.com/office/spreadsheetml/2009/9/main" uri="{CCE6A557-97BC-4b89-ADB6-D9C93CAAB3DF}">
      <x14:dataValidations xmlns:xm="http://schemas.microsoft.com/office/excel/2006/main" count="1">
        <x14:dataValidation type="list" allowBlank="1" showInputMessage="1" showErrorMessage="1" xr:uid="{D7ABEB5C-F042-4AA2-8F09-52D438C72E10}">
          <x14:formula1>
            <xm:f>'TB drop-down'!$A$3:$A$10</xm:f>
          </x14:formula1>
          <xm:sqref>B316:F316 B37:F37 B68:F68 B99:F99 B130:F130 B161:F161 B192:F192 B223:F223 B254:F254 B285:F285 B6:F6</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9">
    <tabColor theme="9" tint="-0.249977111117893"/>
  </sheetPr>
  <dimension ref="A1:L531"/>
  <sheetViews>
    <sheetView topLeftCell="G90" zoomScale="60" zoomScaleNormal="60" workbookViewId="0">
      <selection activeCell="J118" sqref="J118"/>
    </sheetView>
  </sheetViews>
  <sheetFormatPr defaultColWidth="9" defaultRowHeight="14" x14ac:dyDescent="0.3"/>
  <cols>
    <col min="1" max="1" width="19.58203125" style="4" customWidth="1"/>
    <col min="2" max="4" width="50.58203125" style="4" customWidth="1"/>
    <col min="5" max="5" width="46.5" style="4" customWidth="1"/>
    <col min="6" max="6" width="16.08203125" style="10" customWidth="1"/>
    <col min="7" max="7" width="54.83203125" style="4" customWidth="1"/>
    <col min="8" max="10" width="110.08203125" style="4" customWidth="1"/>
    <col min="11" max="11" width="19.58203125" style="4" customWidth="1"/>
    <col min="12" max="16384" width="9" style="4"/>
  </cols>
  <sheetData>
    <row r="1" spans="1:11" x14ac:dyDescent="0.3">
      <c r="A1" s="5" t="s">
        <v>6</v>
      </c>
      <c r="B1" s="6"/>
      <c r="C1" s="6">
        <f>IF(Language="English",0,IF(Language="French",1,IF(Language="Spanish",2,IF(Language="Russian",3))))</f>
        <v>0</v>
      </c>
      <c r="D1" s="6"/>
      <c r="E1" s="6"/>
      <c r="F1" s="9"/>
      <c r="G1" s="4" t="s">
        <v>11</v>
      </c>
      <c r="H1" s="7"/>
      <c r="I1" s="7"/>
      <c r="J1" s="7"/>
      <c r="K1" s="7"/>
    </row>
    <row r="2" spans="1:11" x14ac:dyDescent="0.3">
      <c r="A2" s="5" t="s">
        <v>12</v>
      </c>
      <c r="B2" s="5" t="s">
        <v>7</v>
      </c>
      <c r="C2" s="25" t="s">
        <v>13</v>
      </c>
      <c r="D2" s="25" t="s">
        <v>14</v>
      </c>
      <c r="E2" s="26"/>
      <c r="F2" s="9"/>
      <c r="G2" s="8" t="s">
        <v>12</v>
      </c>
      <c r="H2" s="5" t="s">
        <v>7</v>
      </c>
      <c r="I2" s="25" t="s">
        <v>13</v>
      </c>
      <c r="J2" s="25" t="s">
        <v>14</v>
      </c>
      <c r="K2" s="25"/>
    </row>
    <row r="3" spans="1:11" ht="14.5" x14ac:dyDescent="0.3">
      <c r="A3" s="4" t="str">
        <f t="shared" ref="A3:A35" ca="1" si="0">OFFSET($B3,0,LangOffset,1,1)</f>
        <v>TB/HIV</v>
      </c>
      <c r="B3" s="4" t="s">
        <v>15</v>
      </c>
      <c r="C3" s="4" t="s">
        <v>1558</v>
      </c>
      <c r="D3" s="4" t="s">
        <v>16</v>
      </c>
      <c r="E3" s="54"/>
      <c r="G3" s="4" t="str">
        <f t="shared" ref="G3:G114" ca="1" si="1">OFFSET($H3,0,LangOffset,1,1)</f>
        <v xml:space="preserve">Instructions - HIV Priority Modules </v>
      </c>
      <c r="H3" s="4" t="s">
        <v>17</v>
      </c>
      <c r="I3" s="55" t="s">
        <v>18</v>
      </c>
      <c r="J3" s="54" t="s">
        <v>19</v>
      </c>
      <c r="K3" s="54"/>
    </row>
    <row r="4" spans="1:11" x14ac:dyDescent="0.3">
      <c r="A4" s="4" t="str">
        <f t="shared" ca="1" si="0"/>
        <v xml:space="preserve">HIV/AIDS Programmatic Gap Table 1 </v>
      </c>
      <c r="B4" s="4" t="s">
        <v>1255</v>
      </c>
      <c r="C4" s="54" t="s">
        <v>1256</v>
      </c>
      <c r="D4" s="54" t="s">
        <v>1257</v>
      </c>
      <c r="E4" s="54"/>
      <c r="G4" s="4">
        <f t="shared" ca="1" si="1"/>
        <v>0</v>
      </c>
      <c r="I4" s="54"/>
      <c r="J4" s="54"/>
      <c r="K4" s="54"/>
    </row>
    <row r="5" spans="1:11" ht="353.15" customHeight="1" x14ac:dyDescent="0.3">
      <c r="A5" s="4" t="str">
        <f t="shared" ca="1" si="0"/>
        <v xml:space="preserve">HIV/AIDS Programmatic Gap Table 2 </v>
      </c>
      <c r="B5" s="4" t="s">
        <v>1258</v>
      </c>
      <c r="C5" s="54" t="s">
        <v>1259</v>
      </c>
      <c r="D5" s="54" t="s">
        <v>1260</v>
      </c>
      <c r="E5" s="54"/>
      <c r="G5" s="4" t="str">
        <f t="shared" ca="1" si="1"/>
        <v>Please complete separate programmatic gap tables for 4-6 priority modules in the HIV funding request. The following list specifies possible modules and relevant interventions. Complete tables only for the interventions for which funding is being requested.
For guidance when completing these programmatic gap tables, please refer to the Modular Framework handbook and the Global Fund HIV Information Note, which includes reference to relevant technical guidance documents. 
Priority Modules/Interventions, as per the Modular Framework Handbook:
1. Treatment, care and support    
2. Differentiated HIV Testing Services*
3. TB/HIV **
4. Elimination of vertical transmission of HIV, syphilis and hepatitis B ***
5. Prevention package for key populations and AGYW ****
6.  PrEP *****
7. Condoms *****</v>
      </c>
      <c r="H5" s="53" t="s">
        <v>1355</v>
      </c>
      <c r="I5" s="261" t="s">
        <v>1559</v>
      </c>
      <c r="J5" s="262" t="s">
        <v>1356</v>
      </c>
      <c r="K5" s="54"/>
    </row>
    <row r="6" spans="1:11" ht="409.5" x14ac:dyDescent="0.3">
      <c r="A6" s="4" t="str">
        <f t="shared" ca="1" si="0"/>
        <v xml:space="preserve">HIV/AIDS Programmatic Gap Table 3 </v>
      </c>
      <c r="B6" s="4" t="s">
        <v>1261</v>
      </c>
      <c r="C6" s="54" t="s">
        <v>1262</v>
      </c>
      <c r="D6" s="54" t="s">
        <v>1263</v>
      </c>
      <c r="E6" s="54"/>
      <c r="G6" s="4" t="str">
        <f ca="1">OFFSET($H6,0,LangOffset,1,1)</f>
        <v xml:space="preserve">*Differentiated HIV Testing Services
         -&gt; The HIV Testing gap table should be completed for the two priority key population groups in terms of incidence or number of new infections: men who have sex with men; sex workers; transgender people; people who inject drugs. In addition, the Global Fund AGYW priority countries should complete the gap table for adolescent girls and young women in high incidence settings. 
**TB/HIV
         -&gt; If submitting separate TB and HIV funding requests, gap analysis tables for TB/HIV interventions should be included in both the TB and HIV requests. In the case of a joint TB/HIV request, please complete the tables provided in the joint TB/HIV programmatic gap Excel file.
         -&gt; If the applicant is part of the WHO’s 30 highest TB/HIV burden countries they must complete the tables linked to this module.  The WHO’s 30 highest TB/HIV burden countries are Botswana, Brazil, Cameroon, Central African Republic, China, Congo, Democratic Republic of the Congo, Eswatini, Ethiopia, Gabon, Guinea, Guinea-Bissau, India, Indonesia, Kenya,  Lesotho, Liberia, Malawi, Mozambique, Myanmar, Namibia, Nigeria, Philippines, Russian Federation, South Africa, Thailand, Uganda, United Republic of Tanzania, Zambia, and Zimbabwe.
***Elimination of vertical transmission of HIV, syphilis and hepatitis B 
         -&gt;  If the applicant is among of the countries that have joined the Global Alliance to end Pediatric AIDS by 2030, they must complete the gap tables linked to this module. The 12 countries are Angola, Cameroon, Cote-D'Ivoire, DRC, Kenya, Mozambique, Nigeria, South Africa, Uganda, the United Republic of Tanzania, Zambia and Zimbabwe.
****Prevention package for key populations and AGYW 
         -&gt; If funding is requested for these modules, the following applies:
         -&gt; These modules refer to the following key and vulnerable populations: men who have sex with men; sex workers; transgender people; people who inject drugs; adolescent girls and young women in high incidence settings; and other vulnerable populations.
        -&gt; Gap tables must be completed for the prevention packages of two priority key population groups  in terms of incidence or number of new infections: men who have sex with men, sex workers, transgender people, people who inject drugs, other vulnerable populations.Note that 3 tables are provided in the 'Prevention' tab.
         -&gt; In addition, all the Global Fund AGYW priority countries need to complete the gap table for the prevention package for adolescent girls and young women in high incidence settings. 
*****PrEP and Condoms (3 tables provided in each tab)
         -&gt; If funding is requested for these modules, the following applies:
         -&gt; For the Global Fund incidence reduction strategy delivery priority countries, the PrEP gap table and the Condom gap table should be completed for the two priority key population groups in terms of incidence or number of new infections: men who have sex with men; sex workers; transgender people;and people who inject drugs. Rest of countries: condom and PrEP tables are negotiated with HIV advisor as needed.
         -&gt; For the Global Fund AGYW priority countries, these tables should be completed for adolescent girls and young women in high incidence settings.          </v>
      </c>
      <c r="H6" s="53" t="s">
        <v>1357</v>
      </c>
      <c r="I6" s="261" t="s">
        <v>1608</v>
      </c>
      <c r="J6" s="53" t="s">
        <v>1358</v>
      </c>
      <c r="K6" s="54"/>
    </row>
    <row r="7" spans="1:11" ht="156.65" customHeight="1" x14ac:dyDescent="0.3">
      <c r="A7" s="4" t="str">
        <f t="shared" ca="1" si="0"/>
        <v xml:space="preserve">HIV/AIDS Programmatic Gap Table 4 </v>
      </c>
      <c r="B7" s="4" t="s">
        <v>1264</v>
      </c>
      <c r="C7" s="54" t="s">
        <v>1265</v>
      </c>
      <c r="D7" s="54" t="s">
        <v>1266</v>
      </c>
      <c r="E7" s="54"/>
      <c r="G7" s="4" t="str">
        <f t="shared" ca="1" si="1"/>
        <v>To begin completing each table, specify the desired priority module/intervention by selecting from the drop-down list provided next to the "Priority Module" line [note that this is pre-filled for some tables]. Then, select the corresponding coverage indicator from the drop-down list [unless pre-filled]. Blank cells highlighted in white require input. Cells highlighted in purple and gray will then be filled automatically.
The following instructions provide detailed information on how to complete the gap table for each module. Note that the TB/HIV collaborative intervention has several coverage indicators and therefore separate tables are to be completed. Remember, complete tables for only 4-6 priority modules.</v>
      </c>
      <c r="H7" s="53" t="s">
        <v>1359</v>
      </c>
      <c r="I7" s="263" t="s">
        <v>1360</v>
      </c>
      <c r="J7" s="264" t="s">
        <v>1361</v>
      </c>
      <c r="K7" s="54"/>
    </row>
    <row r="8" spans="1:11" ht="70" x14ac:dyDescent="0.3">
      <c r="A8" s="4" t="str">
        <f t="shared" ca="1" si="0"/>
        <v xml:space="preserve">HIV/AIDS Programmatic Gap Table 5 </v>
      </c>
      <c r="B8" s="4" t="s">
        <v>1267</v>
      </c>
      <c r="C8" s="54" t="s">
        <v>1268</v>
      </c>
      <c r="D8" s="54" t="s">
        <v>1269</v>
      </c>
      <c r="E8" s="54"/>
      <c r="G8" s="4" t="str">
        <f t="shared" ca="1" si="1"/>
        <v>In cases where the indicators used by the country are worded differently than what is included in the programmatic gap tables (but the measurement is the same), please include the country definition in the comments box. A blank table can be found on the "Blank table" tab in the case where the number of tables provided in the workbook is not sufficient, or if the applicant wishes to submit a table for a module/intervention/indicator that is not specified in the instructions below.</v>
      </c>
      <c r="H8" s="64" t="s">
        <v>1362</v>
      </c>
      <c r="I8" s="105" t="s">
        <v>1363</v>
      </c>
      <c r="J8" s="64" t="s">
        <v>1364</v>
      </c>
      <c r="K8" s="54"/>
    </row>
    <row r="9" spans="1:11" ht="14.5" x14ac:dyDescent="0.3">
      <c r="A9" s="4" t="str">
        <f t="shared" ca="1" si="0"/>
        <v xml:space="preserve">HIV/AIDS Programmatic Gap Table 6 </v>
      </c>
      <c r="B9" s="4" t="s">
        <v>1270</v>
      </c>
      <c r="C9" s="54" t="s">
        <v>1271</v>
      </c>
      <c r="D9" s="54" t="s">
        <v>1272</v>
      </c>
      <c r="E9" s="54"/>
      <c r="G9" s="4" t="str">
        <f t="shared" ca="1" si="1"/>
        <v xml:space="preserve">"HIV-Treatment" Tab </v>
      </c>
      <c r="H9" s="265" t="s">
        <v>20</v>
      </c>
      <c r="I9" s="266" t="s">
        <v>21</v>
      </c>
      <c r="J9" s="267" t="s">
        <v>22</v>
      </c>
      <c r="K9" s="54"/>
    </row>
    <row r="10" spans="1:11" ht="14.5" x14ac:dyDescent="0.3">
      <c r="A10" s="4" t="str">
        <f t="shared" ca="1" si="0"/>
        <v xml:space="preserve">HIV/AIDS Programmatic Gap Table 7 </v>
      </c>
      <c r="B10" s="4" t="s">
        <v>1273</v>
      </c>
      <c r="C10" s="55" t="s">
        <v>1274</v>
      </c>
      <c r="D10" s="54" t="s">
        <v>1275</v>
      </c>
      <c r="E10" s="54"/>
      <c r="G10" s="4" t="str">
        <f t="shared" ca="1" si="1"/>
        <v xml:space="preserve">Treatment, care and support </v>
      </c>
      <c r="H10" s="267" t="s">
        <v>23</v>
      </c>
      <c r="I10" s="268" t="s">
        <v>24</v>
      </c>
      <c r="J10" s="269" t="s">
        <v>25</v>
      </c>
      <c r="K10" s="54"/>
    </row>
    <row r="11" spans="1:11" ht="28" x14ac:dyDescent="0.3">
      <c r="C11" s="55"/>
      <c r="D11" s="54"/>
      <c r="E11" s="54"/>
      <c r="G11" s="4" t="str">
        <f t="shared" ca="1" si="1"/>
        <v>For ART, it is encouraged to complete separate tables for adults and for children, however the option to complete in aggregate is also provided.</v>
      </c>
      <c r="H11" s="107" t="s">
        <v>26</v>
      </c>
      <c r="I11" s="22" t="s">
        <v>27</v>
      </c>
      <c r="J11" s="64" t="s">
        <v>28</v>
      </c>
      <c r="K11" s="54"/>
    </row>
    <row r="12" spans="1:11" ht="42" x14ac:dyDescent="0.3">
      <c r="A12" s="4" t="str">
        <f t="shared" ca="1" si="0"/>
        <v xml:space="preserve">HIV/AIDS Programmatic Gap Table 8 </v>
      </c>
      <c r="B12" s="4" t="s">
        <v>1276</v>
      </c>
      <c r="C12" s="55" t="s">
        <v>1277</v>
      </c>
      <c r="D12" s="54" t="s">
        <v>1278</v>
      </c>
      <c r="E12" s="54"/>
      <c r="G12" s="4" t="str">
        <f t="shared" ca="1" si="1"/>
        <v>Coverage indicator: [select the relevant indicator from the drop-down list]
Percentage of people on ART among all people living with HIV at the end of the reporting period.</v>
      </c>
      <c r="H12" s="53" t="s">
        <v>1365</v>
      </c>
      <c r="I12" s="262" t="s">
        <v>1560</v>
      </c>
      <c r="J12" s="262" t="s">
        <v>1366</v>
      </c>
      <c r="K12" s="54"/>
    </row>
    <row r="13" spans="1:11" ht="28" x14ac:dyDescent="0.3">
      <c r="A13" s="4" t="str">
        <f t="shared" ca="1" si="0"/>
        <v xml:space="preserve">HIV/AIDS Programmatic Gap Table 9 </v>
      </c>
      <c r="B13" s="4" t="s">
        <v>1279</v>
      </c>
      <c r="C13" s="55" t="s">
        <v>1280</v>
      </c>
      <c r="D13" s="54" t="s">
        <v>1281</v>
      </c>
      <c r="E13" s="54"/>
      <c r="G13" s="4" t="str">
        <f t="shared" ca="1" si="1"/>
        <v>Estimated population in need/at risk:
This refers to all adults and/or children living with HIV.</v>
      </c>
      <c r="H13" s="107" t="s">
        <v>29</v>
      </c>
      <c r="I13" s="106" t="s">
        <v>1561</v>
      </c>
      <c r="J13" s="64" t="s">
        <v>30</v>
      </c>
      <c r="K13" s="54"/>
    </row>
    <row r="14" spans="1:11" ht="67.5" customHeight="1" x14ac:dyDescent="0.3">
      <c r="A14" s="4" t="str">
        <f t="shared" ca="1" si="0"/>
        <v xml:space="preserve">HIV/AIDS Programmatic Gap Table 10 </v>
      </c>
      <c r="B14" s="4" t="s">
        <v>1282</v>
      </c>
      <c r="C14" s="55" t="s">
        <v>1283</v>
      </c>
      <c r="D14" s="54" t="s">
        <v>1284</v>
      </c>
      <c r="E14" s="54"/>
      <c r="G14" s="4" t="str">
        <f t="shared" ca="1" si="1"/>
        <v>Country target:
Refers to National Strategic Plan (NSP) or any other latest agreed country target.
1) "#" refers to the total number of people to be on antiretroviral therapy.
2) "%" refers to the number of adults and/or children expected to be on antiretroviral therapy among all adults and children living with HIV.</v>
      </c>
      <c r="H14" s="100" t="s">
        <v>1367</v>
      </c>
      <c r="I14" s="64" t="s">
        <v>1562</v>
      </c>
      <c r="J14" s="64" t="s">
        <v>1368</v>
      </c>
      <c r="K14" s="54"/>
    </row>
    <row r="15" spans="1:11" ht="154" x14ac:dyDescent="0.3">
      <c r="A15" s="4" t="str">
        <f t="shared" ca="1" si="0"/>
        <v xml:space="preserve">HIV/AIDS Programmatic Gap Table 11 </v>
      </c>
      <c r="B15" s="4" t="s">
        <v>1285</v>
      </c>
      <c r="C15" s="55" t="s">
        <v>1286</v>
      </c>
      <c r="D15" s="54" t="s">
        <v>1287</v>
      </c>
      <c r="E15" s="54"/>
      <c r="G15" s="28" t="str">
        <f t="shared" ca="1" si="1"/>
        <v>Country need to meet global target already covered: 
1) Country need already covered is broken down into need planned to be covered by domestic resources (line C1), and external resources (line C2). 
2) National private sector investments are to be included under domestic sources. 
3) In cases where part of the need during the year is covered by a current Global Fund grant (that ends prior to the start of the new implementation period), it can be included in the external resources category. 
4) Once C1 and C2 are filled in, the total of country need already covered is automatically calculated in line C3. Note that line C3 is locked and cannot be overridden. Therefore, please use line C1 to provide a total if the domestic and external breakdown of resources is not available. 
5) If this is the case, specify in the comments box that line C1 refers to the total of both domestic and external resources.</v>
      </c>
      <c r="H15" s="100" t="s">
        <v>31</v>
      </c>
      <c r="I15" s="64" t="s">
        <v>1563</v>
      </c>
      <c r="J15" s="64" t="s">
        <v>32</v>
      </c>
      <c r="K15" s="54"/>
    </row>
    <row r="16" spans="1:11" ht="42" x14ac:dyDescent="0.3">
      <c r="A16" s="4" t="str">
        <f t="shared" ca="1" si="0"/>
        <v xml:space="preserve">HIV/AIDS Programmatic Gap Table 12 </v>
      </c>
      <c r="B16" s="4" t="s">
        <v>1288</v>
      </c>
      <c r="C16" s="55" t="s">
        <v>1289</v>
      </c>
      <c r="D16" s="54" t="s">
        <v>1290</v>
      </c>
      <c r="E16" s="54"/>
      <c r="G16" s="4" t="str">
        <f t="shared" ca="1" si="1"/>
        <v>Programmatic gap:
The programmatic gap is calculated based on B1 Global targets as per the Global AIDS Strategy 2021-2026.</v>
      </c>
      <c r="H16" s="100" t="s">
        <v>33</v>
      </c>
      <c r="I16" s="64" t="s">
        <v>1564</v>
      </c>
      <c r="J16" s="64" t="s">
        <v>34</v>
      </c>
      <c r="K16" s="54"/>
    </row>
    <row r="17" spans="1:11" ht="98" x14ac:dyDescent="0.3">
      <c r="A17" s="4" t="str">
        <f t="shared" ca="1" si="0"/>
        <v xml:space="preserve">HIV/AIDS Programmatic Gap Table 13 </v>
      </c>
      <c r="B17" s="4" t="s">
        <v>1291</v>
      </c>
      <c r="C17" s="55" t="s">
        <v>1292</v>
      </c>
      <c r="D17" s="54" t="s">
        <v>1293</v>
      </c>
      <c r="E17" s="54"/>
      <c r="G17" s="4" t="str">
        <f t="shared" ca="1" si="1"/>
        <v xml:space="preserve">Comments/Assumptions:
1) Specify the target geographic area.
2) Specify who are the other sources of funding.
3) Specify the amount of the programmatic gap that is in the within-allocation request, and the amount included in the above-allocation (PAAR). Clarify to what extent this request will cover needs in the highest incidence geographic areas.
4) Indicate the difference between the Country target and the Global target. </v>
      </c>
      <c r="H17" s="262" t="s">
        <v>1369</v>
      </c>
      <c r="I17" s="262" t="s">
        <v>1565</v>
      </c>
      <c r="J17" s="262" t="s">
        <v>1370</v>
      </c>
      <c r="K17" s="54"/>
    </row>
    <row r="18" spans="1:11" ht="14.5" x14ac:dyDescent="0.3">
      <c r="A18" s="4" t="str">
        <f t="shared" ca="1" si="0"/>
        <v xml:space="preserve">HIV/AIDS Programmatic Gap Table 14 </v>
      </c>
      <c r="B18" s="4" t="s">
        <v>1294</v>
      </c>
      <c r="C18" s="55" t="s">
        <v>1295</v>
      </c>
      <c r="D18" s="54" t="s">
        <v>1296</v>
      </c>
      <c r="E18" s="54"/>
      <c r="G18" s="4" t="str">
        <f t="shared" ca="1" si="1"/>
        <v>Elimination of vertical transmission of HIV, syphilis and hepatitis B - "HIV-EMTCT" tab</v>
      </c>
      <c r="H18" s="270" t="s">
        <v>35</v>
      </c>
      <c r="I18" s="268" t="s">
        <v>36</v>
      </c>
      <c r="J18" s="268" t="s">
        <v>37</v>
      </c>
      <c r="K18" s="54"/>
    </row>
    <row r="19" spans="1:11" ht="42" x14ac:dyDescent="0.3">
      <c r="A19" s="4" t="str">
        <f t="shared" ca="1" si="0"/>
        <v xml:space="preserve">HIV/AIDS Programmatic Gap Table 15 </v>
      </c>
      <c r="B19" s="4" t="s">
        <v>1297</v>
      </c>
      <c r="C19" s="55" t="s">
        <v>1298</v>
      </c>
      <c r="D19" s="54" t="s">
        <v>1299</v>
      </c>
      <c r="E19" s="54"/>
      <c r="G19" s="4" t="str">
        <f t="shared" ca="1" si="1"/>
        <v>Coverage indicator: [select the relevant coverage indicator from the drop-down list]
Percentage of pregnant women living with HIV who received antiretroviral medicine to reduce the risk of vertical transmission of HIV.</v>
      </c>
      <c r="H19" s="53" t="s">
        <v>1371</v>
      </c>
      <c r="I19" s="262" t="s">
        <v>1566</v>
      </c>
      <c r="J19" s="262" t="s">
        <v>1378</v>
      </c>
      <c r="K19" s="54"/>
    </row>
    <row r="20" spans="1:11" ht="28" x14ac:dyDescent="0.3">
      <c r="A20" s="4" t="str">
        <f t="shared" ca="1" si="0"/>
        <v xml:space="preserve">HIV/AIDS Programmatic Gap Table 16 </v>
      </c>
      <c r="B20" s="4" t="s">
        <v>1300</v>
      </c>
      <c r="C20" s="55" t="s">
        <v>1301</v>
      </c>
      <c r="D20" s="54" t="s">
        <v>1302</v>
      </c>
      <c r="E20" s="54"/>
      <c r="G20" s="4" t="str">
        <f t="shared" ca="1" si="1"/>
        <v>Estimated population in need/at risk:
It refers to the estimated number of HIV-positive pregnant women.</v>
      </c>
      <c r="H20" s="22" t="s">
        <v>38</v>
      </c>
      <c r="I20" s="64" t="s">
        <v>1567</v>
      </c>
      <c r="J20" s="64" t="s">
        <v>39</v>
      </c>
      <c r="K20" s="54"/>
    </row>
    <row r="21" spans="1:11" ht="84" x14ac:dyDescent="0.3">
      <c r="A21" s="4" t="str">
        <f t="shared" ca="1" si="0"/>
        <v>Priority Module</v>
      </c>
      <c r="B21" s="4" t="s">
        <v>40</v>
      </c>
      <c r="C21" s="54" t="s">
        <v>41</v>
      </c>
      <c r="D21" s="54" t="s">
        <v>42</v>
      </c>
      <c r="E21" s="54"/>
      <c r="G21" s="4" t="str">
        <f t="shared" ca="1" si="1"/>
        <v>Country target:
Refers to NSP or any other latest agreed country target.
1) "#" refers to the number of HIV-positive pregnant women who are expected to receive antiretroviral drugs to reduce the risk of mother-to-child transmission during pregnancy and delivery.
2) "%" refers to the percentage of HIV-positive pregnant women who receive antiretrovirals to reduce the risk of mother-to-child transmission among the total estimated HIV-positive pregnant women.</v>
      </c>
      <c r="H21" s="64" t="s">
        <v>43</v>
      </c>
      <c r="I21" s="106" t="s">
        <v>1568</v>
      </c>
      <c r="J21" s="64" t="s">
        <v>44</v>
      </c>
      <c r="K21" s="54"/>
    </row>
    <row r="22" spans="1:11" ht="84" x14ac:dyDescent="0.3">
      <c r="A22" s="4" t="str">
        <f t="shared" ca="1" si="0"/>
        <v>Selected coverage indicator</v>
      </c>
      <c r="B22" s="4" t="s">
        <v>45</v>
      </c>
      <c r="C22" s="54" t="s">
        <v>46</v>
      </c>
      <c r="D22" s="54" t="s">
        <v>47</v>
      </c>
      <c r="E22" s="54"/>
      <c r="H22" s="64" t="s">
        <v>43</v>
      </c>
      <c r="I22" s="106" t="s">
        <v>1568</v>
      </c>
      <c r="J22" s="64" t="s">
        <v>44</v>
      </c>
      <c r="K22" s="54"/>
    </row>
    <row r="23" spans="1:11" ht="42" x14ac:dyDescent="0.3">
      <c r="A23" s="4" t="str">
        <f t="shared" ca="1" si="0"/>
        <v>Target Population</v>
      </c>
      <c r="B23" s="4" t="s">
        <v>48</v>
      </c>
      <c r="C23" s="54" t="s">
        <v>49</v>
      </c>
      <c r="D23" s="57" t="s">
        <v>50</v>
      </c>
      <c r="E23" s="54"/>
      <c r="G23" s="4" t="str">
        <f t="shared" ca="1" si="1"/>
        <v>Programmatic gap:
The programmatic gap is calculated based on B1 Global targets as per the Global AIDS Strategy 2021-2026.</v>
      </c>
      <c r="H23" s="22" t="s">
        <v>33</v>
      </c>
      <c r="I23" s="64" t="s">
        <v>1564</v>
      </c>
      <c r="J23" s="64" t="s">
        <v>51</v>
      </c>
      <c r="K23" s="54"/>
    </row>
    <row r="24" spans="1:11" ht="98" x14ac:dyDescent="0.3">
      <c r="A24" s="4" t="str">
        <f t="shared" ca="1" si="0"/>
        <v>Current national coverage</v>
      </c>
      <c r="B24" s="4" t="s">
        <v>52</v>
      </c>
      <c r="C24" s="54" t="s">
        <v>53</v>
      </c>
      <c r="D24" s="54" t="s">
        <v>54</v>
      </c>
      <c r="E24" s="54"/>
      <c r="G24" s="4" t="str">
        <f t="shared" ca="1" si="1"/>
        <v xml:space="preserve">Comments/Assumptions:
1) Specify the target geographic area.
2) Specify who are the other sources of funding.
3) Specify the amount of the programmatic gap that is in the within-allocation request, and the amount included in the above-allocation (PAAR). Clarify to what extent this request will cover needs in the highest incidence mother-to-child transmission geographic areas. 
4) Indicate the difference between the Country target and the Global target. </v>
      </c>
      <c r="H24" s="53" t="s">
        <v>1372</v>
      </c>
      <c r="I24" s="262" t="s">
        <v>1569</v>
      </c>
      <c r="J24" s="262" t="s">
        <v>1373</v>
      </c>
      <c r="K24" s="54"/>
    </row>
    <row r="25" spans="1:11" ht="14.5" x14ac:dyDescent="0.3">
      <c r="A25" s="4" t="str">
        <f t="shared" ca="1" si="0"/>
        <v>Insert latest results</v>
      </c>
      <c r="B25" s="4" t="s">
        <v>55</v>
      </c>
      <c r="C25" s="54" t="s">
        <v>56</v>
      </c>
      <c r="D25" s="54" t="s">
        <v>57</v>
      </c>
      <c r="E25" s="54"/>
      <c r="G25" s="4" t="str">
        <f t="shared" ca="1" si="1"/>
        <v>Differentiated HIV Testing Services - "HIV-Testing" tab</v>
      </c>
      <c r="H25" s="270" t="s">
        <v>58</v>
      </c>
      <c r="I25" s="268" t="s">
        <v>59</v>
      </c>
      <c r="J25" s="268" t="s">
        <v>60</v>
      </c>
      <c r="K25" s="54"/>
    </row>
    <row r="26" spans="1:11" ht="42" x14ac:dyDescent="0.3">
      <c r="A26" s="4" t="str">
        <f t="shared" ca="1" si="0"/>
        <v>Year</v>
      </c>
      <c r="B26" s="4" t="s">
        <v>61</v>
      </c>
      <c r="C26" s="54" t="s">
        <v>62</v>
      </c>
      <c r="D26" s="54" t="s">
        <v>63</v>
      </c>
      <c r="E26" s="54"/>
      <c r="G26" s="4" t="str">
        <f t="shared" ca="1" si="1"/>
        <v xml:space="preserve">Coverage indicator: [select the relevant coverage indicator from the drop down list]
Percentage of key populations that have received an HIV test during the reporting period in key population specific programs and know their results. </v>
      </c>
      <c r="H26" s="53" t="s">
        <v>1374</v>
      </c>
      <c r="I26" s="53" t="s">
        <v>1570</v>
      </c>
      <c r="J26" s="53" t="s">
        <v>1375</v>
      </c>
      <c r="K26" s="54"/>
    </row>
    <row r="27" spans="1:11" ht="28" x14ac:dyDescent="0.3">
      <c r="A27" s="4" t="str">
        <f t="shared" ca="1" si="0"/>
        <v>Data source</v>
      </c>
      <c r="B27" s="4" t="s">
        <v>64</v>
      </c>
      <c r="C27" s="54" t="s">
        <v>65</v>
      </c>
      <c r="D27" s="54" t="s">
        <v>66</v>
      </c>
      <c r="E27" s="54"/>
      <c r="G27" s="4" t="str">
        <f t="shared" ca="1" si="1"/>
        <v>Estimated population in need/at risk:
Refers to total estimated key and vulnerable populations in need of HIV testing.</v>
      </c>
      <c r="H27" s="53" t="s">
        <v>1377</v>
      </c>
      <c r="I27" s="53" t="s">
        <v>1571</v>
      </c>
      <c r="J27" s="53" t="s">
        <v>1376</v>
      </c>
      <c r="K27" s="54"/>
    </row>
    <row r="28" spans="1:11" ht="84" x14ac:dyDescent="0.3">
      <c r="A28" s="4" t="str">
        <f t="shared" ca="1" si="0"/>
        <v>Comments</v>
      </c>
      <c r="B28" s="4" t="s">
        <v>67</v>
      </c>
      <c r="C28" s="54" t="s">
        <v>68</v>
      </c>
      <c r="D28" s="54" t="s">
        <v>69</v>
      </c>
      <c r="E28" s="54"/>
      <c r="G28" s="4" t="str">
        <f t="shared" ca="1" si="1"/>
        <v>Country target:
Refers to NSP or any other latest agreed country target.
1) "#" refers to the number of people in the specified key population expected to be tested for HIV in the specified year.
2) "%" refers to the percentage of people to be tested for HIV among the estimated number of people in the specified key population in the specified year.</v>
      </c>
      <c r="H28" s="22" t="s">
        <v>70</v>
      </c>
      <c r="I28" s="22" t="s">
        <v>1609</v>
      </c>
      <c r="J28" s="22" t="s">
        <v>71</v>
      </c>
      <c r="K28" s="54"/>
    </row>
    <row r="29" spans="1:11" ht="42" x14ac:dyDescent="0.3">
      <c r="A29" s="4" t="str">
        <f t="shared" ca="1" si="0"/>
        <v>Year 1</v>
      </c>
      <c r="B29" s="4" t="s">
        <v>72</v>
      </c>
      <c r="C29" s="54" t="s">
        <v>73</v>
      </c>
      <c r="D29" s="54" t="s">
        <v>74</v>
      </c>
      <c r="E29" s="54"/>
      <c r="G29" s="4" t="str">
        <f t="shared" ca="1" si="1"/>
        <v>Programmatic gap:
The programmatic gap is calculated based on B1 Global targets as per the Global AIDS Strategy 2021-2026.</v>
      </c>
      <c r="H29" s="22" t="s">
        <v>33</v>
      </c>
      <c r="I29" s="64" t="s">
        <v>1572</v>
      </c>
      <c r="J29" s="64" t="s">
        <v>51</v>
      </c>
      <c r="K29" s="54"/>
    </row>
    <row r="30" spans="1:11" ht="98" x14ac:dyDescent="0.3">
      <c r="A30" s="4" t="str">
        <f t="shared" ca="1" si="0"/>
        <v>Year 2</v>
      </c>
      <c r="B30" s="4" t="s">
        <v>75</v>
      </c>
      <c r="C30" s="54" t="s">
        <v>76</v>
      </c>
      <c r="D30" s="54" t="s">
        <v>77</v>
      </c>
      <c r="E30" s="54"/>
      <c r="G30" s="4" t="str">
        <f t="shared" ca="1" si="1"/>
        <v xml:space="preserve">Comments/Assumptions:
1) Specify the target geographic area.
2) Specify who are the other sources of funding.
3) Specify the amount of the programmatic gap that is in the within-allocation request, and the amount included in the above-allocation (PAAR). Clarify to what extent this request will cover needs in the highest incidence geographic areas.
4) Indicate the difference between the Country target and the Global target. </v>
      </c>
      <c r="H30" s="53" t="s">
        <v>1379</v>
      </c>
      <c r="I30" s="262" t="s">
        <v>1573</v>
      </c>
      <c r="J30" s="262" t="s">
        <v>1380</v>
      </c>
      <c r="K30" s="54"/>
    </row>
    <row r="31" spans="1:11" ht="14.5" x14ac:dyDescent="0.3">
      <c r="A31" s="4" t="str">
        <f t="shared" ca="1" si="0"/>
        <v>Year 3</v>
      </c>
      <c r="B31" s="4" t="s">
        <v>78</v>
      </c>
      <c r="C31" s="54" t="s">
        <v>79</v>
      </c>
      <c r="D31" s="54" t="s">
        <v>80</v>
      </c>
      <c r="E31" s="54"/>
      <c r="G31" s="4" t="str">
        <f t="shared" ca="1" si="1"/>
        <v>HIV Prevention programs gap table - "HIV-Prevention" tab</v>
      </c>
      <c r="H31" s="270" t="s">
        <v>81</v>
      </c>
      <c r="I31" s="268" t="s">
        <v>82</v>
      </c>
      <c r="J31" s="268" t="s">
        <v>83</v>
      </c>
      <c r="K31" s="54"/>
    </row>
    <row r="32" spans="1:11" ht="84" x14ac:dyDescent="0.3">
      <c r="A32" s="4" t="str">
        <f t="shared" ca="1" si="0"/>
        <v>Year 4</v>
      </c>
      <c r="B32" s="4" t="s">
        <v>84</v>
      </c>
      <c r="C32" s="55" t="s">
        <v>85</v>
      </c>
      <c r="D32" s="54" t="s">
        <v>86</v>
      </c>
      <c r="E32" s="54"/>
      <c r="G32" s="4" t="str">
        <f t="shared" ca="1" si="1"/>
        <v>There are 3 tables in the "HIV-Prevention" tab. Please complete separate tables for each of the key and vulnerable populations as relevant to the funding request. Reminder: Gap tables must be completed for the two priority key population groups in terms of incidence or number of new infections: men who have sex with men; sex workers, transgender people, people who inject drugs, other vulnerable popluations. In addition, all Global Fund AGYW priority countries need to complete the gap table for adolescent girls and young women in high incidence settings.</v>
      </c>
      <c r="H32" s="53" t="s">
        <v>1399</v>
      </c>
      <c r="I32" s="262" t="s">
        <v>1574</v>
      </c>
      <c r="J32" s="262" t="s">
        <v>1400</v>
      </c>
      <c r="K32" s="54"/>
    </row>
    <row r="33" spans="1:12" ht="28" x14ac:dyDescent="0.3">
      <c r="A33" s="4" t="str">
        <f t="shared" ca="1" si="0"/>
        <v>Insert year</v>
      </c>
      <c r="B33" s="4" t="s">
        <v>87</v>
      </c>
      <c r="C33" s="54" t="s">
        <v>88</v>
      </c>
      <c r="D33" s="54" t="s">
        <v>89</v>
      </c>
      <c r="E33" s="54"/>
      <c r="G33" s="4" t="str">
        <f t="shared" ca="1" si="1"/>
        <v xml:space="preserve">Coverage Indicator:
Select the relevant coverage indicator from the drop-down list. </v>
      </c>
      <c r="H33" s="262" t="s">
        <v>1381</v>
      </c>
      <c r="I33" s="271" t="s">
        <v>1575</v>
      </c>
      <c r="J33" s="262" t="s">
        <v>1382</v>
      </c>
      <c r="K33" s="54"/>
    </row>
    <row r="34" spans="1:12" ht="28" x14ac:dyDescent="0.3">
      <c r="A34" s="4" t="str">
        <f t="shared" ca="1" si="0"/>
        <v>Comments / Assumptions</v>
      </c>
      <c r="B34" s="4" t="s">
        <v>90</v>
      </c>
      <c r="C34" s="54" t="s">
        <v>91</v>
      </c>
      <c r="D34" s="54" t="s">
        <v>92</v>
      </c>
      <c r="E34" s="54"/>
      <c r="G34" s="4" t="str">
        <f t="shared" ca="1" si="1"/>
        <v>Estimated population in need/at risk:
Refers to estimated number of people in the specified key or vulnerable population in need of prevention.</v>
      </c>
      <c r="H34" s="22" t="s">
        <v>93</v>
      </c>
      <c r="I34" s="64" t="s">
        <v>1576</v>
      </c>
      <c r="J34" s="64" t="s">
        <v>94</v>
      </c>
      <c r="K34" s="54"/>
    </row>
    <row r="35" spans="1:12" ht="56" x14ac:dyDescent="0.3">
      <c r="A35" s="4" t="str">
        <f t="shared" ca="1" si="0"/>
        <v>Current estimated country need</v>
      </c>
      <c r="B35" s="4" t="s">
        <v>95</v>
      </c>
      <c r="C35" s="54" t="s">
        <v>96</v>
      </c>
      <c r="D35" s="54" t="s">
        <v>97</v>
      </c>
      <c r="E35" s="54"/>
      <c r="G35" s="4" t="str">
        <f t="shared" ca="1" si="1"/>
        <v xml:space="preserve">Global target: 
Refers to the global targets as per the Global AIDS Strategy 2021-2026 (https://www.unaids.org/en/resources/documents/2021/2021-2026-global-AIDS-strategy) and hence set at 95% of the PSE. </v>
      </c>
      <c r="H35" s="22" t="s">
        <v>98</v>
      </c>
      <c r="I35" s="64" t="s">
        <v>1577</v>
      </c>
      <c r="J35" s="64" t="s">
        <v>99</v>
      </c>
      <c r="K35" s="54"/>
    </row>
    <row r="36" spans="1:12" ht="28" x14ac:dyDescent="0.3">
      <c r="A36" s="4" t="str">
        <f t="shared" ref="A36:A49" ca="1" si="2">OFFSET($B36,0,LangOffset,1,1)</f>
        <v>A. Total estimated key and vulnerable populations in need (HIV prevention)</v>
      </c>
      <c r="B36" s="96" t="s">
        <v>100</v>
      </c>
      <c r="C36" s="82" t="s">
        <v>101</v>
      </c>
      <c r="D36" s="54" t="s">
        <v>102</v>
      </c>
      <c r="E36" s="54"/>
      <c r="G36" s="4" t="str">
        <f t="shared" ca="1" si="1"/>
        <v>Country target:
Refers to NSP or any other latest agreed country target.</v>
      </c>
      <c r="H36" s="22" t="s">
        <v>103</v>
      </c>
      <c r="I36" s="64" t="s">
        <v>1578</v>
      </c>
      <c r="J36" s="64" t="s">
        <v>104</v>
      </c>
      <c r="K36" s="54"/>
    </row>
    <row r="37" spans="1:12" ht="42" x14ac:dyDescent="0.3">
      <c r="A37" s="4" t="str">
        <f t="shared" ca="1" si="2"/>
        <v>B2. Country targets 
(from National Strategic Plan)</v>
      </c>
      <c r="B37" s="22" t="s">
        <v>105</v>
      </c>
      <c r="C37" s="68" t="s">
        <v>106</v>
      </c>
      <c r="D37" s="54" t="s">
        <v>107</v>
      </c>
      <c r="E37" s="54"/>
      <c r="G37" s="4" t="str">
        <f t="shared" ca="1" si="1"/>
        <v>Programmatic gap:
The programmatic gap is calculated based on the Global targets as per the Global AIDS Strategy 2021-2026 (line B1).</v>
      </c>
      <c r="H37" s="22" t="s">
        <v>108</v>
      </c>
      <c r="I37" s="64" t="s">
        <v>1564</v>
      </c>
      <c r="J37" s="64" t="s">
        <v>51</v>
      </c>
      <c r="K37" s="54"/>
    </row>
    <row r="38" spans="1:12" ht="140" x14ac:dyDescent="0.3">
      <c r="A38" s="4" t="str">
        <f t="shared" ca="1" si="2"/>
        <v>Country need to meet global targets already covered</v>
      </c>
      <c r="B38" s="94" t="s">
        <v>109</v>
      </c>
      <c r="C38" s="64" t="s">
        <v>110</v>
      </c>
      <c r="D38" s="64" t="s">
        <v>111</v>
      </c>
      <c r="E38" s="54"/>
      <c r="G38" s="4" t="str">
        <f t="shared" ca="1" si="1"/>
        <v>Comments/Assumptions:
1) Specify the interventions included in the package. The package should refer to defined set of interventions that should be received by people and based on which they are included in the results, i.e., people should only be counted when they received the full set of interventions in the defined package.
2) If "other vulnerable populations", please describe this population in the comments section.
3) Indicate the difference between the Country target and the Global target.
4) Specify who are the other sources of funding.
5) Specify the amount of the programmatic gap that is in the within-allocation request, and the amount included in the above-allocation (PAAR). Clarify to what extent this request will cover needs in the highest incidence geographic areas.</v>
      </c>
      <c r="H38" s="53" t="s">
        <v>1383</v>
      </c>
      <c r="I38" s="262" t="s">
        <v>1610</v>
      </c>
      <c r="J38" s="262" t="s">
        <v>1384</v>
      </c>
      <c r="K38" s="54"/>
    </row>
    <row r="39" spans="1:12" s="11" customFormat="1" x14ac:dyDescent="0.3">
      <c r="A39" s="4" t="str">
        <f t="shared" ca="1" si="2"/>
        <v>C1. Global target planned to be covered by domestic resources</v>
      </c>
      <c r="B39" s="94" t="s">
        <v>112</v>
      </c>
      <c r="C39" s="54" t="s">
        <v>113</v>
      </c>
      <c r="D39" s="54" t="s">
        <v>114</v>
      </c>
      <c r="E39" s="54"/>
      <c r="F39" s="10"/>
      <c r="G39" s="4" t="str">
        <f t="shared" ca="1" si="1"/>
        <v>Pre-exposure prophylaxis (PrEP) gap table - "HIV-PrEP" tab</v>
      </c>
      <c r="H39" s="270" t="s">
        <v>115</v>
      </c>
      <c r="I39" s="268" t="s">
        <v>116</v>
      </c>
      <c r="J39" s="268" t="s">
        <v>117</v>
      </c>
      <c r="K39" s="54"/>
      <c r="L39" s="4"/>
    </row>
    <row r="40" spans="1:12" ht="84" x14ac:dyDescent="0.3">
      <c r="A40" s="4" t="str">
        <f t="shared" ca="1" si="2"/>
        <v>C2. Global target planned to be covered by external resources</v>
      </c>
      <c r="B40" s="94" t="s">
        <v>118</v>
      </c>
      <c r="C40" s="54" t="s">
        <v>119</v>
      </c>
      <c r="D40" s="54" t="s">
        <v>120</v>
      </c>
      <c r="E40" s="10"/>
      <c r="G40" s="4" t="str">
        <f t="shared" ca="1" si="1"/>
        <v xml:space="preserve">There are 3 tables in the “HIV-PrEP” tab. The Global Fund incidence reduction strategy delivery priority countries need to complete a PrEP gap table for the two priority key population groups in terms of incidence or number of new infections: men who have sex with men, sex workers, transgender people, people who inject drugs. In addition, all Global Fund AGYW priority countries need to complete the gap table for adolescent girls and young women in high incidence settings.  </v>
      </c>
      <c r="H40" s="272" t="s">
        <v>1389</v>
      </c>
      <c r="I40" s="262" t="s">
        <v>1579</v>
      </c>
      <c r="J40" s="262" t="s">
        <v>1390</v>
      </c>
      <c r="K40" s="54"/>
    </row>
    <row r="41" spans="1:12" ht="42" x14ac:dyDescent="0.3">
      <c r="A41" s="4" t="str">
        <f t="shared" ca="1" si="2"/>
        <v>C3. Total global target already covered</v>
      </c>
      <c r="B41" s="94" t="s">
        <v>121</v>
      </c>
      <c r="C41" s="55" t="s">
        <v>122</v>
      </c>
      <c r="D41" s="54" t="s">
        <v>123</v>
      </c>
      <c r="E41" s="54"/>
      <c r="G41" s="4" t="str">
        <f t="shared" ca="1" si="1"/>
        <v>Coverage indicator: selection the relevant coverage indicator from the drop-down list]
Number of key populations or AGYW who received any PrEP product at least once during the reporting period.</v>
      </c>
      <c r="H41" s="53" t="s">
        <v>1385</v>
      </c>
      <c r="I41" s="262" t="s">
        <v>1580</v>
      </c>
      <c r="J41" s="262" t="s">
        <v>1386</v>
      </c>
      <c r="K41" s="54"/>
    </row>
    <row r="42" spans="1:12" ht="70" x14ac:dyDescent="0.3">
      <c r="A42" s="4" t="str">
        <f t="shared" ca="1" si="2"/>
        <v>Programmatic gap</v>
      </c>
      <c r="B42" s="4" t="s">
        <v>124</v>
      </c>
      <c r="C42" s="54" t="s">
        <v>125</v>
      </c>
      <c r="D42" s="54" t="s">
        <v>126</v>
      </c>
      <c r="E42" s="54"/>
      <c r="G42" s="4" t="str">
        <f t="shared" ca="1" si="1"/>
        <v xml:space="preserve">Estimated population in need/at risk:
This refers to the estimated number at risk who should receive PrEP. This should be calculated using the UNAIDS PrEP target setting tools: https://jointsiwg.unaids.org/publications/. There is a different tool available for each key or vulnerable population, as well as instruction guides. Please attach the completed tools as an annex to the concept note submission. </v>
      </c>
      <c r="H42" s="22" t="s">
        <v>127</v>
      </c>
      <c r="I42" s="64" t="s">
        <v>1581</v>
      </c>
      <c r="J42" s="64" t="s">
        <v>128</v>
      </c>
      <c r="K42" s="54"/>
    </row>
    <row r="43" spans="1:12" ht="51" customHeight="1" x14ac:dyDescent="0.3">
      <c r="A43" s="4" t="str">
        <f t="shared" ca="1" si="2"/>
        <v>D. Expected annual gap in meeting the need: B1 - C3</v>
      </c>
      <c r="B43" s="4" t="s">
        <v>129</v>
      </c>
      <c r="C43" s="55" t="s">
        <v>130</v>
      </c>
      <c r="D43" s="64" t="s">
        <v>131</v>
      </c>
      <c r="E43" s="54"/>
      <c r="G43" s="4" t="str">
        <f t="shared" ca="1" si="1"/>
        <v>Country target:
Refers to NSP or any other latest agreed country target.</v>
      </c>
      <c r="H43" s="22" t="s">
        <v>103</v>
      </c>
      <c r="I43" s="64" t="s">
        <v>1582</v>
      </c>
      <c r="J43" s="64" t="s">
        <v>104</v>
      </c>
      <c r="K43" s="54"/>
      <c r="L43" s="11"/>
    </row>
    <row r="44" spans="1:12" ht="42" x14ac:dyDescent="0.3">
      <c r="A44" s="4" t="str">
        <f t="shared" ca="1" si="2"/>
        <v>Country need to meet global targets covered with the allocation amount</v>
      </c>
      <c r="B44" s="4" t="s">
        <v>132</v>
      </c>
      <c r="C44" s="54" t="s">
        <v>133</v>
      </c>
      <c r="D44" s="54" t="s">
        <v>134</v>
      </c>
      <c r="E44" s="54"/>
      <c r="G44" s="4" t="str">
        <f t="shared" ca="1" si="1"/>
        <v>Programmatic gap:
The programmatic gap is calculated based on the estimated number at risk who should receive PrEP based on the UNAIDS PrEP target setting tools (line A).</v>
      </c>
      <c r="H44" s="22" t="s">
        <v>135</v>
      </c>
      <c r="I44" s="64" t="s">
        <v>1583</v>
      </c>
      <c r="J44" s="64" t="s">
        <v>136</v>
      </c>
      <c r="K44" s="54"/>
    </row>
    <row r="45" spans="1:12" ht="84" x14ac:dyDescent="0.3">
      <c r="A45" s="4" t="str">
        <f t="shared" ca="1" si="2"/>
        <v>E. Targets to be financed by allocation amount</v>
      </c>
      <c r="B45" s="4" t="s">
        <v>137</v>
      </c>
      <c r="C45" s="54" t="s">
        <v>138</v>
      </c>
      <c r="D45" s="54" t="s">
        <v>139</v>
      </c>
      <c r="E45" s="54"/>
      <c r="G45" s="4" t="str">
        <f t="shared" ca="1" si="1"/>
        <v>Comments/Assumptions:
1) Indicate the difference between the Country Target and Estimated number at risk who should receive PrEP.
2) Specify who are the other sources of funding.
3) Specify the amount of the programmatic gap that is in the within-allocation request, and the amount included in the above-allocation (PAAR). Clarify to what extent this request will cover needs in the highest incidence geographic areas.</v>
      </c>
      <c r="H45" s="53" t="s">
        <v>1387</v>
      </c>
      <c r="I45" s="262" t="s">
        <v>1584</v>
      </c>
      <c r="J45" s="262" t="s">
        <v>1388</v>
      </c>
      <c r="K45" s="54"/>
    </row>
    <row r="46" spans="1:12" ht="14.5" x14ac:dyDescent="0.3">
      <c r="A46" s="4" t="str">
        <f t="shared" ca="1" si="2"/>
        <v>F. Coverage from allocation amount and other resources: E + C3</v>
      </c>
      <c r="B46" s="4" t="s">
        <v>140</v>
      </c>
      <c r="C46" s="55" t="s">
        <v>1611</v>
      </c>
      <c r="D46" s="54" t="s">
        <v>141</v>
      </c>
      <c r="E46" s="54"/>
      <c r="G46" s="4" t="str">
        <f t="shared" ca="1" si="1"/>
        <v>Condom gap table - "HIV-Condoms" tab</v>
      </c>
      <c r="H46" s="270" t="s">
        <v>142</v>
      </c>
      <c r="I46" s="268" t="s">
        <v>143</v>
      </c>
      <c r="J46" s="268" t="s">
        <v>144</v>
      </c>
      <c r="K46" s="54"/>
    </row>
    <row r="47" spans="1:12" ht="84" x14ac:dyDescent="0.3">
      <c r="A47" s="4" t="str">
        <f t="shared" ca="1" si="2"/>
        <v xml:space="preserve">G. Remaining gap: B1 - F </v>
      </c>
      <c r="B47" s="4" t="s">
        <v>145</v>
      </c>
      <c r="C47" s="55" t="s">
        <v>146</v>
      </c>
      <c r="D47" s="54" t="s">
        <v>147</v>
      </c>
      <c r="E47" s="54"/>
      <c r="G47" s="4" t="str">
        <f t="shared" ca="1" si="1"/>
        <v>There are 3 tables in the "HIV-Condom" tab. The Global Fund incidence reduction strategy delivery priority countries need to complete a condom gap table for the two priority key population groups (in terms of number of new infections or incidence): men who have sex with men; sex workers; transgender people; people who inject drugs. In addition, all Global Fund AGYW priority countries need to complete the gap table for adolescent girls and young women in high incidence settings.</v>
      </c>
      <c r="H47" s="272" t="s">
        <v>1401</v>
      </c>
      <c r="I47" s="262" t="s">
        <v>1585</v>
      </c>
      <c r="J47" s="262" t="s">
        <v>1393</v>
      </c>
      <c r="K47" s="54"/>
    </row>
    <row r="48" spans="1:12" ht="42" x14ac:dyDescent="0.3">
      <c r="A48" s="4" t="str">
        <f t="shared" ca="1" si="2"/>
        <v>A. Estimated number at risk who should receive PrEP</v>
      </c>
      <c r="B48" s="98" t="s">
        <v>148</v>
      </c>
      <c r="C48" s="81" t="s">
        <v>149</v>
      </c>
      <c r="D48" s="54" t="s">
        <v>150</v>
      </c>
      <c r="E48" s="54"/>
      <c r="G48" s="4" t="str">
        <f t="shared" ca="1" si="1"/>
        <v>Coverage Indicator:[selecte the relevant coverage indicator from the drop-down list]
Number of condoms (male and female) distributed by the program for (key population or AGYW).</v>
      </c>
      <c r="H48" s="53" t="s">
        <v>1391</v>
      </c>
      <c r="I48" s="262" t="s">
        <v>1586</v>
      </c>
      <c r="J48" s="262" t="s">
        <v>1392</v>
      </c>
      <c r="K48" s="54"/>
    </row>
    <row r="49" spans="1:11" ht="70" x14ac:dyDescent="0.3">
      <c r="A49" s="4" t="str">
        <f t="shared" ca="1" si="2"/>
        <v>F. PrEP from allocation amount and other resources: E + C3</v>
      </c>
      <c r="B49" s="98" t="s">
        <v>151</v>
      </c>
      <c r="C49" s="55" t="s">
        <v>1612</v>
      </c>
      <c r="D49" s="54" t="s">
        <v>152</v>
      </c>
      <c r="E49" s="54"/>
      <c r="G49" s="4" t="str">
        <f t="shared" ca="1" si="1"/>
        <v>Estimated population in need/at risk (A):
Please use the UNAIDS condom needs estimation and resource requirements tool (C-NET) to retrieve the population in need - https://hivpreventioncoalition.unaids.org/resource/condom-needs-and-resource-requirement-estimation-tool/</v>
      </c>
      <c r="H49" s="22" t="s">
        <v>153</v>
      </c>
      <c r="I49" s="64" t="s">
        <v>1587</v>
      </c>
      <c r="J49" s="64" t="s">
        <v>154</v>
      </c>
      <c r="K49" s="54"/>
    </row>
    <row r="50" spans="1:11" ht="84" x14ac:dyDescent="0.3">
      <c r="A50" s="10"/>
      <c r="B50" s="10"/>
      <c r="C50" s="10"/>
      <c r="D50" s="10"/>
      <c r="E50" s="54"/>
      <c r="G50" s="4" t="str">
        <f t="shared" ca="1" si="1"/>
        <v>Total number of condoms needed (A1 - A3): 
This refers to the estimated number of condoms needed (male and female) to meet global coverage targets. Use the total condoms required for the relevant key or vulnerable population (A) and insert the total number of male condoms into A1. The number of female condoms will automatically calculate into A2. 
Please attach the completed tool as an annex to the concept note submission.</v>
      </c>
      <c r="H50" s="22" t="s">
        <v>155</v>
      </c>
      <c r="I50" s="64" t="s">
        <v>1588</v>
      </c>
      <c r="J50" s="64" t="s">
        <v>156</v>
      </c>
      <c r="K50" s="54"/>
    </row>
    <row r="51" spans="1:11" ht="28" x14ac:dyDescent="0.3">
      <c r="A51" s="4" t="str">
        <f t="shared" ref="A51:A65" ca="1" si="3">OFFSET($B51,0,LangOffset,1,1)</f>
        <v>Male Circumcision</v>
      </c>
      <c r="B51" s="4" t="s">
        <v>157</v>
      </c>
      <c r="C51" s="54" t="s">
        <v>158</v>
      </c>
      <c r="D51" s="54" t="s">
        <v>159</v>
      </c>
      <c r="E51" s="54"/>
      <c r="G51" s="4" t="str">
        <f t="shared" ca="1" si="1"/>
        <v xml:space="preserve">Country target:
Refers to NSP or any other latest agreed country target. </v>
      </c>
      <c r="H51" s="22" t="s">
        <v>160</v>
      </c>
      <c r="I51" s="64" t="s">
        <v>1582</v>
      </c>
      <c r="J51" s="64" t="s">
        <v>161</v>
      </c>
      <c r="K51" s="54"/>
    </row>
    <row r="52" spans="1:11" ht="196" x14ac:dyDescent="0.3">
      <c r="A52" s="4" t="str">
        <f t="shared" ca="1" si="3"/>
        <v>Prevention - voluntary male medical circumcision</v>
      </c>
      <c r="B52" s="57" t="s">
        <v>162</v>
      </c>
      <c r="C52" s="77" t="s">
        <v>163</v>
      </c>
      <c r="D52" s="54" t="s">
        <v>164</v>
      </c>
      <c r="E52" s="10"/>
      <c r="G52" s="4" t="str">
        <f t="shared" ca="1" si="1"/>
        <v xml:space="preserve">Country target already covered: 
1) Country target already covered is broken down first by funding resource type, followed by type of condom.
2) Resource type: Country target already covered is broken down into the target planned to be covered by domestic resources (line C1), and external resources (C2). 
3) National private sector investments are to be included under domestic sources. Please specify under 'Comments/Assumptions' wherever private sector resources are available as well as specify the external sources. 
4) In cases where part of the target during the year is covered by a current Global Fund grant (that ends prior to the start of the new implementation period), it can be included in the external resources category. The total of these two is automatically generated in line C3. 
5) Condom type: Country target already covered is broken down by male condoms (C4), and female condoms (C5). The total of these two is automatically generated in line C6. Please note that the result in C3 and C6 should be the same.
6) If information for lines C1 and C2 are not available, fill only lines C4 and C5. </v>
      </c>
      <c r="H52" s="22" t="s">
        <v>165</v>
      </c>
      <c r="I52" s="64" t="s">
        <v>1589</v>
      </c>
      <c r="J52" s="64" t="s">
        <v>166</v>
      </c>
      <c r="K52" s="54"/>
    </row>
    <row r="53" spans="1:11" ht="42" x14ac:dyDescent="0.3">
      <c r="A53" s="4" t="str">
        <f t="shared" ca="1" si="3"/>
        <v xml:space="preserve">Number of medical male circumcisions performed </v>
      </c>
      <c r="B53" s="4" t="s">
        <v>167</v>
      </c>
      <c r="C53" s="54" t="s">
        <v>168</v>
      </c>
      <c r="D53" s="54" t="s">
        <v>169</v>
      </c>
      <c r="E53" s="54"/>
      <c r="G53" s="4" t="str">
        <f t="shared" ca="1" si="1"/>
        <v>Programmatic Gap:
The programmatic gap is calculated based on estimated need as per the C-NET tool (line A1 for male condoms, line A2 for female condoms).</v>
      </c>
      <c r="H53" s="22" t="s">
        <v>170</v>
      </c>
      <c r="I53" s="64" t="s">
        <v>1590</v>
      </c>
      <c r="J53" s="64" t="s">
        <v>171</v>
      </c>
      <c r="K53" s="54"/>
    </row>
    <row r="54" spans="1:11" ht="84" x14ac:dyDescent="0.3">
      <c r="A54" s="4" t="str">
        <f t="shared" ca="1" si="3"/>
        <v>Country target already covered</v>
      </c>
      <c r="B54" s="4" t="s">
        <v>172</v>
      </c>
      <c r="C54" s="54" t="s">
        <v>173</v>
      </c>
      <c r="D54" s="54" t="s">
        <v>174</v>
      </c>
      <c r="E54" s="54"/>
      <c r="G54" s="4" t="str">
        <f t="shared" ca="1" si="1"/>
        <v>Comments/Assumptions:
1) Indicate the difference between the Country target and number estimated by C-NET. 
2) Specify who are the other sources of funding.
3) Specify the amount of the programmatic gap that is in the within-allocation request, and the amount included in the above-allocation (PAAR). Clarify to what extent this request will cover needs in the highest incidence geographic areas.</v>
      </c>
      <c r="H54" s="53" t="s">
        <v>1394</v>
      </c>
      <c r="I54" s="262" t="s">
        <v>1591</v>
      </c>
      <c r="J54" s="262" t="s">
        <v>1395</v>
      </c>
      <c r="K54" s="54"/>
    </row>
    <row r="55" spans="1:11" ht="33.65" customHeight="1" x14ac:dyDescent="0.3">
      <c r="A55" s="4" t="str">
        <f t="shared" ca="1" si="3"/>
        <v>C1. Country need planned to be covered by domestic resources</v>
      </c>
      <c r="B55" s="99" t="s">
        <v>175</v>
      </c>
      <c r="C55" s="4" t="s">
        <v>176</v>
      </c>
      <c r="D55" s="4" t="s">
        <v>177</v>
      </c>
      <c r="E55" s="54"/>
      <c r="G55" s="4" t="str">
        <f t="shared" ca="1" si="1"/>
        <v>"TB-HIV" tab</v>
      </c>
      <c r="H55" s="268" t="s">
        <v>178</v>
      </c>
      <c r="I55" s="269" t="s">
        <v>179</v>
      </c>
      <c r="J55" s="269" t="s">
        <v>180</v>
      </c>
      <c r="K55" s="54"/>
    </row>
    <row r="56" spans="1:11" ht="32.5" customHeight="1" x14ac:dyDescent="0.35">
      <c r="A56" s="4" t="str">
        <f t="shared" ca="1" si="3"/>
        <v>C2. Country need planned to be covered by external resources</v>
      </c>
      <c r="B56" s="99" t="s">
        <v>181</v>
      </c>
      <c r="C56" s="4" t="s">
        <v>182</v>
      </c>
      <c r="D56" s="4" t="s">
        <v>183</v>
      </c>
      <c r="E56" s="10"/>
      <c r="G56" s="4" t="str">
        <f t="shared" ca="1" si="1"/>
        <v>TB/HIV - TB screening, testing and diagnosis among HIV patients</v>
      </c>
      <c r="H56" s="268" t="s">
        <v>184</v>
      </c>
      <c r="I56" s="292" t="s">
        <v>1514</v>
      </c>
      <c r="J56" s="291" t="s">
        <v>1486</v>
      </c>
      <c r="K56" s="54"/>
    </row>
    <row r="57" spans="1:11" ht="42" x14ac:dyDescent="0.3">
      <c r="A57" s="4" t="str">
        <f t="shared" ca="1" si="3"/>
        <v>C3. Total country need already covered</v>
      </c>
      <c r="B57" s="99" t="s">
        <v>185</v>
      </c>
      <c r="C57" s="4" t="s">
        <v>186</v>
      </c>
      <c r="D57" s="4" t="s">
        <v>187</v>
      </c>
      <c r="E57" s="54"/>
      <c r="G57" s="4" t="str">
        <f t="shared" ca="1" si="1"/>
        <v>Coverage indicator: 
Percentage of people living with HIV newly initiated on ART who were screened for TB.</v>
      </c>
      <c r="H57" s="64" t="s">
        <v>188</v>
      </c>
      <c r="I57" s="64" t="s">
        <v>1592</v>
      </c>
      <c r="J57" s="302" t="s">
        <v>1546</v>
      </c>
      <c r="K57" s="54"/>
    </row>
    <row r="58" spans="1:11" ht="32.5" customHeight="1" x14ac:dyDescent="0.3">
      <c r="A58" s="4" t="str">
        <f t="shared" ca="1" si="3"/>
        <v>D. Expected annual gap in meeting the country target: A - C3</v>
      </c>
      <c r="B58" s="4" t="s">
        <v>189</v>
      </c>
      <c r="C58" s="54" t="s">
        <v>190</v>
      </c>
      <c r="D58" s="54" t="s">
        <v>191</v>
      </c>
      <c r="E58" s="54"/>
      <c r="G58" s="4" t="str">
        <f t="shared" ca="1" si="1"/>
        <v>Estimated population in need/at risk: 
Refers to all people living with HIV newly initiated on ART.</v>
      </c>
      <c r="H58" s="22" t="s">
        <v>192</v>
      </c>
      <c r="I58" s="22" t="s">
        <v>1593</v>
      </c>
      <c r="J58" s="22" t="s">
        <v>193</v>
      </c>
      <c r="K58" s="54"/>
    </row>
    <row r="59" spans="1:11" ht="85" customHeight="1" x14ac:dyDescent="0.3">
      <c r="A59" s="4" t="str">
        <f t="shared" ca="1" si="3"/>
        <v>Country target covered with the allocation amount</v>
      </c>
      <c r="B59" s="4" t="s">
        <v>194</v>
      </c>
      <c r="C59" s="54" t="s">
        <v>195</v>
      </c>
      <c r="D59" s="54" t="s">
        <v>196</v>
      </c>
      <c r="E59" s="54"/>
      <c r="G59" s="4" t="str">
        <f t="shared" ca="1" si="1"/>
        <v>Country target:
Refers to NSP or any other latest agreed country target.
1) “#” refers to the number of people living with HIV newly initiated on ART who were screened for TB.
2) “%” refers to the percentage of people living with HIV newly initiated on ART who had TB status assessed and recorded among all people living with HIV newly initiated on ART.</v>
      </c>
      <c r="H59" s="64" t="s">
        <v>197</v>
      </c>
      <c r="I59" s="64" t="s">
        <v>1594</v>
      </c>
      <c r="J59" s="64" t="s">
        <v>198</v>
      </c>
      <c r="K59" s="54"/>
    </row>
    <row r="60" spans="1:11" ht="155.5" customHeight="1" x14ac:dyDescent="0.3">
      <c r="A60" s="4" t="str">
        <f t="shared" ca="1" si="3"/>
        <v xml:space="preserve">G. Remaining gap: A - F </v>
      </c>
      <c r="B60" s="4" t="s">
        <v>199</v>
      </c>
      <c r="C60" s="55" t="s">
        <v>200</v>
      </c>
      <c r="D60" s="54" t="s">
        <v>201</v>
      </c>
      <c r="E60" s="54"/>
      <c r="G60" s="28" t="str">
        <f t="shared" ca="1" si="1"/>
        <v>Country need already covered: 
1) Country need already covered is broken down into need planned to be covered by domestic resources (line C1), and external resources (line C2). 
2) National private sector investments are to be included under domestic sources. 
3) In cases where part of the need during the year is covered by a current Global Fund grant (that ends prior to the start of the new implementation period), it can be included in the external resources category. 
4)  Once C1 and C2 are filled in, the total of country need already covered is automatically calculated in line C3. Note that line C3 is locked and cannot be overridden. Therefore, please use line C1 to provide a total if the domestic and external breakdown of resources is not available. 
5) If this is the case, specify in the comments box that line C1 refers to the total of both domestic and external resources.</v>
      </c>
      <c r="H60" s="22" t="s">
        <v>202</v>
      </c>
      <c r="I60" s="22" t="s">
        <v>1595</v>
      </c>
      <c r="J60" s="22" t="s">
        <v>203</v>
      </c>
      <c r="K60" s="54"/>
    </row>
    <row r="61" spans="1:11" ht="32.5" customHeight="1" x14ac:dyDescent="0.3">
      <c r="A61" s="4" t="str">
        <f t="shared" ca="1" si="3"/>
        <v>All "%" targets from rows C3 to G are based on numerical target in row B.</v>
      </c>
      <c r="B61" s="4" t="s">
        <v>204</v>
      </c>
      <c r="C61" s="55" t="s">
        <v>205</v>
      </c>
      <c r="D61" s="54" t="s">
        <v>206</v>
      </c>
      <c r="E61" s="54"/>
      <c r="G61" s="4" t="str">
        <f t="shared" ca="1" si="1"/>
        <v>Programmatic gap: 
The programmatic gap is calculated based on total need (row A).</v>
      </c>
      <c r="H61" s="22" t="s">
        <v>207</v>
      </c>
      <c r="I61" s="22" t="s">
        <v>1596</v>
      </c>
      <c r="J61" s="22" t="s">
        <v>208</v>
      </c>
      <c r="K61" s="54"/>
    </row>
    <row r="62" spans="1:11" ht="32.5" customHeight="1" x14ac:dyDescent="0.3">
      <c r="A62" s="4">
        <f t="shared" ca="1" si="3"/>
        <v>0</v>
      </c>
      <c r="B62" s="10"/>
      <c r="C62" s="10"/>
      <c r="D62" s="10"/>
      <c r="E62" s="54"/>
      <c r="G62" s="4" t="str">
        <f t="shared" ca="1" si="1"/>
        <v>Comments/Assumptions:
1) Specify the target geographic area.
2) Specify who are the other sources of funding.</v>
      </c>
      <c r="H62" s="22" t="s">
        <v>209</v>
      </c>
      <c r="I62" s="22" t="s">
        <v>1597</v>
      </c>
      <c r="J62" s="22" t="s">
        <v>210</v>
      </c>
      <c r="K62" s="54"/>
    </row>
    <row r="63" spans="1:11" ht="32.5" customHeight="1" x14ac:dyDescent="0.35">
      <c r="A63" s="4" t="str">
        <f t="shared" ca="1" si="3"/>
        <v>Prevention - key populations-PrEP</v>
      </c>
      <c r="B63" s="57" t="s">
        <v>211</v>
      </c>
      <c r="C63" s="75" t="s">
        <v>212</v>
      </c>
      <c r="D63" s="73" t="s">
        <v>213</v>
      </c>
      <c r="E63" s="58"/>
      <c r="G63" s="4" t="str">
        <f t="shared" ca="1" si="1"/>
        <v>TB/HIV - TB patients with known HIV status</v>
      </c>
      <c r="H63" s="80" t="s">
        <v>214</v>
      </c>
      <c r="I63" s="80" t="s">
        <v>1557</v>
      </c>
      <c r="J63" s="80" t="s">
        <v>215</v>
      </c>
      <c r="K63" s="54"/>
    </row>
    <row r="64" spans="1:11" ht="32.5" customHeight="1" x14ac:dyDescent="0.3">
      <c r="A64" s="4" t="str">
        <f t="shared" ca="1" si="3"/>
        <v>Percentage of eligible key populations who initiated oral antiretroviral PrEP in the last 12 months</v>
      </c>
      <c r="B64" s="57" t="s">
        <v>216</v>
      </c>
      <c r="C64" s="77" t="s">
        <v>217</v>
      </c>
      <c r="D64" s="54" t="s">
        <v>218</v>
      </c>
      <c r="E64" s="58"/>
      <c r="G64" s="4" t="str">
        <f t="shared" ca="1" si="1"/>
        <v xml:space="preserve">Coverage indicator: 
Percentage of registered new and relapse TB patients with documented HIV status. </v>
      </c>
      <c r="H64" s="22" t="s">
        <v>219</v>
      </c>
      <c r="I64" s="22" t="s">
        <v>1598</v>
      </c>
      <c r="J64" s="22" t="s">
        <v>220</v>
      </c>
      <c r="K64" s="54"/>
    </row>
    <row r="65" spans="1:11" ht="32.5" customHeight="1" x14ac:dyDescent="0.3">
      <c r="A65" s="4" t="str">
        <f t="shared" ca="1" si="3"/>
        <v>PrEP Programmatic Gap Table 1</v>
      </c>
      <c r="B65" s="94" t="s">
        <v>221</v>
      </c>
      <c r="C65" s="54" t="s">
        <v>1303</v>
      </c>
      <c r="D65" s="54" t="s">
        <v>1304</v>
      </c>
      <c r="E65" s="54"/>
      <c r="G65" s="4" t="str">
        <f t="shared" ca="1" si="1"/>
        <v>Estimated population in need/at risk: 
Refers to the total number of new and relapse TB patients registered.</v>
      </c>
      <c r="H65" s="22" t="s">
        <v>222</v>
      </c>
      <c r="I65" s="22" t="s">
        <v>1599</v>
      </c>
      <c r="J65" s="22" t="s">
        <v>223</v>
      </c>
      <c r="K65" s="54"/>
    </row>
    <row r="66" spans="1:11" ht="81.650000000000006" customHeight="1" x14ac:dyDescent="0.3">
      <c r="A66" s="10"/>
      <c r="B66" s="10"/>
      <c r="C66" s="10"/>
      <c r="D66" s="10"/>
      <c r="E66" s="54"/>
      <c r="G66" s="4" t="str">
        <f t="shared" ca="1" si="1"/>
        <v>Country target:
Refers to NSP or any other latest agreed country target.
1) "#" refers to the number of registered new and relapses TB patients with documented HIV status.
2) "%" refers to the percentage of registered new and relapses TB patients with documented HIV status among the total number of registered new and relapse TB patients.</v>
      </c>
      <c r="H66" s="22" t="s">
        <v>224</v>
      </c>
      <c r="I66" s="22" t="s">
        <v>1600</v>
      </c>
      <c r="J66" s="22" t="s">
        <v>225</v>
      </c>
      <c r="K66" s="54"/>
    </row>
    <row r="67" spans="1:11" ht="32.5" customHeight="1" x14ac:dyDescent="0.3">
      <c r="A67" s="4" t="str">
        <f t="shared" ref="A67:A95" ca="1" si="4">OFFSET($B67,0,LangOffset,1,1)</f>
        <v>Condom Programmatic Gap Table 1</v>
      </c>
      <c r="B67" s="94" t="s">
        <v>1322</v>
      </c>
      <c r="C67" s="55" t="s">
        <v>1323</v>
      </c>
      <c r="D67" s="54" t="s">
        <v>226</v>
      </c>
      <c r="E67" s="54"/>
      <c r="G67" s="4" t="str">
        <f t="shared" ca="1" si="1"/>
        <v>Programmatic gap: 
The programmatic gap is calculated based on total need (row A).</v>
      </c>
      <c r="H67" s="22" t="s">
        <v>207</v>
      </c>
      <c r="I67" s="22" t="s">
        <v>1596</v>
      </c>
      <c r="J67" s="22" t="s">
        <v>208</v>
      </c>
      <c r="K67" s="54"/>
    </row>
    <row r="68" spans="1:11" ht="32.5" customHeight="1" x14ac:dyDescent="0.35">
      <c r="A68" s="4" t="str">
        <f t="shared" ca="1" si="4"/>
        <v>Prevention - National condom programming and stewardship</v>
      </c>
      <c r="B68" s="57" t="s">
        <v>227</v>
      </c>
      <c r="C68" s="75" t="s">
        <v>228</v>
      </c>
      <c r="D68" s="73" t="s">
        <v>229</v>
      </c>
      <c r="E68" s="54"/>
      <c r="G68" s="4" t="str">
        <f t="shared" ca="1" si="1"/>
        <v>Comments/Assumptions:
1) Specify the target geographic area.
2) Specify who are the other sources of funding.</v>
      </c>
      <c r="H68" s="22" t="s">
        <v>209</v>
      </c>
      <c r="I68" s="22" t="s">
        <v>1601</v>
      </c>
      <c r="J68" s="22" t="s">
        <v>210</v>
      </c>
      <c r="K68" s="54"/>
    </row>
    <row r="69" spans="1:11" ht="32.5" customHeight="1" x14ac:dyDescent="0.35">
      <c r="A69" s="4" t="str">
        <f t="shared" ca="1" si="4"/>
        <v>Number of condoms distributed by the program (male and female)</v>
      </c>
      <c r="B69" s="57" t="s">
        <v>231</v>
      </c>
      <c r="C69" s="75" t="s">
        <v>232</v>
      </c>
      <c r="D69" s="54" t="s">
        <v>233</v>
      </c>
      <c r="E69" s="54"/>
      <c r="G69" s="4" t="str">
        <f t="shared" ca="1" si="1"/>
        <v xml:space="preserve">TB/HIV - TB/HIV Treatment and care </v>
      </c>
      <c r="H69" s="80" t="s">
        <v>234</v>
      </c>
      <c r="I69" s="287" t="s">
        <v>1475</v>
      </c>
      <c r="J69" s="59" t="s">
        <v>1476</v>
      </c>
      <c r="K69" s="54"/>
    </row>
    <row r="70" spans="1:11" ht="62.15" customHeight="1" x14ac:dyDescent="0.35">
      <c r="A70" s="4" t="str">
        <f t="shared" ca="1" si="4"/>
        <v>all priority populations</v>
      </c>
      <c r="B70" s="57" t="s">
        <v>235</v>
      </c>
      <c r="C70" s="75" t="s">
        <v>236</v>
      </c>
      <c r="D70" s="73" t="s">
        <v>237</v>
      </c>
      <c r="E70" s="54"/>
      <c r="G70" s="4" t="str">
        <f t="shared" ca="1" si="1"/>
        <v>Coverage indicator: 
Proportion of HIV-positive TB patients (new and relapse) on ART during TB treatment.</v>
      </c>
      <c r="H70" s="22" t="s">
        <v>238</v>
      </c>
      <c r="I70" s="302" t="s">
        <v>1602</v>
      </c>
      <c r="J70" s="302" t="s">
        <v>1547</v>
      </c>
      <c r="K70" s="54"/>
    </row>
    <row r="71" spans="1:11" ht="32.5" customHeight="1" x14ac:dyDescent="0.3">
      <c r="A71" s="4" t="str">
        <f t="shared" ca="1" si="4"/>
        <v>A1. Total male condoms needed</v>
      </c>
      <c r="B71" s="4" t="s">
        <v>239</v>
      </c>
      <c r="C71" s="55" t="s">
        <v>240</v>
      </c>
      <c r="D71" s="54" t="s">
        <v>241</v>
      </c>
      <c r="E71" s="54"/>
      <c r="G71" s="4" t="str">
        <f t="shared" ca="1" si="1"/>
        <v>Estimated population in need/at risk: 
Refers to the total number of expected HIV positive new and relapse TB patients registered in the period.</v>
      </c>
      <c r="H71" s="22" t="s">
        <v>242</v>
      </c>
      <c r="I71" s="22" t="s">
        <v>1603</v>
      </c>
      <c r="J71" s="22" t="s">
        <v>243</v>
      </c>
      <c r="K71" s="54"/>
    </row>
    <row r="72" spans="1:11" ht="86.15" customHeight="1" x14ac:dyDescent="0.3">
      <c r="A72" s="4" t="str">
        <f t="shared" ca="1" si="4"/>
        <v>A2. Total female condoms needed</v>
      </c>
      <c r="B72" s="4" t="s">
        <v>244</v>
      </c>
      <c r="C72" s="55" t="s">
        <v>245</v>
      </c>
      <c r="D72" s="54" t="s">
        <v>246</v>
      </c>
      <c r="E72" s="54"/>
      <c r="G72" s="4" t="str">
        <f t="shared" ca="1" si="1"/>
        <v>Country target:
Refers to NSP or any other latest agreed country target.
1) “#” refers to the number of HIV positive TB patients (new and relapse) who receive ART.
2) “%” refers to the percentage of HIV positive new and relapse TB patients who receive ART among the total of HIV positive new and relapse TB patients registered.</v>
      </c>
      <c r="H72" s="22" t="s">
        <v>247</v>
      </c>
      <c r="I72" s="22" t="s">
        <v>1604</v>
      </c>
      <c r="J72" s="22" t="s">
        <v>248</v>
      </c>
      <c r="K72" s="54"/>
    </row>
    <row r="73" spans="1:11" ht="32.5" customHeight="1" x14ac:dyDescent="0.3">
      <c r="A73" s="4" t="str">
        <f t="shared" ca="1" si="4"/>
        <v>B1. Country targets- male condoms
(from National Strategic Plan)</v>
      </c>
      <c r="B73" s="4" t="s">
        <v>249</v>
      </c>
      <c r="C73" s="54" t="s">
        <v>250</v>
      </c>
      <c r="D73" s="54" t="s">
        <v>251</v>
      </c>
      <c r="E73" s="54"/>
      <c r="G73" s="4" t="str">
        <f t="shared" ca="1" si="1"/>
        <v>Programmatic gap: 
The programmatic gap is calculated based on total need (row A).</v>
      </c>
      <c r="H73" s="22" t="s">
        <v>207</v>
      </c>
      <c r="I73" s="22" t="s">
        <v>1596</v>
      </c>
      <c r="J73" s="22" t="s">
        <v>208</v>
      </c>
      <c r="K73" s="54"/>
    </row>
    <row r="74" spans="1:11" ht="42" x14ac:dyDescent="0.3">
      <c r="A74" s="4" t="str">
        <f t="shared" ca="1" si="4"/>
        <v>B2. Country targets- female condoms
(from National Strategic Plan)</v>
      </c>
      <c r="B74" s="4" t="s">
        <v>252</v>
      </c>
      <c r="C74" s="54" t="s">
        <v>253</v>
      </c>
      <c r="D74" s="54" t="s">
        <v>254</v>
      </c>
      <c r="E74" s="54"/>
      <c r="G74" s="4" t="str">
        <f t="shared" ca="1" si="1"/>
        <v>Comments/Assumptions:
1) Specify the target geographic area.
2) Specify who are the other sources of funding.</v>
      </c>
      <c r="H74" s="64" t="s">
        <v>209</v>
      </c>
      <c r="I74" s="22" t="s">
        <v>1601</v>
      </c>
      <c r="J74" s="22" t="s">
        <v>210</v>
      </c>
      <c r="K74" s="54"/>
    </row>
    <row r="75" spans="1:11" ht="14.5" x14ac:dyDescent="0.35">
      <c r="A75" s="4" t="str">
        <f t="shared" ca="1" si="4"/>
        <v>Country need to meet global target already covered by funding resource</v>
      </c>
      <c r="B75" s="94" t="s">
        <v>255</v>
      </c>
      <c r="C75" s="54" t="s">
        <v>256</v>
      </c>
      <c r="D75" s="54" t="s">
        <v>257</v>
      </c>
      <c r="E75" s="54"/>
      <c r="G75" s="4" t="str">
        <f t="shared" ca="1" si="1"/>
        <v>TB/HIV - TB/HIV prevention (only for PLHIVs)</v>
      </c>
      <c r="H75" s="64" t="s">
        <v>258</v>
      </c>
      <c r="I75" s="303" t="s">
        <v>1515</v>
      </c>
      <c r="J75" s="303" t="s">
        <v>1485</v>
      </c>
      <c r="K75" s="54"/>
    </row>
    <row r="76" spans="1:11" ht="42" x14ac:dyDescent="0.3">
      <c r="A76" s="4" t="str">
        <f t="shared" ca="1" si="4"/>
        <v>C1. Global target planned to be covered by domestic resources, including private sector where available</v>
      </c>
      <c r="B76" s="98" t="s">
        <v>259</v>
      </c>
      <c r="C76" s="81" t="s">
        <v>260</v>
      </c>
      <c r="D76" s="54" t="s">
        <v>261</v>
      </c>
      <c r="E76" s="54"/>
      <c r="G76" s="4" t="str">
        <f t="shared" ca="1" si="1"/>
        <v>Coverage indicator: 
Percentage of PLHIV currently enrolled on ART who started TB preventive therapy during the reporting period.</v>
      </c>
      <c r="H76" s="64" t="s">
        <v>262</v>
      </c>
      <c r="I76" s="304" t="s">
        <v>1605</v>
      </c>
      <c r="J76" s="304" t="s">
        <v>1548</v>
      </c>
      <c r="K76" s="54"/>
    </row>
    <row r="77" spans="1:11" ht="140" x14ac:dyDescent="0.3">
      <c r="A77" s="4" t="str">
        <f t="shared" ca="1" si="4"/>
        <v>C2. Global target planned to be covered by external resources</v>
      </c>
      <c r="B77" s="94" t="s">
        <v>118</v>
      </c>
      <c r="C77" s="54" t="s">
        <v>263</v>
      </c>
      <c r="D77" s="54" t="s">
        <v>264</v>
      </c>
      <c r="E77" s="54"/>
      <c r="G77" s="4" t="str">
        <f t="shared" ca="1" si="1"/>
        <v>Estimated population in need/at risk:
Refers to the estimated number of people living with HIV (PLHIV) enrolled on ART during the period. 
This excludes PLHIV on TB treatment or being evaluated for active TB. Where possible, it should also exclude PLHIV who previously completed TPT within the timeframe recommended by national policy, as well as those PLHIV estimated to be clinically non-eligible due to co-morbidities and contraindications, including active hepatitis, chronic alcoholism, use of other medications that are potentially hepatotoxic such as nevirapine, and/or neuropathy.</v>
      </c>
      <c r="H77" s="64" t="s">
        <v>265</v>
      </c>
      <c r="I77" s="64" t="s">
        <v>1606</v>
      </c>
      <c r="J77" s="64" t="s">
        <v>266</v>
      </c>
      <c r="K77" s="54"/>
    </row>
    <row r="78" spans="1:11" ht="98" x14ac:dyDescent="0.3">
      <c r="A78" s="4" t="str">
        <f t="shared" ca="1" si="4"/>
        <v>C3. Total global target planned to be covered: C1+C2</v>
      </c>
      <c r="B78" s="94" t="s">
        <v>267</v>
      </c>
      <c r="C78" s="55" t="s">
        <v>1613</v>
      </c>
      <c r="D78" s="54" t="s">
        <v>268</v>
      </c>
      <c r="E78" s="54"/>
      <c r="G78" s="4" t="str">
        <f t="shared" ca="1" si="1"/>
        <v>Country target:
Refers to NSP or any other latest agreed country target.
1) “#” refers to the number of PLHIV currently enrolled on ART who started TB preventive treatment (TPT during the reporting period
2) “%” refers to the percentage of PLHIV currently enrolled on ART who started TB preventive treatment among the total number of PLHIV currently enrolled on ART.</v>
      </c>
      <c r="H78" s="64" t="s">
        <v>269</v>
      </c>
      <c r="I78" s="64" t="s">
        <v>1607</v>
      </c>
      <c r="J78" s="64" t="s">
        <v>270</v>
      </c>
      <c r="K78" s="54"/>
    </row>
    <row r="79" spans="1:11" ht="28" x14ac:dyDescent="0.3">
      <c r="A79" s="4" t="str">
        <f t="shared" ca="1" si="4"/>
        <v>Global target already covered by type of condom</v>
      </c>
      <c r="B79" s="94" t="s">
        <v>271</v>
      </c>
      <c r="C79" s="54" t="s">
        <v>272</v>
      </c>
      <c r="D79" s="54" t="s">
        <v>273</v>
      </c>
      <c r="E79" s="54"/>
      <c r="G79" s="4" t="str">
        <f t="shared" ca="1" si="1"/>
        <v>Programmatic gap: 
The programmatic gap is calculated based on total need (line A).</v>
      </c>
      <c r="H79" s="64" t="s">
        <v>274</v>
      </c>
      <c r="I79" s="64" t="s">
        <v>1596</v>
      </c>
      <c r="J79" s="64" t="s">
        <v>275</v>
      </c>
      <c r="K79" s="54"/>
    </row>
    <row r="80" spans="1:11" ht="42" x14ac:dyDescent="0.3">
      <c r="A80" s="4" t="str">
        <f t="shared" ca="1" si="4"/>
        <v>C4. Global target planned to be covered (domestic+external resources)- male condoms</v>
      </c>
      <c r="B80" s="94" t="s">
        <v>276</v>
      </c>
      <c r="C80" s="54" t="s">
        <v>277</v>
      </c>
      <c r="D80" s="54" t="s">
        <v>278</v>
      </c>
      <c r="E80" s="54"/>
      <c r="G80" s="4" t="str">
        <f t="shared" ca="1" si="1"/>
        <v>Comments/Assumptions:
1) Specify the target geographic area.
2) Specify who are the other sources of funding.</v>
      </c>
      <c r="H80" s="64" t="s">
        <v>209</v>
      </c>
      <c r="I80" s="64" t="s">
        <v>230</v>
      </c>
      <c r="J80" s="64" t="s">
        <v>210</v>
      </c>
      <c r="K80" s="54"/>
    </row>
    <row r="81" spans="1:11" x14ac:dyDescent="0.3">
      <c r="A81" s="4" t="str">
        <f t="shared" ca="1" si="4"/>
        <v>C5. Global target planned to be covered (domestic+external resources)- female condoms</v>
      </c>
      <c r="B81" s="94" t="s">
        <v>279</v>
      </c>
      <c r="C81" s="54" t="s">
        <v>280</v>
      </c>
      <c r="D81" s="54" t="s">
        <v>281</v>
      </c>
      <c r="E81" s="54"/>
      <c r="G81" s="92"/>
      <c r="H81" s="92"/>
      <c r="I81" s="208"/>
      <c r="J81" s="208"/>
      <c r="K81" s="54"/>
    </row>
    <row r="82" spans="1:11" ht="42" x14ac:dyDescent="0.3">
      <c r="A82" s="4" t="str">
        <f t="shared" ca="1" si="4"/>
        <v>C6. Total global target planned to be covered (male+female): C4+C5</v>
      </c>
      <c r="B82" s="94" t="s">
        <v>282</v>
      </c>
      <c r="C82" s="55" t="s">
        <v>1614</v>
      </c>
      <c r="D82" s="54" t="s">
        <v>283</v>
      </c>
      <c r="E82" s="54"/>
      <c r="G82" s="4" t="str">
        <f t="shared" ca="1" si="1"/>
        <v>The Modular Framework -  https://www.theglobalfund.org/media/4309/fundingmodel_modularframework_handbook_en.pdf</v>
      </c>
      <c r="H82" s="206" t="s">
        <v>1209</v>
      </c>
      <c r="I82" s="207" t="s">
        <v>1210</v>
      </c>
      <c r="J82" s="207" t="s">
        <v>1211</v>
      </c>
      <c r="K82" s="54"/>
    </row>
    <row r="83" spans="1:11" ht="28" x14ac:dyDescent="0.3">
      <c r="A83" s="4" t="str">
        <f t="shared" ca="1" si="4"/>
        <v>Programmatic gap</v>
      </c>
      <c r="B83" s="4" t="s">
        <v>124</v>
      </c>
      <c r="C83" s="54" t="s">
        <v>125</v>
      </c>
      <c r="D83" s="54" t="s">
        <v>126</v>
      </c>
      <c r="E83" s="54"/>
      <c r="G83" s="27" t="str">
        <f t="shared" ca="1" si="1"/>
        <v>Global Fund HIV Information Note - https://www.theglobalfund.org/media/4759/core_resilientsustainablesystemsforhealth_infonote_en.pdf</v>
      </c>
      <c r="H83" s="207" t="s">
        <v>1215</v>
      </c>
      <c r="I83" s="207" t="s">
        <v>1216</v>
      </c>
      <c r="J83" s="207" t="s">
        <v>1217</v>
      </c>
      <c r="K83" s="54"/>
    </row>
    <row r="84" spans="1:11" ht="112" x14ac:dyDescent="0.3">
      <c r="A84" s="4" t="str">
        <f t="shared" ca="1" si="4"/>
        <v>D1. Expected annual gap in meeting the need- male condoms: A1 - C4</v>
      </c>
      <c r="B84" s="94" t="s">
        <v>284</v>
      </c>
      <c r="C84" s="54" t="s">
        <v>1615</v>
      </c>
      <c r="D84" s="54" t="s">
        <v>285</v>
      </c>
      <c r="E84" s="54"/>
      <c r="G84" s="4" t="str">
        <f t="shared" ca="1" si="1"/>
        <v xml:space="preserve">Note: Throughout the instructions, the term “high incidence settings” is used to indicate “high-risk AGYW”. High HIV incidence settings are sub-national locations with an HIV incidence of 1% or more among AGYW 15-24 years as per UNAIDS criteria. AGYW residing in these areas are considered high-risk. However, those residing within areas with moderate HIV incidence of 0.3% to &lt;1% can also be considered high-risk AGYW based on their reported behaviour (AGYW with non-regular sexual partner(s) and young women from key populations). [UNAIDS (2021). Global AIDS Strategy 2021-2026 — End Inequalities. End AIDS.]  </v>
      </c>
      <c r="H84" s="53" t="s">
        <v>1396</v>
      </c>
      <c r="I84" s="53" t="s">
        <v>1397</v>
      </c>
      <c r="J84" s="53" t="s">
        <v>1398</v>
      </c>
      <c r="K84" s="54"/>
    </row>
    <row r="85" spans="1:11" x14ac:dyDescent="0.3">
      <c r="A85" s="4" t="str">
        <f t="shared" ca="1" si="4"/>
        <v>D2. Expected annual gap in meeting the need- female condoms: A2 - C5</v>
      </c>
      <c r="B85" s="94" t="s">
        <v>286</v>
      </c>
      <c r="C85" s="54" t="s">
        <v>1616</v>
      </c>
      <c r="D85" s="54" t="s">
        <v>287</v>
      </c>
      <c r="E85" s="54"/>
      <c r="G85" s="208"/>
      <c r="H85" s="208"/>
      <c r="I85" s="208"/>
      <c r="J85" s="209"/>
      <c r="K85" s="54"/>
    </row>
    <row r="86" spans="1:11" x14ac:dyDescent="0.3">
      <c r="A86" s="4" t="str">
        <f t="shared" ca="1" si="4"/>
        <v>Country need to meet global target covered with the allocation amount</v>
      </c>
      <c r="B86" s="94" t="s">
        <v>1324</v>
      </c>
      <c r="C86" s="54" t="s">
        <v>288</v>
      </c>
      <c r="D86" s="54" t="s">
        <v>289</v>
      </c>
      <c r="E86" s="10"/>
      <c r="G86" s="4">
        <f t="shared" ca="1" si="1"/>
        <v>0</v>
      </c>
      <c r="H86" s="69"/>
      <c r="I86" s="69"/>
      <c r="J86" s="69"/>
      <c r="K86" s="54"/>
    </row>
    <row r="87" spans="1:11" ht="14.5" x14ac:dyDescent="0.3">
      <c r="A87" s="4" t="str">
        <f t="shared" ca="1" si="4"/>
        <v>E1. Targets to be financed by allocation amount- male condoms</v>
      </c>
      <c r="B87" s="4" t="s">
        <v>290</v>
      </c>
      <c r="C87" s="54" t="s">
        <v>291</v>
      </c>
      <c r="D87" s="54" t="s">
        <v>292</v>
      </c>
      <c r="E87" s="36"/>
      <c r="G87" s="4">
        <f t="shared" ca="1" si="1"/>
        <v>0</v>
      </c>
      <c r="H87" s="54"/>
      <c r="I87" s="55"/>
      <c r="J87" s="64"/>
      <c r="K87" s="54"/>
    </row>
    <row r="88" spans="1:11" ht="14.5" x14ac:dyDescent="0.35">
      <c r="A88" s="4" t="str">
        <f t="shared" ca="1" si="4"/>
        <v>E2. Targets to be financed by allocation amount - female condoms</v>
      </c>
      <c r="B88" s="4" t="s">
        <v>293</v>
      </c>
      <c r="C88" s="54" t="s">
        <v>294</v>
      </c>
      <c r="D88" s="54" t="s">
        <v>295</v>
      </c>
      <c r="E88" s="36"/>
      <c r="G88" s="4">
        <f t="shared" ca="1" si="1"/>
        <v>0</v>
      </c>
      <c r="H88" s="64"/>
      <c r="I88" s="76"/>
      <c r="J88" s="64"/>
      <c r="K88" s="54"/>
    </row>
    <row r="89" spans="1:11" ht="28" x14ac:dyDescent="0.3">
      <c r="A89" s="4" t="str">
        <f t="shared" ca="1" si="4"/>
        <v>F1. Coverage from allocation amount and other resources - male condoms: E1 + C4</v>
      </c>
      <c r="B89" s="22" t="s">
        <v>296</v>
      </c>
      <c r="C89" s="54" t="s">
        <v>297</v>
      </c>
      <c r="D89" s="54" t="s">
        <v>298</v>
      </c>
      <c r="E89" s="36"/>
      <c r="G89" s="4">
        <f t="shared" ca="1" si="1"/>
        <v>0</v>
      </c>
      <c r="H89" s="64"/>
      <c r="I89" s="80"/>
      <c r="J89" s="64"/>
      <c r="K89" s="54"/>
    </row>
    <row r="90" spans="1:11" ht="28" x14ac:dyDescent="0.3">
      <c r="A90" s="4" t="str">
        <f t="shared" ca="1" si="4"/>
        <v>F2. Coverage from allocation amount and other resources - female condoms: E2 + C5</v>
      </c>
      <c r="B90" s="22" t="s">
        <v>299</v>
      </c>
      <c r="C90" s="54" t="s">
        <v>300</v>
      </c>
      <c r="D90" s="54" t="s">
        <v>301</v>
      </c>
      <c r="E90" s="36"/>
      <c r="G90" s="4">
        <f t="shared" ca="1" si="1"/>
        <v>0</v>
      </c>
      <c r="H90" s="64"/>
      <c r="I90" s="79"/>
      <c r="J90" s="64"/>
      <c r="K90" s="54"/>
    </row>
    <row r="91" spans="1:11" x14ac:dyDescent="0.3">
      <c r="A91" s="4" t="str">
        <f t="shared" ca="1" si="4"/>
        <v>G1. Remaining gap- male condoms: A1 - F1</v>
      </c>
      <c r="B91" s="94" t="s">
        <v>302</v>
      </c>
      <c r="C91" s="54" t="s">
        <v>303</v>
      </c>
      <c r="D91" s="54" t="s">
        <v>304</v>
      </c>
      <c r="E91" s="36"/>
      <c r="G91" s="27">
        <f t="shared" ca="1" si="1"/>
        <v>0</v>
      </c>
      <c r="H91" s="64"/>
      <c r="I91" s="80"/>
      <c r="J91" s="64"/>
      <c r="K91" s="54"/>
    </row>
    <row r="92" spans="1:11" x14ac:dyDescent="0.3">
      <c r="A92" s="4" t="str">
        <f t="shared" ca="1" si="4"/>
        <v>G2. Remaining gap- female condoms: A2 - F2</v>
      </c>
      <c r="B92" s="94" t="s">
        <v>305</v>
      </c>
      <c r="C92" s="54" t="s">
        <v>306</v>
      </c>
      <c r="D92" s="54" t="s">
        <v>307</v>
      </c>
      <c r="E92" s="36"/>
      <c r="G92" s="4">
        <f t="shared" ca="1" si="1"/>
        <v>0</v>
      </c>
      <c r="H92" s="64"/>
      <c r="I92" s="79"/>
      <c r="J92" s="64"/>
      <c r="K92" s="54"/>
    </row>
    <row r="93" spans="1:11" ht="14.5" x14ac:dyDescent="0.3">
      <c r="A93" s="4">
        <f t="shared" ca="1" si="4"/>
        <v>0</v>
      </c>
      <c r="C93" s="54"/>
      <c r="D93" s="54"/>
      <c r="E93" s="36"/>
      <c r="G93" s="4">
        <f t="shared" ca="1" si="1"/>
        <v>0</v>
      </c>
      <c r="I93" s="55"/>
      <c r="J93" s="54"/>
      <c r="K93" s="54"/>
    </row>
    <row r="94" spans="1:11" ht="14.5" x14ac:dyDescent="0.3">
      <c r="A94" s="4" t="str">
        <f t="shared" ca="1" si="4"/>
        <v>Prevention- key populations</v>
      </c>
      <c r="B94" s="57" t="s">
        <v>308</v>
      </c>
      <c r="C94" s="77" t="s">
        <v>309</v>
      </c>
      <c r="D94" s="73" t="s">
        <v>310</v>
      </c>
      <c r="E94" s="36"/>
      <c r="G94" s="4">
        <f t="shared" ca="1" si="1"/>
        <v>0</v>
      </c>
      <c r="I94" s="54"/>
      <c r="J94" s="54"/>
      <c r="K94" s="54"/>
    </row>
    <row r="95" spans="1:11" ht="14.5" x14ac:dyDescent="0.3">
      <c r="A95" s="4" t="str">
        <f t="shared" ca="1" si="4"/>
        <v>Number of condoms and lubricants distributed (male and female)</v>
      </c>
      <c r="B95" s="4" t="s">
        <v>311</v>
      </c>
      <c r="C95" s="54" t="s">
        <v>312</v>
      </c>
      <c r="D95" s="54" t="s">
        <v>313</v>
      </c>
      <c r="E95" s="36"/>
      <c r="G95" s="4">
        <f t="shared" ca="1" si="1"/>
        <v>0</v>
      </c>
      <c r="I95" s="54"/>
      <c r="J95" s="54"/>
      <c r="K95" s="54"/>
    </row>
    <row r="96" spans="1:11" ht="14.5" x14ac:dyDescent="0.3">
      <c r="A96" s="10"/>
      <c r="B96" s="10"/>
      <c r="C96" s="10"/>
      <c r="D96" s="10"/>
      <c r="E96" s="36"/>
      <c r="G96" s="4">
        <f t="shared" ca="1" si="1"/>
        <v>0</v>
      </c>
      <c r="I96" s="55"/>
      <c r="J96" s="54"/>
      <c r="K96" s="54"/>
    </row>
    <row r="97" spans="1:12" ht="14.5" x14ac:dyDescent="0.35">
      <c r="A97" s="4" t="str">
        <f t="shared" ref="A97:A122" ca="1" si="5">OFFSET($B97,0,LangOffset,1,1)</f>
        <v>Prevention - People who inject drugs and their partners</v>
      </c>
      <c r="B97" s="57" t="s">
        <v>314</v>
      </c>
      <c r="C97" s="75" t="s">
        <v>315</v>
      </c>
      <c r="D97" s="74" t="s">
        <v>316</v>
      </c>
      <c r="E97" s="36"/>
      <c r="G97" s="4">
        <f t="shared" ca="1" si="1"/>
        <v>0</v>
      </c>
      <c r="I97" s="55"/>
      <c r="J97" s="54"/>
      <c r="K97" s="54"/>
    </row>
    <row r="98" spans="1:12" ht="14.5" x14ac:dyDescent="0.3">
      <c r="A98" s="4" t="str">
        <f t="shared" ca="1" si="5"/>
        <v xml:space="preserve">Number of needles and syringes distributed </v>
      </c>
      <c r="B98" s="4" t="s">
        <v>317</v>
      </c>
      <c r="C98" s="36" t="s">
        <v>318</v>
      </c>
      <c r="D98" s="36" t="s">
        <v>319</v>
      </c>
      <c r="G98" s="4">
        <f t="shared" ca="1" si="1"/>
        <v>0</v>
      </c>
      <c r="I98" s="55"/>
      <c r="J98" s="54"/>
      <c r="K98" s="54"/>
    </row>
    <row r="99" spans="1:12" ht="14.5" x14ac:dyDescent="0.35">
      <c r="A99" s="4" t="str">
        <f t="shared" ca="1" si="5"/>
        <v>people who inject drugs and their partners</v>
      </c>
      <c r="B99" s="4" t="s">
        <v>320</v>
      </c>
      <c r="C99" s="70" t="s">
        <v>321</v>
      </c>
      <c r="D99" s="36" t="s">
        <v>322</v>
      </c>
      <c r="G99" s="4">
        <f t="shared" ca="1" si="1"/>
        <v>0</v>
      </c>
      <c r="I99" s="55"/>
      <c r="J99" s="54"/>
      <c r="K99" s="54"/>
    </row>
    <row r="100" spans="1:12" ht="14.5" x14ac:dyDescent="0.3">
      <c r="A100" s="4" t="str">
        <f t="shared" ca="1" si="5"/>
        <v>HIV/AIDS Programmatic Gap Table - Needle and syringe programs</v>
      </c>
      <c r="B100" s="4" t="s">
        <v>323</v>
      </c>
      <c r="C100" s="36" t="s">
        <v>324</v>
      </c>
      <c r="D100" s="74" t="s">
        <v>325</v>
      </c>
      <c r="G100" s="4">
        <f t="shared" ref="G100:G106" ca="1" si="6">OFFSET($H100,0,LangOffset,1,1)</f>
        <v>0</v>
      </c>
      <c r="I100" s="68"/>
      <c r="J100" s="54"/>
      <c r="K100" s="54"/>
    </row>
    <row r="101" spans="1:12" ht="14.5" x14ac:dyDescent="0.3">
      <c r="A101" s="4" t="str">
        <f t="shared" ca="1" si="5"/>
        <v>Needles and syringes to be distributed per person per year</v>
      </c>
      <c r="B101" s="4" t="s">
        <v>326</v>
      </c>
      <c r="C101" s="36" t="s">
        <v>327</v>
      </c>
      <c r="D101" s="36" t="s">
        <v>328</v>
      </c>
      <c r="G101" s="4">
        <f t="shared" ca="1" si="6"/>
        <v>0</v>
      </c>
      <c r="I101" s="55"/>
      <c r="J101" s="54"/>
      <c r="K101" s="54"/>
    </row>
    <row r="102" spans="1:12" ht="14.5" x14ac:dyDescent="0.3">
      <c r="A102" s="4" t="str">
        <f t="shared" ca="1" si="5"/>
        <v>A. Total needles and syringes needed</v>
      </c>
      <c r="B102" s="4" t="s">
        <v>329</v>
      </c>
      <c r="C102" s="36" t="s">
        <v>330</v>
      </c>
      <c r="D102" s="36" t="s">
        <v>331</v>
      </c>
      <c r="G102" s="4">
        <f t="shared" ca="1" si="6"/>
        <v>0</v>
      </c>
      <c r="I102" s="55"/>
      <c r="J102" s="54"/>
      <c r="K102" s="54"/>
    </row>
    <row r="103" spans="1:12" ht="14.5" x14ac:dyDescent="0.3">
      <c r="A103" s="4" t="str">
        <f t="shared" ca="1" si="5"/>
        <v>B. Country target- Needles and syringes to be distributed (from National Strategic Plan)</v>
      </c>
      <c r="B103" s="4" t="s">
        <v>332</v>
      </c>
      <c r="C103" s="36" t="s">
        <v>333</v>
      </c>
      <c r="D103" s="36" t="s">
        <v>334</v>
      </c>
      <c r="G103" s="4">
        <f t="shared" ca="1" si="6"/>
        <v>0</v>
      </c>
      <c r="I103" s="55"/>
      <c r="J103" s="54"/>
      <c r="K103" s="54"/>
    </row>
    <row r="104" spans="1:12" ht="29" x14ac:dyDescent="0.3">
      <c r="A104" s="4" t="str">
        <f t="shared" ca="1" si="5"/>
        <v>D. Expected annual gap in meeting the need- needles and syringes: B - C3</v>
      </c>
      <c r="B104" s="22" t="s">
        <v>1618</v>
      </c>
      <c r="C104" s="65" t="s">
        <v>1617</v>
      </c>
      <c r="D104" s="36" t="s">
        <v>335</v>
      </c>
      <c r="G104" s="28">
        <f t="shared" ca="1" si="6"/>
        <v>0</v>
      </c>
      <c r="H104" s="22"/>
      <c r="I104" s="54"/>
      <c r="J104" s="54"/>
      <c r="K104" s="54"/>
    </row>
    <row r="105" spans="1:12" ht="14.5" x14ac:dyDescent="0.3">
      <c r="A105" s="4" t="str">
        <f t="shared" ca="1" si="5"/>
        <v>E. Targets to be financed by allocation amount- needles and syringes</v>
      </c>
      <c r="B105" s="4" t="s">
        <v>336</v>
      </c>
      <c r="C105" s="36" t="s">
        <v>337</v>
      </c>
      <c r="D105" s="36" t="s">
        <v>338</v>
      </c>
      <c r="G105" s="4">
        <f t="shared" ca="1" si="6"/>
        <v>0</v>
      </c>
      <c r="H105" s="22"/>
      <c r="I105" s="55"/>
      <c r="J105" s="54"/>
      <c r="K105" s="54"/>
    </row>
    <row r="106" spans="1:12" ht="14.5" x14ac:dyDescent="0.3">
      <c r="A106" s="4" t="str">
        <f t="shared" ca="1" si="5"/>
        <v>F. Coverage from allocation amount and other resources- needles and syringes:  E + C3</v>
      </c>
      <c r="B106" s="4" t="s">
        <v>339</v>
      </c>
      <c r="C106" s="63" t="s">
        <v>340</v>
      </c>
      <c r="D106" s="36" t="s">
        <v>341</v>
      </c>
      <c r="G106" s="4">
        <f t="shared" ca="1" si="6"/>
        <v>0</v>
      </c>
      <c r="I106" s="55"/>
      <c r="J106" s="54"/>
    </row>
    <row r="107" spans="1:12" ht="14.5" x14ac:dyDescent="0.3">
      <c r="A107" s="4" t="str">
        <f t="shared" ca="1" si="5"/>
        <v>G. Remaining gap-needles and syringes: B - F</v>
      </c>
      <c r="B107" s="4" t="s">
        <v>342</v>
      </c>
      <c r="C107" s="36" t="s">
        <v>343</v>
      </c>
      <c r="D107" s="36" t="s">
        <v>344</v>
      </c>
      <c r="G107" s="10"/>
      <c r="H107" s="10"/>
      <c r="I107" s="10"/>
      <c r="J107" s="10"/>
      <c r="K107" s="36"/>
    </row>
    <row r="108" spans="1:12" ht="14.5" x14ac:dyDescent="0.3">
      <c r="A108" s="10"/>
      <c r="B108" s="10"/>
      <c r="C108" s="10"/>
      <c r="D108" s="10"/>
      <c r="G108" s="4" t="str">
        <f ca="1">OFFSET($H108,0,LangOffset,1,1)</f>
        <v>Please read the Instructions sheet carefully before completing the programmatic gap tables.</v>
      </c>
      <c r="H108" s="4" t="s">
        <v>345</v>
      </c>
      <c r="I108" s="36" t="s">
        <v>346</v>
      </c>
      <c r="J108" s="44" t="s">
        <v>347</v>
      </c>
      <c r="K108" s="36"/>
      <c r="L108" s="10"/>
    </row>
    <row r="109" spans="1:12" ht="14.5" x14ac:dyDescent="0.3">
      <c r="A109" s="4" t="str">
        <f t="shared" ca="1" si="5"/>
        <v>B1. Global targets as per the Global AIDS Strategy</v>
      </c>
      <c r="B109" s="94" t="s">
        <v>348</v>
      </c>
      <c r="C109" s="4" t="s">
        <v>349</v>
      </c>
      <c r="D109" s="4" t="s">
        <v>350</v>
      </c>
      <c r="G109" s="4" t="str">
        <f ca="1">OFFSET($H109,0,LangOffset,1,1)</f>
        <v>To complete this cover sheet, select from the drop-down lists the Geography and Applicant Type.</v>
      </c>
      <c r="H109" s="4" t="s">
        <v>351</v>
      </c>
      <c r="I109" s="36" t="s">
        <v>352</v>
      </c>
      <c r="J109" s="43" t="s">
        <v>353</v>
      </c>
      <c r="K109" s="37"/>
    </row>
    <row r="110" spans="1:12" ht="29" x14ac:dyDescent="0.3">
      <c r="A110" s="4" t="str">
        <f t="shared" ca="1" si="5"/>
        <v>B. Country targets 
(from National Strategic Plan)</v>
      </c>
      <c r="B110" s="22" t="s">
        <v>354</v>
      </c>
      <c r="C110" s="68" t="s">
        <v>355</v>
      </c>
      <c r="D110" s="54" t="s">
        <v>356</v>
      </c>
      <c r="G110" s="4" t="str">
        <f ca="1">OFFSET($H110,0,LangOffset,1,1)</f>
        <v>Applicant</v>
      </c>
      <c r="H110" s="4" t="s">
        <v>357</v>
      </c>
      <c r="I110" s="36" t="s">
        <v>358</v>
      </c>
      <c r="J110" s="36" t="s">
        <v>359</v>
      </c>
      <c r="K110" s="38"/>
    </row>
    <row r="111" spans="1:12" ht="14.5" x14ac:dyDescent="0.3">
      <c r="A111" s="4" t="str">
        <f t="shared" ca="1" si="5"/>
        <v xml:space="preserve">PrEP Programmatic Gap Table 2 </v>
      </c>
      <c r="B111" s="94" t="s">
        <v>1314</v>
      </c>
      <c r="C111" s="4" t="s">
        <v>1318</v>
      </c>
      <c r="D111" s="4" t="s">
        <v>1321</v>
      </c>
      <c r="G111" s="4" t="str">
        <f ca="1">OFFSET($H111,0,LangOffset,1,1)</f>
        <v>Component</v>
      </c>
      <c r="H111" s="4" t="s">
        <v>360</v>
      </c>
      <c r="I111" s="36" t="s">
        <v>361</v>
      </c>
      <c r="J111" s="36" t="s">
        <v>362</v>
      </c>
      <c r="K111" s="38"/>
    </row>
    <row r="112" spans="1:12" ht="14.5" x14ac:dyDescent="0.3">
      <c r="A112" s="4" t="str">
        <f t="shared" ca="1" si="5"/>
        <v xml:space="preserve">PrEP Programmatic Gap Table 3 </v>
      </c>
      <c r="B112" s="94" t="s">
        <v>1313</v>
      </c>
      <c r="C112" s="4" t="s">
        <v>1319</v>
      </c>
      <c r="D112" s="4" t="s">
        <v>1320</v>
      </c>
      <c r="G112" s="4" t="str">
        <f ca="1">OFFSET($H112,0,LangOffset,1,1)</f>
        <v>Applicant Type</v>
      </c>
      <c r="H112" s="4" t="s">
        <v>363</v>
      </c>
      <c r="I112" s="36" t="s">
        <v>364</v>
      </c>
      <c r="J112" s="36" t="s">
        <v>365</v>
      </c>
    </row>
    <row r="113" spans="1:11" x14ac:dyDescent="0.3">
      <c r="A113" s="4" t="str">
        <f t="shared" ca="1" si="5"/>
        <v>A3. Total condoms needed</v>
      </c>
      <c r="B113" s="94" t="s">
        <v>366</v>
      </c>
      <c r="C113" s="4" t="s">
        <v>367</v>
      </c>
      <c r="D113" s="4" t="s">
        <v>368</v>
      </c>
      <c r="G113" s="10"/>
      <c r="H113" s="10"/>
      <c r="I113" s="10"/>
      <c r="J113" s="10"/>
    </row>
    <row r="114" spans="1:11" x14ac:dyDescent="0.3">
      <c r="A114" s="4" t="str">
        <f t="shared" ca="1" si="5"/>
        <v xml:space="preserve">Condom Programmatic Gap Table 2 </v>
      </c>
      <c r="B114" s="94" t="s">
        <v>1315</v>
      </c>
      <c r="C114" s="4" t="s">
        <v>1316</v>
      </c>
      <c r="D114" s="4" t="s">
        <v>1317</v>
      </c>
      <c r="G114" s="4">
        <f t="shared" ca="1" si="1"/>
        <v>0</v>
      </c>
      <c r="K114" s="10"/>
    </row>
    <row r="115" spans="1:11" x14ac:dyDescent="0.3">
      <c r="A115" s="4" t="str">
        <f t="shared" ca="1" si="5"/>
        <v>"TB/HIV gap tables" tab</v>
      </c>
      <c r="B115" s="94" t="s">
        <v>369</v>
      </c>
      <c r="C115" s="4" t="s">
        <v>370</v>
      </c>
      <c r="D115" s="4" t="s">
        <v>371</v>
      </c>
      <c r="G115" s="10"/>
      <c r="H115" s="10"/>
      <c r="I115" s="10"/>
      <c r="J115" s="10"/>
      <c r="K115" s="36"/>
    </row>
    <row r="116" spans="1:11" ht="43.5" x14ac:dyDescent="0.3">
      <c r="A116" s="4" t="str">
        <f t="shared" ca="1" si="5"/>
        <v>TB/HIV Programmatic Gap Table 1</v>
      </c>
      <c r="B116" s="94" t="s">
        <v>372</v>
      </c>
      <c r="C116" s="54" t="s">
        <v>1305</v>
      </c>
      <c r="D116" s="54" t="s">
        <v>1306</v>
      </c>
      <c r="G116" s="4" t="str">
        <f ca="1">OFFSET($H116,0,LangOffset,1,1)</f>
        <v xml:space="preserve">Carefully read the instructions in the "Instructions" tab before completing the programmatic gap analysis table. 
The instructions have been tailored to each specific module/intervention. </v>
      </c>
      <c r="H116" s="274" t="s">
        <v>373</v>
      </c>
      <c r="I116" s="310" t="s">
        <v>1658</v>
      </c>
      <c r="J116" s="273" t="s">
        <v>374</v>
      </c>
      <c r="K116" s="10"/>
    </row>
    <row r="117" spans="1:11" x14ac:dyDescent="0.3">
      <c r="A117" s="4" t="str">
        <f t="shared" ca="1" si="5"/>
        <v>TB/HIV Programmatic Gap Table 2</v>
      </c>
      <c r="B117" s="94" t="s">
        <v>375</v>
      </c>
      <c r="C117" s="54" t="s">
        <v>1307</v>
      </c>
      <c r="D117" s="54" t="s">
        <v>1308</v>
      </c>
      <c r="G117" s="10"/>
      <c r="H117" s="10"/>
      <c r="I117" s="10"/>
      <c r="J117" s="10"/>
    </row>
    <row r="118" spans="1:11" x14ac:dyDescent="0.3">
      <c r="A118" s="4" t="str">
        <f t="shared" ca="1" si="5"/>
        <v>TB/HIV Programmatic Gap Table 3</v>
      </c>
      <c r="B118" s="94" t="s">
        <v>376</v>
      </c>
      <c r="C118" s="54" t="s">
        <v>1309</v>
      </c>
      <c r="D118" s="54" t="s">
        <v>1310</v>
      </c>
      <c r="G118" s="4" t="str">
        <f t="shared" ref="G118:G161" ca="1" si="7">OFFSET($H118,0,LangOffset,1,1)</f>
        <v>Latest version updated: 13 March 2023</v>
      </c>
      <c r="H118" s="53" t="s">
        <v>1659</v>
      </c>
      <c r="I118" s="53" t="s">
        <v>1660</v>
      </c>
      <c r="J118" s="53" t="s">
        <v>1661</v>
      </c>
    </row>
    <row r="119" spans="1:11" x14ac:dyDescent="0.3">
      <c r="A119" s="4" t="str">
        <f t="shared" ca="1" si="5"/>
        <v>TB/HIV Programmatic Gap Table 4</v>
      </c>
      <c r="B119" s="94" t="s">
        <v>377</v>
      </c>
      <c r="C119" s="4" t="s">
        <v>1311</v>
      </c>
      <c r="D119" s="4" t="s">
        <v>1312</v>
      </c>
      <c r="G119" s="4">
        <f t="shared" ca="1" si="7"/>
        <v>0</v>
      </c>
    </row>
    <row r="120" spans="1:11" x14ac:dyDescent="0.3">
      <c r="A120" s="4" t="str">
        <f t="shared" ca="1" si="5"/>
        <v>TB/HIV</v>
      </c>
      <c r="B120" s="94" t="s">
        <v>15</v>
      </c>
      <c r="C120" s="94" t="s">
        <v>378</v>
      </c>
      <c r="D120" s="94" t="s">
        <v>378</v>
      </c>
      <c r="G120" s="4">
        <f t="shared" ca="1" si="7"/>
        <v>0</v>
      </c>
    </row>
    <row r="121" spans="1:11" x14ac:dyDescent="0.3">
      <c r="A121" s="4" t="str">
        <f t="shared" ca="1" si="5"/>
        <v>"HIV Testing" tab</v>
      </c>
      <c r="B121" s="99" t="s">
        <v>379</v>
      </c>
      <c r="C121" s="4" t="s">
        <v>380</v>
      </c>
      <c r="D121" s="4" t="s">
        <v>381</v>
      </c>
      <c r="G121" s="4">
        <f t="shared" ca="1" si="7"/>
        <v>0</v>
      </c>
    </row>
    <row r="122" spans="1:11" x14ac:dyDescent="0.3">
      <c r="A122" s="4" t="str">
        <f t="shared" ca="1" si="5"/>
        <v>B2. Country targets</v>
      </c>
      <c r="B122" s="4" t="s">
        <v>382</v>
      </c>
      <c r="C122" s="4" t="s">
        <v>383</v>
      </c>
      <c r="D122" s="4" t="s">
        <v>356</v>
      </c>
      <c r="G122" s="4">
        <f t="shared" ca="1" si="7"/>
        <v>0</v>
      </c>
    </row>
    <row r="123" spans="1:11" x14ac:dyDescent="0.3">
      <c r="A123" s="4" t="str">
        <f t="shared" ref="A123:A129" ca="1" si="8">OFFSET($B123,0,LangOffset,1,1)</f>
        <v>D. Expected annual gap in meeting the need: B - C3</v>
      </c>
      <c r="B123" s="4" t="s">
        <v>384</v>
      </c>
      <c r="C123" s="4" t="s">
        <v>1619</v>
      </c>
      <c r="D123" s="4" t="s">
        <v>385</v>
      </c>
      <c r="G123" s="4">
        <f t="shared" ca="1" si="7"/>
        <v>0</v>
      </c>
    </row>
    <row r="124" spans="1:11" x14ac:dyDescent="0.3">
      <c r="A124" s="4" t="str">
        <f t="shared" ca="1" si="8"/>
        <v xml:space="preserve">G. Remaining gap: B - F </v>
      </c>
      <c r="B124" s="22" t="s">
        <v>386</v>
      </c>
      <c r="C124" s="143" t="s">
        <v>387</v>
      </c>
      <c r="D124" s="64" t="s">
        <v>201</v>
      </c>
      <c r="G124" s="4">
        <f t="shared" ca="1" si="7"/>
        <v>0</v>
      </c>
    </row>
    <row r="125" spans="1:11" x14ac:dyDescent="0.3">
      <c r="A125" s="4">
        <f t="shared" ca="1" si="8"/>
        <v>0</v>
      </c>
      <c r="G125" s="4">
        <f t="shared" ca="1" si="7"/>
        <v>0</v>
      </c>
    </row>
    <row r="126" spans="1:11" x14ac:dyDescent="0.3">
      <c r="A126" s="10"/>
      <c r="B126" s="10"/>
      <c r="C126" s="10"/>
      <c r="D126" s="10"/>
      <c r="E126" s="10"/>
      <c r="G126" s="4">
        <f t="shared" ca="1" si="7"/>
        <v>0</v>
      </c>
    </row>
    <row r="127" spans="1:11" x14ac:dyDescent="0.3">
      <c r="A127" s="4" t="str">
        <f ca="1">OFFSET($B127,0,LangOffset,1,1)</f>
        <v>Treatment Programmatic Gap Table 1</v>
      </c>
      <c r="B127" s="4" t="s">
        <v>1347</v>
      </c>
      <c r="C127" s="4" t="s">
        <v>1333</v>
      </c>
      <c r="D127" s="4" t="s">
        <v>1327</v>
      </c>
      <c r="G127" s="4">
        <f t="shared" ca="1" si="7"/>
        <v>0</v>
      </c>
    </row>
    <row r="128" spans="1:11" x14ac:dyDescent="0.3">
      <c r="A128" s="4" t="str">
        <f ca="1">OFFSET($B128,0,LangOffset,1,1)</f>
        <v>Treatment Programmatic Gap Table 2</v>
      </c>
      <c r="B128" s="4" t="s">
        <v>1348</v>
      </c>
      <c r="C128" s="4" t="s">
        <v>1331</v>
      </c>
      <c r="D128" s="4" t="s">
        <v>1334</v>
      </c>
      <c r="G128" s="4">
        <f t="shared" ca="1" si="7"/>
        <v>0</v>
      </c>
    </row>
    <row r="129" spans="1:7" x14ac:dyDescent="0.3">
      <c r="A129" s="4" t="str">
        <f t="shared" ca="1" si="8"/>
        <v>Treatment Programmatic Gap Table 3</v>
      </c>
      <c r="B129" s="4" t="s">
        <v>1349</v>
      </c>
      <c r="C129" s="4" t="s">
        <v>1332</v>
      </c>
      <c r="D129" s="4" t="s">
        <v>1335</v>
      </c>
      <c r="G129" s="4">
        <f t="shared" ca="1" si="7"/>
        <v>0</v>
      </c>
    </row>
    <row r="130" spans="1:7" x14ac:dyDescent="0.3">
      <c r="A130" s="4" t="str">
        <f ca="1">OFFSET($B130,0,LangOffset,1,1)</f>
        <v>EMTCT Programmatic Gap Table 1</v>
      </c>
      <c r="B130" s="4" t="s">
        <v>1325</v>
      </c>
      <c r="C130" s="4" t="s">
        <v>1346</v>
      </c>
      <c r="D130" s="4" t="s">
        <v>1330</v>
      </c>
      <c r="G130" s="4">
        <f t="shared" ca="1" si="7"/>
        <v>0</v>
      </c>
    </row>
    <row r="131" spans="1:7" x14ac:dyDescent="0.3">
      <c r="A131" s="4" t="str">
        <f ca="1">OFFSET($B131,0,LangOffset,1,1)</f>
        <v>Prevention Programmatic Gap Table 1</v>
      </c>
      <c r="B131" s="4" t="s">
        <v>1326</v>
      </c>
      <c r="C131" s="4" t="s">
        <v>1336</v>
      </c>
      <c r="D131" s="4" t="s">
        <v>1329</v>
      </c>
      <c r="G131" s="4">
        <f t="shared" ca="1" si="7"/>
        <v>0</v>
      </c>
    </row>
    <row r="132" spans="1:7" x14ac:dyDescent="0.3">
      <c r="A132" s="4" t="str">
        <f ca="1">OFFSET($B132,0,LangOffset,1,1)</f>
        <v>Prevention Programmatic Gap Table 2</v>
      </c>
      <c r="B132" s="4" t="s">
        <v>1337</v>
      </c>
      <c r="C132" s="4" t="s">
        <v>1340</v>
      </c>
      <c r="D132" s="4" t="s">
        <v>1342</v>
      </c>
      <c r="G132" s="4">
        <f t="shared" ca="1" si="7"/>
        <v>0</v>
      </c>
    </row>
    <row r="133" spans="1:7" x14ac:dyDescent="0.3">
      <c r="A133" s="4" t="str">
        <f t="shared" ref="A133:A195" ca="1" si="9">OFFSET($B133,0,LangOffset,1,1)</f>
        <v>Prevention Programmatic Gap Table 3</v>
      </c>
      <c r="B133" s="4" t="s">
        <v>1338</v>
      </c>
      <c r="C133" s="4" t="s">
        <v>1341</v>
      </c>
      <c r="D133" s="4" t="s">
        <v>1343</v>
      </c>
      <c r="G133" s="4">
        <f t="shared" ca="1" si="7"/>
        <v>0</v>
      </c>
    </row>
    <row r="134" spans="1:7" x14ac:dyDescent="0.3">
      <c r="A134" s="4" t="str">
        <f t="shared" ca="1" si="9"/>
        <v>Prevention Programmatic Gap Table 4</v>
      </c>
      <c r="B134" s="4" t="s">
        <v>1339</v>
      </c>
      <c r="C134" s="4" t="s">
        <v>1344</v>
      </c>
      <c r="D134" s="4" t="s">
        <v>1345</v>
      </c>
      <c r="G134" s="4">
        <f t="shared" ca="1" si="7"/>
        <v>0</v>
      </c>
    </row>
    <row r="135" spans="1:7" x14ac:dyDescent="0.3">
      <c r="A135" s="4" t="str">
        <f ca="1">OFFSET($B135,0,LangOffset,1,1)</f>
        <v>HIV Testing Programmatic Gap Table 1</v>
      </c>
      <c r="B135" s="4" t="s">
        <v>1351</v>
      </c>
      <c r="C135" s="4" t="s">
        <v>1352</v>
      </c>
      <c r="D135" s="4" t="s">
        <v>1328</v>
      </c>
      <c r="G135" s="4">
        <f t="shared" ca="1" si="7"/>
        <v>0</v>
      </c>
    </row>
    <row r="136" spans="1:7" x14ac:dyDescent="0.3">
      <c r="A136" s="4" t="str">
        <f t="shared" ca="1" si="9"/>
        <v>HIV Testing Programmatic Gap Table 2</v>
      </c>
      <c r="B136" s="4" t="s">
        <v>1354</v>
      </c>
      <c r="C136" s="4" t="s">
        <v>1353</v>
      </c>
      <c r="D136" s="4" t="s">
        <v>1350</v>
      </c>
      <c r="G136" s="4">
        <f t="shared" ca="1" si="7"/>
        <v>0</v>
      </c>
    </row>
    <row r="137" spans="1:7" ht="28" x14ac:dyDescent="0.3">
      <c r="A137" s="4" t="str">
        <f t="shared" ca="1" si="9"/>
        <v>A. Total estimated number of all adults and/or children living with HIV</v>
      </c>
      <c r="B137" s="275" t="s">
        <v>1402</v>
      </c>
      <c r="C137" s="276" t="s">
        <v>1403</v>
      </c>
      <c r="D137" s="262" t="s">
        <v>1404</v>
      </c>
      <c r="G137" s="4">
        <f t="shared" ca="1" si="7"/>
        <v>0</v>
      </c>
    </row>
    <row r="138" spans="1:7" ht="28" x14ac:dyDescent="0.3">
      <c r="A138" s="4" t="str">
        <f t="shared" ca="1" si="9"/>
        <v>A. Total estimated number of people in the specified key and vulnerable population</v>
      </c>
      <c r="B138" s="275" t="s">
        <v>1405</v>
      </c>
      <c r="C138" s="272" t="s">
        <v>1406</v>
      </c>
      <c r="D138" s="272" t="s">
        <v>1407</v>
      </c>
      <c r="G138" s="4">
        <f t="shared" ca="1" si="7"/>
        <v>0</v>
      </c>
    </row>
    <row r="139" spans="1:7" ht="28" x14ac:dyDescent="0.3">
      <c r="A139" s="4" t="str">
        <f t="shared" ca="1" si="9"/>
        <v>A. Total estimated number of HIV-positive pregnant women</v>
      </c>
      <c r="B139" s="275" t="s">
        <v>1408</v>
      </c>
      <c r="C139" s="272" t="s">
        <v>1409</v>
      </c>
      <c r="D139" s="272" t="s">
        <v>1410</v>
      </c>
      <c r="G139" s="4">
        <f t="shared" ca="1" si="7"/>
        <v>0</v>
      </c>
    </row>
    <row r="140" spans="1:7" ht="28" x14ac:dyDescent="0.3">
      <c r="A140" s="4" t="str">
        <f t="shared" ca="1" si="9"/>
        <v>A. Total estimated key and vulnerable populations in need</v>
      </c>
      <c r="B140" s="277" t="s">
        <v>1652</v>
      </c>
      <c r="C140" s="53" t="s">
        <v>1653</v>
      </c>
      <c r="D140" s="53" t="s">
        <v>1655</v>
      </c>
      <c r="G140" s="4">
        <f t="shared" ca="1" si="7"/>
        <v>0</v>
      </c>
    </row>
    <row r="141" spans="1:7" ht="28" x14ac:dyDescent="0.3">
      <c r="A141" s="4" t="str">
        <f t="shared" ca="1" si="9"/>
        <v xml:space="preserve">Condom Programmatic Gap Table 3 </v>
      </c>
      <c r="B141" s="277" t="s">
        <v>1411</v>
      </c>
      <c r="C141" s="53" t="s">
        <v>1412</v>
      </c>
      <c r="D141" s="53" t="s">
        <v>1413</v>
      </c>
      <c r="G141" s="4">
        <f t="shared" ca="1" si="7"/>
        <v>0</v>
      </c>
    </row>
    <row r="142" spans="1:7" x14ac:dyDescent="0.3">
      <c r="A142" s="4" t="str">
        <f t="shared" ca="1" si="9"/>
        <v>EMTCT Programmatic Gap Table 2</v>
      </c>
      <c r="B142" s="34" t="s">
        <v>1414</v>
      </c>
      <c r="C142" s="34" t="s">
        <v>1415</v>
      </c>
      <c r="D142" s="34" t="s">
        <v>1416</v>
      </c>
      <c r="G142" s="4">
        <f t="shared" ca="1" si="7"/>
        <v>0</v>
      </c>
    </row>
    <row r="143" spans="1:7" x14ac:dyDescent="0.3">
      <c r="A143" s="4" t="str">
        <f t="shared" ca="1" si="9"/>
        <v>EMTCT Programmatic Gap Table 3</v>
      </c>
      <c r="B143" s="34" t="s">
        <v>1417</v>
      </c>
      <c r="C143" s="34" t="s">
        <v>1415</v>
      </c>
      <c r="D143" s="34" t="s">
        <v>1416</v>
      </c>
      <c r="G143" s="4">
        <f t="shared" ca="1" si="7"/>
        <v>0</v>
      </c>
    </row>
    <row r="144" spans="1:7" x14ac:dyDescent="0.3">
      <c r="A144" s="4" t="str">
        <f t="shared" ca="1" si="9"/>
        <v>HIV Testing Programmatic Gap Table 3</v>
      </c>
      <c r="B144" s="34" t="s">
        <v>1418</v>
      </c>
      <c r="C144" s="34" t="s">
        <v>1419</v>
      </c>
      <c r="D144" s="34" t="s">
        <v>1420</v>
      </c>
      <c r="G144" s="4">
        <f t="shared" ca="1" si="7"/>
        <v>0</v>
      </c>
    </row>
    <row r="145" spans="1:7" x14ac:dyDescent="0.3">
      <c r="A145" s="4">
        <f t="shared" ca="1" si="9"/>
        <v>0</v>
      </c>
      <c r="G145" s="4">
        <f t="shared" ca="1" si="7"/>
        <v>0</v>
      </c>
    </row>
    <row r="146" spans="1:7" x14ac:dyDescent="0.3">
      <c r="A146" s="4">
        <f t="shared" ca="1" si="9"/>
        <v>0</v>
      </c>
      <c r="G146" s="4">
        <f t="shared" ca="1" si="7"/>
        <v>0</v>
      </c>
    </row>
    <row r="147" spans="1:7" x14ac:dyDescent="0.3">
      <c r="A147" s="4">
        <f t="shared" ca="1" si="9"/>
        <v>0</v>
      </c>
      <c r="G147" s="4">
        <f t="shared" ca="1" si="7"/>
        <v>0</v>
      </c>
    </row>
    <row r="148" spans="1:7" x14ac:dyDescent="0.3">
      <c r="A148" s="4">
        <f t="shared" ca="1" si="9"/>
        <v>0</v>
      </c>
      <c r="G148" s="4">
        <f t="shared" ca="1" si="7"/>
        <v>0</v>
      </c>
    </row>
    <row r="149" spans="1:7" x14ac:dyDescent="0.3">
      <c r="A149" s="4">
        <f t="shared" ca="1" si="9"/>
        <v>0</v>
      </c>
      <c r="G149" s="4">
        <f t="shared" ca="1" si="7"/>
        <v>0</v>
      </c>
    </row>
    <row r="150" spans="1:7" x14ac:dyDescent="0.3">
      <c r="A150" s="4">
        <f t="shared" ca="1" si="9"/>
        <v>0</v>
      </c>
      <c r="G150" s="4">
        <f t="shared" ca="1" si="7"/>
        <v>0</v>
      </c>
    </row>
    <row r="151" spans="1:7" x14ac:dyDescent="0.3">
      <c r="A151" s="4">
        <f t="shared" ca="1" si="9"/>
        <v>0</v>
      </c>
      <c r="G151" s="4">
        <f t="shared" ca="1" si="7"/>
        <v>0</v>
      </c>
    </row>
    <row r="152" spans="1:7" x14ac:dyDescent="0.3">
      <c r="A152" s="4">
        <f t="shared" ca="1" si="9"/>
        <v>0</v>
      </c>
      <c r="G152" s="4">
        <f t="shared" ca="1" si="7"/>
        <v>0</v>
      </c>
    </row>
    <row r="153" spans="1:7" x14ac:dyDescent="0.3">
      <c r="A153" s="4">
        <f t="shared" ca="1" si="9"/>
        <v>0</v>
      </c>
      <c r="G153" s="4">
        <f t="shared" ca="1" si="7"/>
        <v>0</v>
      </c>
    </row>
    <row r="154" spans="1:7" x14ac:dyDescent="0.3">
      <c r="A154" s="4">
        <f t="shared" ca="1" si="9"/>
        <v>0</v>
      </c>
      <c r="G154" s="4">
        <f t="shared" ca="1" si="7"/>
        <v>0</v>
      </c>
    </row>
    <row r="155" spans="1:7" x14ac:dyDescent="0.3">
      <c r="A155" s="4">
        <f t="shared" ca="1" si="9"/>
        <v>0</v>
      </c>
      <c r="G155" s="4">
        <f t="shared" ca="1" si="7"/>
        <v>0</v>
      </c>
    </row>
    <row r="156" spans="1:7" x14ac:dyDescent="0.3">
      <c r="A156" s="4">
        <f t="shared" ca="1" si="9"/>
        <v>0</v>
      </c>
      <c r="G156" s="4">
        <f t="shared" ca="1" si="7"/>
        <v>0</v>
      </c>
    </row>
    <row r="157" spans="1:7" x14ac:dyDescent="0.3">
      <c r="A157" s="4">
        <f t="shared" ca="1" si="9"/>
        <v>0</v>
      </c>
      <c r="G157" s="4">
        <f t="shared" ca="1" si="7"/>
        <v>0</v>
      </c>
    </row>
    <row r="158" spans="1:7" x14ac:dyDescent="0.3">
      <c r="A158" s="4">
        <f t="shared" ca="1" si="9"/>
        <v>0</v>
      </c>
      <c r="G158" s="4">
        <f t="shared" ca="1" si="7"/>
        <v>0</v>
      </c>
    </row>
    <row r="159" spans="1:7" x14ac:dyDescent="0.3">
      <c r="A159" s="4">
        <f t="shared" ca="1" si="9"/>
        <v>0</v>
      </c>
      <c r="G159" s="4">
        <f t="shared" ca="1" si="7"/>
        <v>0</v>
      </c>
    </row>
    <row r="160" spans="1:7" x14ac:dyDescent="0.3">
      <c r="A160" s="4">
        <f t="shared" ca="1" si="9"/>
        <v>0</v>
      </c>
      <c r="G160" s="4">
        <f t="shared" ca="1" si="7"/>
        <v>0</v>
      </c>
    </row>
    <row r="161" spans="1:7" x14ac:dyDescent="0.3">
      <c r="A161" s="4">
        <f t="shared" ca="1" si="9"/>
        <v>0</v>
      </c>
      <c r="G161" s="4">
        <f t="shared" ca="1" si="7"/>
        <v>0</v>
      </c>
    </row>
    <row r="162" spans="1:7" x14ac:dyDescent="0.3">
      <c r="A162" s="4">
        <f t="shared" ca="1" si="9"/>
        <v>0</v>
      </c>
      <c r="G162" s="4">
        <f t="shared" ref="G162:G225" ca="1" si="10">OFFSET($H162,0,LangOffset,1,1)</f>
        <v>0</v>
      </c>
    </row>
    <row r="163" spans="1:7" x14ac:dyDescent="0.3">
      <c r="A163" s="4">
        <f t="shared" ca="1" si="9"/>
        <v>0</v>
      </c>
      <c r="G163" s="4">
        <f t="shared" ca="1" si="10"/>
        <v>0</v>
      </c>
    </row>
    <row r="164" spans="1:7" x14ac:dyDescent="0.3">
      <c r="A164" s="4">
        <f t="shared" ca="1" si="9"/>
        <v>0</v>
      </c>
      <c r="G164" s="4">
        <f t="shared" ca="1" si="10"/>
        <v>0</v>
      </c>
    </row>
    <row r="165" spans="1:7" x14ac:dyDescent="0.3">
      <c r="A165" s="4">
        <f t="shared" ca="1" si="9"/>
        <v>0</v>
      </c>
      <c r="G165" s="4">
        <f t="shared" ca="1" si="10"/>
        <v>0</v>
      </c>
    </row>
    <row r="166" spans="1:7" x14ac:dyDescent="0.3">
      <c r="A166" s="4">
        <f t="shared" ca="1" si="9"/>
        <v>0</v>
      </c>
      <c r="G166" s="4">
        <f t="shared" ca="1" si="10"/>
        <v>0</v>
      </c>
    </row>
    <row r="167" spans="1:7" x14ac:dyDescent="0.3">
      <c r="A167" s="4">
        <f t="shared" ca="1" si="9"/>
        <v>0</v>
      </c>
      <c r="G167" s="4">
        <f t="shared" ca="1" si="10"/>
        <v>0</v>
      </c>
    </row>
    <row r="168" spans="1:7" x14ac:dyDescent="0.3">
      <c r="A168" s="4">
        <f t="shared" ca="1" si="9"/>
        <v>0</v>
      </c>
      <c r="G168" s="4">
        <f t="shared" ca="1" si="10"/>
        <v>0</v>
      </c>
    </row>
    <row r="169" spans="1:7" x14ac:dyDescent="0.3">
      <c r="A169" s="4">
        <f t="shared" ca="1" si="9"/>
        <v>0</v>
      </c>
      <c r="G169" s="4">
        <f t="shared" ca="1" si="10"/>
        <v>0</v>
      </c>
    </row>
    <row r="170" spans="1:7" x14ac:dyDescent="0.3">
      <c r="A170" s="4">
        <f t="shared" ca="1" si="9"/>
        <v>0</v>
      </c>
      <c r="G170" s="4">
        <f t="shared" ca="1" si="10"/>
        <v>0</v>
      </c>
    </row>
    <row r="171" spans="1:7" x14ac:dyDescent="0.3">
      <c r="A171" s="4">
        <f t="shared" ca="1" si="9"/>
        <v>0</v>
      </c>
      <c r="G171" s="4">
        <f t="shared" ca="1" si="10"/>
        <v>0</v>
      </c>
    </row>
    <row r="172" spans="1:7" x14ac:dyDescent="0.3">
      <c r="A172" s="4">
        <f t="shared" ca="1" si="9"/>
        <v>0</v>
      </c>
      <c r="G172" s="4">
        <f t="shared" ca="1" si="10"/>
        <v>0</v>
      </c>
    </row>
    <row r="173" spans="1:7" x14ac:dyDescent="0.3">
      <c r="A173" s="4">
        <f t="shared" ca="1" si="9"/>
        <v>0</v>
      </c>
      <c r="G173" s="4">
        <f t="shared" ca="1" si="10"/>
        <v>0</v>
      </c>
    </row>
    <row r="174" spans="1:7" x14ac:dyDescent="0.3">
      <c r="A174" s="4">
        <f t="shared" ca="1" si="9"/>
        <v>0</v>
      </c>
      <c r="G174" s="4">
        <f t="shared" ca="1" si="10"/>
        <v>0</v>
      </c>
    </row>
    <row r="175" spans="1:7" x14ac:dyDescent="0.3">
      <c r="A175" s="4">
        <f t="shared" ca="1" si="9"/>
        <v>0</v>
      </c>
      <c r="G175" s="4">
        <f t="shared" ca="1" si="10"/>
        <v>0</v>
      </c>
    </row>
    <row r="176" spans="1:7" x14ac:dyDescent="0.3">
      <c r="A176" s="4">
        <f t="shared" ca="1" si="9"/>
        <v>0</v>
      </c>
      <c r="G176" s="4">
        <f t="shared" ca="1" si="10"/>
        <v>0</v>
      </c>
    </row>
    <row r="177" spans="1:7" x14ac:dyDescent="0.3">
      <c r="A177" s="4">
        <f t="shared" ca="1" si="9"/>
        <v>0</v>
      </c>
      <c r="G177" s="4">
        <f t="shared" ca="1" si="10"/>
        <v>0</v>
      </c>
    </row>
    <row r="178" spans="1:7" x14ac:dyDescent="0.3">
      <c r="A178" s="4">
        <f t="shared" ca="1" si="9"/>
        <v>0</v>
      </c>
      <c r="G178" s="4">
        <f t="shared" ca="1" si="10"/>
        <v>0</v>
      </c>
    </row>
    <row r="179" spans="1:7" x14ac:dyDescent="0.3">
      <c r="A179" s="4">
        <f t="shared" ca="1" si="9"/>
        <v>0</v>
      </c>
      <c r="G179" s="4">
        <f t="shared" ca="1" si="10"/>
        <v>0</v>
      </c>
    </row>
    <row r="180" spans="1:7" x14ac:dyDescent="0.3">
      <c r="A180" s="4">
        <f t="shared" ca="1" si="9"/>
        <v>0</v>
      </c>
      <c r="G180" s="4">
        <f t="shared" ca="1" si="10"/>
        <v>0</v>
      </c>
    </row>
    <row r="181" spans="1:7" x14ac:dyDescent="0.3">
      <c r="A181" s="4">
        <f t="shared" ca="1" si="9"/>
        <v>0</v>
      </c>
      <c r="G181" s="4">
        <f t="shared" ca="1" si="10"/>
        <v>0</v>
      </c>
    </row>
    <row r="182" spans="1:7" x14ac:dyDescent="0.3">
      <c r="A182" s="4">
        <f t="shared" ca="1" si="9"/>
        <v>0</v>
      </c>
      <c r="G182" s="4">
        <f t="shared" ca="1" si="10"/>
        <v>0</v>
      </c>
    </row>
    <row r="183" spans="1:7" x14ac:dyDescent="0.3">
      <c r="A183" s="4">
        <f t="shared" ca="1" si="9"/>
        <v>0</v>
      </c>
      <c r="G183" s="4">
        <f t="shared" ca="1" si="10"/>
        <v>0</v>
      </c>
    </row>
    <row r="184" spans="1:7" x14ac:dyDescent="0.3">
      <c r="A184" s="4">
        <f t="shared" ca="1" si="9"/>
        <v>0</v>
      </c>
      <c r="G184" s="4">
        <f t="shared" ca="1" si="10"/>
        <v>0</v>
      </c>
    </row>
    <row r="185" spans="1:7" x14ac:dyDescent="0.3">
      <c r="A185" s="4">
        <f t="shared" ca="1" si="9"/>
        <v>0</v>
      </c>
      <c r="G185" s="4">
        <f t="shared" ca="1" si="10"/>
        <v>0</v>
      </c>
    </row>
    <row r="186" spans="1:7" x14ac:dyDescent="0.3">
      <c r="A186" s="4">
        <f t="shared" ca="1" si="9"/>
        <v>0</v>
      </c>
      <c r="G186" s="4">
        <f t="shared" ca="1" si="10"/>
        <v>0</v>
      </c>
    </row>
    <row r="187" spans="1:7" x14ac:dyDescent="0.3">
      <c r="A187" s="4">
        <f t="shared" ca="1" si="9"/>
        <v>0</v>
      </c>
      <c r="G187" s="4">
        <f t="shared" ca="1" si="10"/>
        <v>0</v>
      </c>
    </row>
    <row r="188" spans="1:7" x14ac:dyDescent="0.3">
      <c r="A188" s="4">
        <f t="shared" ca="1" si="9"/>
        <v>0</v>
      </c>
      <c r="G188" s="4">
        <f t="shared" ca="1" si="10"/>
        <v>0</v>
      </c>
    </row>
    <row r="189" spans="1:7" x14ac:dyDescent="0.3">
      <c r="A189" s="4">
        <f t="shared" ca="1" si="9"/>
        <v>0</v>
      </c>
      <c r="G189" s="4">
        <f t="shared" ca="1" si="10"/>
        <v>0</v>
      </c>
    </row>
    <row r="190" spans="1:7" x14ac:dyDescent="0.3">
      <c r="A190" s="4">
        <f t="shared" ca="1" si="9"/>
        <v>0</v>
      </c>
      <c r="G190" s="4">
        <f t="shared" ca="1" si="10"/>
        <v>0</v>
      </c>
    </row>
    <row r="191" spans="1:7" x14ac:dyDescent="0.3">
      <c r="A191" s="4">
        <f t="shared" ca="1" si="9"/>
        <v>0</v>
      </c>
      <c r="G191" s="4">
        <f t="shared" ca="1" si="10"/>
        <v>0</v>
      </c>
    </row>
    <row r="192" spans="1:7" x14ac:dyDescent="0.3">
      <c r="A192" s="4">
        <f t="shared" ca="1" si="9"/>
        <v>0</v>
      </c>
      <c r="G192" s="4">
        <f t="shared" ca="1" si="10"/>
        <v>0</v>
      </c>
    </row>
    <row r="193" spans="1:7" x14ac:dyDescent="0.3">
      <c r="A193" s="4">
        <f t="shared" ca="1" si="9"/>
        <v>0</v>
      </c>
      <c r="G193" s="4">
        <f t="shared" ca="1" si="10"/>
        <v>0</v>
      </c>
    </row>
    <row r="194" spans="1:7" x14ac:dyDescent="0.3">
      <c r="A194" s="4">
        <f t="shared" ca="1" si="9"/>
        <v>0</v>
      </c>
      <c r="G194" s="4">
        <f t="shared" ca="1" si="10"/>
        <v>0</v>
      </c>
    </row>
    <row r="195" spans="1:7" x14ac:dyDescent="0.3">
      <c r="A195" s="4">
        <f t="shared" ca="1" si="9"/>
        <v>0</v>
      </c>
      <c r="G195" s="4">
        <f t="shared" ca="1" si="10"/>
        <v>0</v>
      </c>
    </row>
    <row r="196" spans="1:7" x14ac:dyDescent="0.3">
      <c r="A196" s="4">
        <f t="shared" ref="A196:A259" ca="1" si="11">OFFSET($B196,0,LangOffset,1,1)</f>
        <v>0</v>
      </c>
      <c r="G196" s="4">
        <f t="shared" ca="1" si="10"/>
        <v>0</v>
      </c>
    </row>
    <row r="197" spans="1:7" x14ac:dyDescent="0.3">
      <c r="A197" s="4">
        <f t="shared" ca="1" si="11"/>
        <v>0</v>
      </c>
      <c r="G197" s="4">
        <f t="shared" ca="1" si="10"/>
        <v>0</v>
      </c>
    </row>
    <row r="198" spans="1:7" x14ac:dyDescent="0.3">
      <c r="A198" s="4">
        <f t="shared" ca="1" si="11"/>
        <v>0</v>
      </c>
      <c r="G198" s="4">
        <f t="shared" ca="1" si="10"/>
        <v>0</v>
      </c>
    </row>
    <row r="199" spans="1:7" x14ac:dyDescent="0.3">
      <c r="A199" s="4">
        <f t="shared" ca="1" si="11"/>
        <v>0</v>
      </c>
      <c r="G199" s="4">
        <f t="shared" ca="1" si="10"/>
        <v>0</v>
      </c>
    </row>
    <row r="200" spans="1:7" x14ac:dyDescent="0.3">
      <c r="A200" s="4">
        <f t="shared" ca="1" si="11"/>
        <v>0</v>
      </c>
      <c r="G200" s="4">
        <f t="shared" ca="1" si="10"/>
        <v>0</v>
      </c>
    </row>
    <row r="201" spans="1:7" x14ac:dyDescent="0.3">
      <c r="A201" s="4">
        <f t="shared" ca="1" si="11"/>
        <v>0</v>
      </c>
      <c r="G201" s="4">
        <f t="shared" ca="1" si="10"/>
        <v>0</v>
      </c>
    </row>
    <row r="202" spans="1:7" x14ac:dyDescent="0.3">
      <c r="A202" s="4">
        <f t="shared" ca="1" si="11"/>
        <v>0</v>
      </c>
      <c r="G202" s="4">
        <f t="shared" ca="1" si="10"/>
        <v>0</v>
      </c>
    </row>
    <row r="203" spans="1:7" x14ac:dyDescent="0.3">
      <c r="A203" s="4">
        <f t="shared" ca="1" si="11"/>
        <v>0</v>
      </c>
      <c r="G203" s="4">
        <f t="shared" ca="1" si="10"/>
        <v>0</v>
      </c>
    </row>
    <row r="204" spans="1:7" x14ac:dyDescent="0.3">
      <c r="A204" s="4">
        <f t="shared" ca="1" si="11"/>
        <v>0</v>
      </c>
      <c r="G204" s="4">
        <f t="shared" ca="1" si="10"/>
        <v>0</v>
      </c>
    </row>
    <row r="205" spans="1:7" x14ac:dyDescent="0.3">
      <c r="A205" s="4">
        <f t="shared" ca="1" si="11"/>
        <v>0</v>
      </c>
      <c r="G205" s="4">
        <f t="shared" ca="1" si="10"/>
        <v>0</v>
      </c>
    </row>
    <row r="206" spans="1:7" x14ac:dyDescent="0.3">
      <c r="A206" s="4">
        <f t="shared" ca="1" si="11"/>
        <v>0</v>
      </c>
      <c r="G206" s="4">
        <f t="shared" ca="1" si="10"/>
        <v>0</v>
      </c>
    </row>
    <row r="207" spans="1:7" x14ac:dyDescent="0.3">
      <c r="A207" s="4">
        <f t="shared" ca="1" si="11"/>
        <v>0</v>
      </c>
      <c r="G207" s="4">
        <f t="shared" ca="1" si="10"/>
        <v>0</v>
      </c>
    </row>
    <row r="208" spans="1:7" x14ac:dyDescent="0.3">
      <c r="A208" s="4">
        <f t="shared" ca="1" si="11"/>
        <v>0</v>
      </c>
      <c r="G208" s="4">
        <f t="shared" ca="1" si="10"/>
        <v>0</v>
      </c>
    </row>
    <row r="209" spans="1:7" x14ac:dyDescent="0.3">
      <c r="A209" s="4">
        <f t="shared" ca="1" si="11"/>
        <v>0</v>
      </c>
      <c r="G209" s="4">
        <f t="shared" ca="1" si="10"/>
        <v>0</v>
      </c>
    </row>
    <row r="210" spans="1:7" x14ac:dyDescent="0.3">
      <c r="A210" s="4">
        <f t="shared" ca="1" si="11"/>
        <v>0</v>
      </c>
      <c r="G210" s="4">
        <f t="shared" ca="1" si="10"/>
        <v>0</v>
      </c>
    </row>
    <row r="211" spans="1:7" x14ac:dyDescent="0.3">
      <c r="A211" s="4">
        <f t="shared" ca="1" si="11"/>
        <v>0</v>
      </c>
      <c r="G211" s="4">
        <f t="shared" ca="1" si="10"/>
        <v>0</v>
      </c>
    </row>
    <row r="212" spans="1:7" x14ac:dyDescent="0.3">
      <c r="A212" s="4">
        <f t="shared" ca="1" si="11"/>
        <v>0</v>
      </c>
      <c r="G212" s="4">
        <f t="shared" ca="1" si="10"/>
        <v>0</v>
      </c>
    </row>
    <row r="213" spans="1:7" x14ac:dyDescent="0.3">
      <c r="A213" s="4">
        <f t="shared" ca="1" si="11"/>
        <v>0</v>
      </c>
      <c r="G213" s="4">
        <f t="shared" ca="1" si="10"/>
        <v>0</v>
      </c>
    </row>
    <row r="214" spans="1:7" x14ac:dyDescent="0.3">
      <c r="A214" s="4">
        <f t="shared" ca="1" si="11"/>
        <v>0</v>
      </c>
      <c r="G214" s="4">
        <f t="shared" ca="1" si="10"/>
        <v>0</v>
      </c>
    </row>
    <row r="215" spans="1:7" x14ac:dyDescent="0.3">
      <c r="A215" s="4">
        <f t="shared" ca="1" si="11"/>
        <v>0</v>
      </c>
      <c r="G215" s="4">
        <f t="shared" ca="1" si="10"/>
        <v>0</v>
      </c>
    </row>
    <row r="216" spans="1:7" x14ac:dyDescent="0.3">
      <c r="A216" s="4">
        <f t="shared" ca="1" si="11"/>
        <v>0</v>
      </c>
      <c r="G216" s="4">
        <f t="shared" ca="1" si="10"/>
        <v>0</v>
      </c>
    </row>
    <row r="217" spans="1:7" x14ac:dyDescent="0.3">
      <c r="A217" s="4">
        <f t="shared" ca="1" si="11"/>
        <v>0</v>
      </c>
      <c r="G217" s="4">
        <f t="shared" ca="1" si="10"/>
        <v>0</v>
      </c>
    </row>
    <row r="218" spans="1:7" x14ac:dyDescent="0.3">
      <c r="A218" s="4">
        <f t="shared" ca="1" si="11"/>
        <v>0</v>
      </c>
      <c r="G218" s="4">
        <f t="shared" ca="1" si="10"/>
        <v>0</v>
      </c>
    </row>
    <row r="219" spans="1:7" x14ac:dyDescent="0.3">
      <c r="A219" s="4">
        <f t="shared" ca="1" si="11"/>
        <v>0</v>
      </c>
      <c r="G219" s="4">
        <f t="shared" ca="1" si="10"/>
        <v>0</v>
      </c>
    </row>
    <row r="220" spans="1:7" x14ac:dyDescent="0.3">
      <c r="A220" s="4">
        <f t="shared" ca="1" si="11"/>
        <v>0</v>
      </c>
      <c r="G220" s="4">
        <f t="shared" ca="1" si="10"/>
        <v>0</v>
      </c>
    </row>
    <row r="221" spans="1:7" x14ac:dyDescent="0.3">
      <c r="A221" s="4">
        <f t="shared" ca="1" si="11"/>
        <v>0</v>
      </c>
      <c r="G221" s="4">
        <f t="shared" ca="1" si="10"/>
        <v>0</v>
      </c>
    </row>
    <row r="222" spans="1:7" x14ac:dyDescent="0.3">
      <c r="A222" s="4">
        <f t="shared" ca="1" si="11"/>
        <v>0</v>
      </c>
      <c r="G222" s="4">
        <f t="shared" ca="1" si="10"/>
        <v>0</v>
      </c>
    </row>
    <row r="223" spans="1:7" x14ac:dyDescent="0.3">
      <c r="A223" s="4">
        <f t="shared" ca="1" si="11"/>
        <v>0</v>
      </c>
      <c r="G223" s="4">
        <f t="shared" ca="1" si="10"/>
        <v>0</v>
      </c>
    </row>
    <row r="224" spans="1:7" x14ac:dyDescent="0.3">
      <c r="A224" s="4">
        <f t="shared" ca="1" si="11"/>
        <v>0</v>
      </c>
      <c r="G224" s="4">
        <f t="shared" ca="1" si="10"/>
        <v>0</v>
      </c>
    </row>
    <row r="225" spans="1:7" x14ac:dyDescent="0.3">
      <c r="A225" s="4">
        <f t="shared" ca="1" si="11"/>
        <v>0</v>
      </c>
      <c r="G225" s="4">
        <f t="shared" ca="1" si="10"/>
        <v>0</v>
      </c>
    </row>
    <row r="226" spans="1:7" x14ac:dyDescent="0.3">
      <c r="A226" s="4">
        <f t="shared" ca="1" si="11"/>
        <v>0</v>
      </c>
      <c r="G226" s="4">
        <f t="shared" ref="G226:G289" ca="1" si="12">OFFSET($H226,0,LangOffset,1,1)</f>
        <v>0</v>
      </c>
    </row>
    <row r="227" spans="1:7" x14ac:dyDescent="0.3">
      <c r="A227" s="4">
        <f t="shared" ca="1" si="11"/>
        <v>0</v>
      </c>
      <c r="G227" s="4">
        <f t="shared" ca="1" si="12"/>
        <v>0</v>
      </c>
    </row>
    <row r="228" spans="1:7" x14ac:dyDescent="0.3">
      <c r="A228" s="4">
        <f t="shared" ca="1" si="11"/>
        <v>0</v>
      </c>
      <c r="G228" s="4">
        <f t="shared" ca="1" si="12"/>
        <v>0</v>
      </c>
    </row>
    <row r="229" spans="1:7" x14ac:dyDescent="0.3">
      <c r="A229" s="4">
        <f t="shared" ca="1" si="11"/>
        <v>0</v>
      </c>
      <c r="G229" s="4">
        <f t="shared" ca="1" si="12"/>
        <v>0</v>
      </c>
    </row>
    <row r="230" spans="1:7" x14ac:dyDescent="0.3">
      <c r="A230" s="4">
        <f t="shared" ca="1" si="11"/>
        <v>0</v>
      </c>
      <c r="G230" s="4">
        <f t="shared" ca="1" si="12"/>
        <v>0</v>
      </c>
    </row>
    <row r="231" spans="1:7" x14ac:dyDescent="0.3">
      <c r="A231" s="4">
        <f t="shared" ca="1" si="11"/>
        <v>0</v>
      </c>
      <c r="G231" s="4">
        <f t="shared" ca="1" si="12"/>
        <v>0</v>
      </c>
    </row>
    <row r="232" spans="1:7" x14ac:dyDescent="0.3">
      <c r="A232" s="4">
        <f t="shared" ca="1" si="11"/>
        <v>0</v>
      </c>
      <c r="G232" s="4">
        <f t="shared" ca="1" si="12"/>
        <v>0</v>
      </c>
    </row>
    <row r="233" spans="1:7" x14ac:dyDescent="0.3">
      <c r="A233" s="4">
        <f t="shared" ca="1" si="11"/>
        <v>0</v>
      </c>
      <c r="G233" s="4">
        <f t="shared" ca="1" si="12"/>
        <v>0</v>
      </c>
    </row>
    <row r="234" spans="1:7" x14ac:dyDescent="0.3">
      <c r="A234" s="4">
        <f t="shared" ca="1" si="11"/>
        <v>0</v>
      </c>
      <c r="G234" s="4">
        <f t="shared" ca="1" si="12"/>
        <v>0</v>
      </c>
    </row>
    <row r="235" spans="1:7" x14ac:dyDescent="0.3">
      <c r="A235" s="4">
        <f t="shared" ca="1" si="11"/>
        <v>0</v>
      </c>
      <c r="G235" s="4">
        <f t="shared" ca="1" si="12"/>
        <v>0</v>
      </c>
    </row>
    <row r="236" spans="1:7" x14ac:dyDescent="0.3">
      <c r="A236" s="4">
        <f t="shared" ca="1" si="11"/>
        <v>0</v>
      </c>
      <c r="G236" s="4">
        <f t="shared" ca="1" si="12"/>
        <v>0</v>
      </c>
    </row>
    <row r="237" spans="1:7" x14ac:dyDescent="0.3">
      <c r="A237" s="4">
        <f t="shared" ca="1" si="11"/>
        <v>0</v>
      </c>
      <c r="G237" s="4">
        <f t="shared" ca="1" si="12"/>
        <v>0</v>
      </c>
    </row>
    <row r="238" spans="1:7" x14ac:dyDescent="0.3">
      <c r="A238" s="4">
        <f t="shared" ca="1" si="11"/>
        <v>0</v>
      </c>
      <c r="G238" s="4">
        <f t="shared" ca="1" si="12"/>
        <v>0</v>
      </c>
    </row>
    <row r="239" spans="1:7" x14ac:dyDescent="0.3">
      <c r="A239" s="4">
        <f t="shared" ca="1" si="11"/>
        <v>0</v>
      </c>
      <c r="G239" s="4">
        <f t="shared" ca="1" si="12"/>
        <v>0</v>
      </c>
    </row>
    <row r="240" spans="1:7" x14ac:dyDescent="0.3">
      <c r="A240" s="4">
        <f t="shared" ca="1" si="11"/>
        <v>0</v>
      </c>
      <c r="G240" s="4">
        <f t="shared" ca="1" si="12"/>
        <v>0</v>
      </c>
    </row>
    <row r="241" spans="1:7" x14ac:dyDescent="0.3">
      <c r="A241" s="4">
        <f t="shared" ca="1" si="11"/>
        <v>0</v>
      </c>
      <c r="G241" s="4">
        <f t="shared" ca="1" si="12"/>
        <v>0</v>
      </c>
    </row>
    <row r="242" spans="1:7" x14ac:dyDescent="0.3">
      <c r="A242" s="4">
        <f t="shared" ca="1" si="11"/>
        <v>0</v>
      </c>
      <c r="G242" s="4">
        <f t="shared" ca="1" si="12"/>
        <v>0</v>
      </c>
    </row>
    <row r="243" spans="1:7" x14ac:dyDescent="0.3">
      <c r="A243" s="4">
        <f t="shared" ca="1" si="11"/>
        <v>0</v>
      </c>
      <c r="G243" s="4">
        <f t="shared" ca="1" si="12"/>
        <v>0</v>
      </c>
    </row>
    <row r="244" spans="1:7" x14ac:dyDescent="0.3">
      <c r="A244" s="4">
        <f t="shared" ca="1" si="11"/>
        <v>0</v>
      </c>
      <c r="G244" s="4">
        <f t="shared" ca="1" si="12"/>
        <v>0</v>
      </c>
    </row>
    <row r="245" spans="1:7" x14ac:dyDescent="0.3">
      <c r="A245" s="4">
        <f t="shared" ca="1" si="11"/>
        <v>0</v>
      </c>
      <c r="G245" s="4">
        <f t="shared" ca="1" si="12"/>
        <v>0</v>
      </c>
    </row>
    <row r="246" spans="1:7" x14ac:dyDescent="0.3">
      <c r="A246" s="4">
        <f t="shared" ca="1" si="11"/>
        <v>0</v>
      </c>
      <c r="G246" s="4">
        <f t="shared" ca="1" si="12"/>
        <v>0</v>
      </c>
    </row>
    <row r="247" spans="1:7" x14ac:dyDescent="0.3">
      <c r="A247" s="4">
        <f t="shared" ca="1" si="11"/>
        <v>0</v>
      </c>
      <c r="G247" s="4">
        <f t="shared" ca="1" si="12"/>
        <v>0</v>
      </c>
    </row>
    <row r="248" spans="1:7" x14ac:dyDescent="0.3">
      <c r="A248" s="4">
        <f t="shared" ca="1" si="11"/>
        <v>0</v>
      </c>
      <c r="G248" s="4">
        <f t="shared" ca="1" si="12"/>
        <v>0</v>
      </c>
    </row>
    <row r="249" spans="1:7" x14ac:dyDescent="0.3">
      <c r="A249" s="4">
        <f t="shared" ca="1" si="11"/>
        <v>0</v>
      </c>
      <c r="G249" s="4">
        <f t="shared" ca="1" si="12"/>
        <v>0</v>
      </c>
    </row>
    <row r="250" spans="1:7" x14ac:dyDescent="0.3">
      <c r="A250" s="4">
        <f t="shared" ca="1" si="11"/>
        <v>0</v>
      </c>
      <c r="G250" s="4">
        <f t="shared" ca="1" si="12"/>
        <v>0</v>
      </c>
    </row>
    <row r="251" spans="1:7" x14ac:dyDescent="0.3">
      <c r="A251" s="4">
        <f t="shared" ca="1" si="11"/>
        <v>0</v>
      </c>
      <c r="G251" s="4">
        <f t="shared" ca="1" si="12"/>
        <v>0</v>
      </c>
    </row>
    <row r="252" spans="1:7" x14ac:dyDescent="0.3">
      <c r="A252" s="4">
        <f t="shared" ca="1" si="11"/>
        <v>0</v>
      </c>
      <c r="G252" s="4">
        <f t="shared" ca="1" si="12"/>
        <v>0</v>
      </c>
    </row>
    <row r="253" spans="1:7" x14ac:dyDescent="0.3">
      <c r="A253" s="4">
        <f t="shared" ca="1" si="11"/>
        <v>0</v>
      </c>
      <c r="G253" s="4">
        <f t="shared" ca="1" si="12"/>
        <v>0</v>
      </c>
    </row>
    <row r="254" spans="1:7" x14ac:dyDescent="0.3">
      <c r="A254" s="4">
        <f t="shared" ca="1" si="11"/>
        <v>0</v>
      </c>
      <c r="G254" s="4">
        <f t="shared" ca="1" si="12"/>
        <v>0</v>
      </c>
    </row>
    <row r="255" spans="1:7" x14ac:dyDescent="0.3">
      <c r="A255" s="4">
        <f t="shared" ca="1" si="11"/>
        <v>0</v>
      </c>
      <c r="G255" s="4">
        <f t="shared" ca="1" si="12"/>
        <v>0</v>
      </c>
    </row>
    <row r="256" spans="1:7" x14ac:dyDescent="0.3">
      <c r="A256" s="4">
        <f t="shared" ca="1" si="11"/>
        <v>0</v>
      </c>
      <c r="G256" s="4">
        <f t="shared" ca="1" si="12"/>
        <v>0</v>
      </c>
    </row>
    <row r="257" spans="1:7" x14ac:dyDescent="0.3">
      <c r="A257" s="4">
        <f t="shared" ca="1" si="11"/>
        <v>0</v>
      </c>
      <c r="G257" s="4">
        <f t="shared" ca="1" si="12"/>
        <v>0</v>
      </c>
    </row>
    <row r="258" spans="1:7" x14ac:dyDescent="0.3">
      <c r="A258" s="4">
        <f t="shared" ca="1" si="11"/>
        <v>0</v>
      </c>
      <c r="G258" s="4">
        <f t="shared" ca="1" si="12"/>
        <v>0</v>
      </c>
    </row>
    <row r="259" spans="1:7" x14ac:dyDescent="0.3">
      <c r="A259" s="4">
        <f t="shared" ca="1" si="11"/>
        <v>0</v>
      </c>
      <c r="G259" s="4">
        <f t="shared" ca="1" si="12"/>
        <v>0</v>
      </c>
    </row>
    <row r="260" spans="1:7" x14ac:dyDescent="0.3">
      <c r="A260" s="4">
        <f t="shared" ref="A260:A323" ca="1" si="13">OFFSET($B260,0,LangOffset,1,1)</f>
        <v>0</v>
      </c>
      <c r="G260" s="4">
        <f t="shared" ca="1" si="12"/>
        <v>0</v>
      </c>
    </row>
    <row r="261" spans="1:7" x14ac:dyDescent="0.3">
      <c r="A261" s="4">
        <f t="shared" ca="1" si="13"/>
        <v>0</v>
      </c>
      <c r="G261" s="4">
        <f t="shared" ca="1" si="12"/>
        <v>0</v>
      </c>
    </row>
    <row r="262" spans="1:7" x14ac:dyDescent="0.3">
      <c r="A262" s="4">
        <f t="shared" ca="1" si="13"/>
        <v>0</v>
      </c>
      <c r="G262" s="4">
        <f t="shared" ca="1" si="12"/>
        <v>0</v>
      </c>
    </row>
    <row r="263" spans="1:7" x14ac:dyDescent="0.3">
      <c r="A263" s="4">
        <f t="shared" ca="1" si="13"/>
        <v>0</v>
      </c>
      <c r="G263" s="4">
        <f t="shared" ca="1" si="12"/>
        <v>0</v>
      </c>
    </row>
    <row r="264" spans="1:7" x14ac:dyDescent="0.3">
      <c r="A264" s="4">
        <f t="shared" ca="1" si="13"/>
        <v>0</v>
      </c>
      <c r="G264" s="4">
        <f t="shared" ca="1" si="12"/>
        <v>0</v>
      </c>
    </row>
    <row r="265" spans="1:7" x14ac:dyDescent="0.3">
      <c r="A265" s="4">
        <f t="shared" ca="1" si="13"/>
        <v>0</v>
      </c>
      <c r="G265" s="4">
        <f t="shared" ca="1" si="12"/>
        <v>0</v>
      </c>
    </row>
    <row r="266" spans="1:7" x14ac:dyDescent="0.3">
      <c r="A266" s="4">
        <f t="shared" ca="1" si="13"/>
        <v>0</v>
      </c>
      <c r="G266" s="4">
        <f t="shared" ca="1" si="12"/>
        <v>0</v>
      </c>
    </row>
    <row r="267" spans="1:7" x14ac:dyDescent="0.3">
      <c r="A267" s="4">
        <f t="shared" ca="1" si="13"/>
        <v>0</v>
      </c>
      <c r="G267" s="4">
        <f t="shared" ca="1" si="12"/>
        <v>0</v>
      </c>
    </row>
    <row r="268" spans="1:7" x14ac:dyDescent="0.3">
      <c r="A268" s="4">
        <f t="shared" ca="1" si="13"/>
        <v>0</v>
      </c>
      <c r="G268" s="4">
        <f t="shared" ca="1" si="12"/>
        <v>0</v>
      </c>
    </row>
    <row r="269" spans="1:7" x14ac:dyDescent="0.3">
      <c r="A269" s="4">
        <f t="shared" ca="1" si="13"/>
        <v>0</v>
      </c>
      <c r="G269" s="4">
        <f t="shared" ca="1" si="12"/>
        <v>0</v>
      </c>
    </row>
    <row r="270" spans="1:7" x14ac:dyDescent="0.3">
      <c r="A270" s="4">
        <f t="shared" ca="1" si="13"/>
        <v>0</v>
      </c>
      <c r="G270" s="4">
        <f t="shared" ca="1" si="12"/>
        <v>0</v>
      </c>
    </row>
    <row r="271" spans="1:7" x14ac:dyDescent="0.3">
      <c r="A271" s="4">
        <f t="shared" ca="1" si="13"/>
        <v>0</v>
      </c>
      <c r="G271" s="4">
        <f t="shared" ca="1" si="12"/>
        <v>0</v>
      </c>
    </row>
    <row r="272" spans="1:7" x14ac:dyDescent="0.3">
      <c r="A272" s="4">
        <f t="shared" ca="1" si="13"/>
        <v>0</v>
      </c>
      <c r="G272" s="4">
        <f t="shared" ca="1" si="12"/>
        <v>0</v>
      </c>
    </row>
    <row r="273" spans="1:7" x14ac:dyDescent="0.3">
      <c r="A273" s="4">
        <f t="shared" ca="1" si="13"/>
        <v>0</v>
      </c>
      <c r="G273" s="4">
        <f t="shared" ca="1" si="12"/>
        <v>0</v>
      </c>
    </row>
    <row r="274" spans="1:7" x14ac:dyDescent="0.3">
      <c r="A274" s="4">
        <f t="shared" ca="1" si="13"/>
        <v>0</v>
      </c>
      <c r="G274" s="4">
        <f t="shared" ca="1" si="12"/>
        <v>0</v>
      </c>
    </row>
    <row r="275" spans="1:7" x14ac:dyDescent="0.3">
      <c r="A275" s="4">
        <f t="shared" ca="1" si="13"/>
        <v>0</v>
      </c>
      <c r="G275" s="4">
        <f t="shared" ca="1" si="12"/>
        <v>0</v>
      </c>
    </row>
    <row r="276" spans="1:7" x14ac:dyDescent="0.3">
      <c r="A276" s="4">
        <f t="shared" ca="1" si="13"/>
        <v>0</v>
      </c>
      <c r="G276" s="4">
        <f t="shared" ca="1" si="12"/>
        <v>0</v>
      </c>
    </row>
    <row r="277" spans="1:7" x14ac:dyDescent="0.3">
      <c r="A277" s="4">
        <f t="shared" ca="1" si="13"/>
        <v>0</v>
      </c>
      <c r="G277" s="4">
        <f t="shared" ca="1" si="12"/>
        <v>0</v>
      </c>
    </row>
    <row r="278" spans="1:7" x14ac:dyDescent="0.3">
      <c r="A278" s="4">
        <f t="shared" ca="1" si="13"/>
        <v>0</v>
      </c>
      <c r="G278" s="4">
        <f t="shared" ca="1" si="12"/>
        <v>0</v>
      </c>
    </row>
    <row r="279" spans="1:7" x14ac:dyDescent="0.3">
      <c r="A279" s="4">
        <f t="shared" ca="1" si="13"/>
        <v>0</v>
      </c>
      <c r="G279" s="4">
        <f t="shared" ca="1" si="12"/>
        <v>0</v>
      </c>
    </row>
    <row r="280" spans="1:7" x14ac:dyDescent="0.3">
      <c r="A280" s="4">
        <f t="shared" ca="1" si="13"/>
        <v>0</v>
      </c>
      <c r="G280" s="4">
        <f t="shared" ca="1" si="12"/>
        <v>0</v>
      </c>
    </row>
    <row r="281" spans="1:7" x14ac:dyDescent="0.3">
      <c r="A281" s="4">
        <f t="shared" ca="1" si="13"/>
        <v>0</v>
      </c>
      <c r="G281" s="4">
        <f t="shared" ca="1" si="12"/>
        <v>0</v>
      </c>
    </row>
    <row r="282" spans="1:7" x14ac:dyDescent="0.3">
      <c r="A282" s="4">
        <f t="shared" ca="1" si="13"/>
        <v>0</v>
      </c>
      <c r="G282" s="4">
        <f t="shared" ca="1" si="12"/>
        <v>0</v>
      </c>
    </row>
    <row r="283" spans="1:7" x14ac:dyDescent="0.3">
      <c r="A283" s="4">
        <f t="shared" ca="1" si="13"/>
        <v>0</v>
      </c>
      <c r="G283" s="4">
        <f t="shared" ca="1" si="12"/>
        <v>0</v>
      </c>
    </row>
    <row r="284" spans="1:7" x14ac:dyDescent="0.3">
      <c r="A284" s="4">
        <f t="shared" ca="1" si="13"/>
        <v>0</v>
      </c>
      <c r="G284" s="4">
        <f t="shared" ca="1" si="12"/>
        <v>0</v>
      </c>
    </row>
    <row r="285" spans="1:7" x14ac:dyDescent="0.3">
      <c r="A285" s="4">
        <f t="shared" ca="1" si="13"/>
        <v>0</v>
      </c>
      <c r="G285" s="4">
        <f t="shared" ca="1" si="12"/>
        <v>0</v>
      </c>
    </row>
    <row r="286" spans="1:7" x14ac:dyDescent="0.3">
      <c r="A286" s="4">
        <f t="shared" ca="1" si="13"/>
        <v>0</v>
      </c>
      <c r="G286" s="4">
        <f t="shared" ca="1" si="12"/>
        <v>0</v>
      </c>
    </row>
    <row r="287" spans="1:7" x14ac:dyDescent="0.3">
      <c r="A287" s="4">
        <f t="shared" ca="1" si="13"/>
        <v>0</v>
      </c>
      <c r="G287" s="4">
        <f t="shared" ca="1" si="12"/>
        <v>0</v>
      </c>
    </row>
    <row r="288" spans="1:7" x14ac:dyDescent="0.3">
      <c r="A288" s="4">
        <f t="shared" ca="1" si="13"/>
        <v>0</v>
      </c>
      <c r="G288" s="4">
        <f t="shared" ca="1" si="12"/>
        <v>0</v>
      </c>
    </row>
    <row r="289" spans="1:7" x14ac:dyDescent="0.3">
      <c r="A289" s="4">
        <f t="shared" ca="1" si="13"/>
        <v>0</v>
      </c>
      <c r="G289" s="4">
        <f t="shared" ca="1" si="12"/>
        <v>0</v>
      </c>
    </row>
    <row r="290" spans="1:7" x14ac:dyDescent="0.3">
      <c r="A290" s="4">
        <f t="shared" ca="1" si="13"/>
        <v>0</v>
      </c>
      <c r="G290" s="4">
        <f t="shared" ref="G290:G353" ca="1" si="14">OFFSET($H290,0,LangOffset,1,1)</f>
        <v>0</v>
      </c>
    </row>
    <row r="291" spans="1:7" x14ac:dyDescent="0.3">
      <c r="A291" s="4">
        <f t="shared" ca="1" si="13"/>
        <v>0</v>
      </c>
      <c r="G291" s="4">
        <f t="shared" ca="1" si="14"/>
        <v>0</v>
      </c>
    </row>
    <row r="292" spans="1:7" x14ac:dyDescent="0.3">
      <c r="A292" s="4">
        <f t="shared" ca="1" si="13"/>
        <v>0</v>
      </c>
      <c r="G292" s="4">
        <f t="shared" ca="1" si="14"/>
        <v>0</v>
      </c>
    </row>
    <row r="293" spans="1:7" x14ac:dyDescent="0.3">
      <c r="A293" s="4">
        <f t="shared" ca="1" si="13"/>
        <v>0</v>
      </c>
      <c r="G293" s="4">
        <f t="shared" ca="1" si="14"/>
        <v>0</v>
      </c>
    </row>
    <row r="294" spans="1:7" x14ac:dyDescent="0.3">
      <c r="A294" s="4">
        <f t="shared" ca="1" si="13"/>
        <v>0</v>
      </c>
      <c r="G294" s="4">
        <f t="shared" ca="1" si="14"/>
        <v>0</v>
      </c>
    </row>
    <row r="295" spans="1:7" x14ac:dyDescent="0.3">
      <c r="A295" s="4">
        <f t="shared" ca="1" si="13"/>
        <v>0</v>
      </c>
      <c r="G295" s="4">
        <f t="shared" ca="1" si="14"/>
        <v>0</v>
      </c>
    </row>
    <row r="296" spans="1:7" x14ac:dyDescent="0.3">
      <c r="A296" s="4">
        <f t="shared" ca="1" si="13"/>
        <v>0</v>
      </c>
      <c r="G296" s="4">
        <f t="shared" ca="1" si="14"/>
        <v>0</v>
      </c>
    </row>
    <row r="297" spans="1:7" x14ac:dyDescent="0.3">
      <c r="A297" s="4">
        <f t="shared" ca="1" si="13"/>
        <v>0</v>
      </c>
      <c r="G297" s="4">
        <f t="shared" ca="1" si="14"/>
        <v>0</v>
      </c>
    </row>
    <row r="298" spans="1:7" x14ac:dyDescent="0.3">
      <c r="A298" s="4">
        <f t="shared" ca="1" si="13"/>
        <v>0</v>
      </c>
      <c r="G298" s="4">
        <f t="shared" ca="1" si="14"/>
        <v>0</v>
      </c>
    </row>
    <row r="299" spans="1:7" x14ac:dyDescent="0.3">
      <c r="A299" s="4">
        <f t="shared" ca="1" si="13"/>
        <v>0</v>
      </c>
      <c r="G299" s="4">
        <f t="shared" ca="1" si="14"/>
        <v>0</v>
      </c>
    </row>
    <row r="300" spans="1:7" x14ac:dyDescent="0.3">
      <c r="A300" s="4">
        <f t="shared" ca="1" si="13"/>
        <v>0</v>
      </c>
      <c r="G300" s="4">
        <f t="shared" ca="1" si="14"/>
        <v>0</v>
      </c>
    </row>
    <row r="301" spans="1:7" x14ac:dyDescent="0.3">
      <c r="A301" s="4">
        <f t="shared" ca="1" si="13"/>
        <v>0</v>
      </c>
      <c r="G301" s="4">
        <f t="shared" ca="1" si="14"/>
        <v>0</v>
      </c>
    </row>
    <row r="302" spans="1:7" x14ac:dyDescent="0.3">
      <c r="A302" s="4">
        <f t="shared" ca="1" si="13"/>
        <v>0</v>
      </c>
      <c r="G302" s="4">
        <f t="shared" ca="1" si="14"/>
        <v>0</v>
      </c>
    </row>
    <row r="303" spans="1:7" x14ac:dyDescent="0.3">
      <c r="A303" s="4">
        <f t="shared" ca="1" si="13"/>
        <v>0</v>
      </c>
      <c r="G303" s="4">
        <f t="shared" ca="1" si="14"/>
        <v>0</v>
      </c>
    </row>
    <row r="304" spans="1:7" x14ac:dyDescent="0.3">
      <c r="A304" s="4">
        <f t="shared" ca="1" si="13"/>
        <v>0</v>
      </c>
      <c r="G304" s="4">
        <f t="shared" ca="1" si="14"/>
        <v>0</v>
      </c>
    </row>
    <row r="305" spans="1:7" x14ac:dyDescent="0.3">
      <c r="A305" s="4">
        <f t="shared" ca="1" si="13"/>
        <v>0</v>
      </c>
      <c r="G305" s="4">
        <f t="shared" ca="1" si="14"/>
        <v>0</v>
      </c>
    </row>
    <row r="306" spans="1:7" x14ac:dyDescent="0.3">
      <c r="A306" s="4">
        <f t="shared" ca="1" si="13"/>
        <v>0</v>
      </c>
      <c r="G306" s="4">
        <f t="shared" ca="1" si="14"/>
        <v>0</v>
      </c>
    </row>
    <row r="307" spans="1:7" x14ac:dyDescent="0.3">
      <c r="A307" s="4">
        <f t="shared" ca="1" si="13"/>
        <v>0</v>
      </c>
      <c r="G307" s="4">
        <f t="shared" ca="1" si="14"/>
        <v>0</v>
      </c>
    </row>
    <row r="308" spans="1:7" x14ac:dyDescent="0.3">
      <c r="A308" s="4">
        <f t="shared" ca="1" si="13"/>
        <v>0</v>
      </c>
      <c r="G308" s="4">
        <f t="shared" ca="1" si="14"/>
        <v>0</v>
      </c>
    </row>
    <row r="309" spans="1:7" x14ac:dyDescent="0.3">
      <c r="A309" s="4">
        <f t="shared" ca="1" si="13"/>
        <v>0</v>
      </c>
      <c r="G309" s="4">
        <f t="shared" ca="1" si="14"/>
        <v>0</v>
      </c>
    </row>
    <row r="310" spans="1:7" x14ac:dyDescent="0.3">
      <c r="A310" s="4">
        <f t="shared" ca="1" si="13"/>
        <v>0</v>
      </c>
      <c r="G310" s="4">
        <f t="shared" ca="1" si="14"/>
        <v>0</v>
      </c>
    </row>
    <row r="311" spans="1:7" x14ac:dyDescent="0.3">
      <c r="A311" s="4">
        <f t="shared" ca="1" si="13"/>
        <v>0</v>
      </c>
      <c r="G311" s="4">
        <f t="shared" ca="1" si="14"/>
        <v>0</v>
      </c>
    </row>
    <row r="312" spans="1:7" x14ac:dyDescent="0.3">
      <c r="A312" s="4">
        <f t="shared" ca="1" si="13"/>
        <v>0</v>
      </c>
      <c r="G312" s="4">
        <f t="shared" ca="1" si="14"/>
        <v>0</v>
      </c>
    </row>
    <row r="313" spans="1:7" x14ac:dyDescent="0.3">
      <c r="A313" s="4">
        <f t="shared" ca="1" si="13"/>
        <v>0</v>
      </c>
      <c r="G313" s="4">
        <f t="shared" ca="1" si="14"/>
        <v>0</v>
      </c>
    </row>
    <row r="314" spans="1:7" x14ac:dyDescent="0.3">
      <c r="A314" s="4">
        <f t="shared" ca="1" si="13"/>
        <v>0</v>
      </c>
      <c r="G314" s="4">
        <f t="shared" ca="1" si="14"/>
        <v>0</v>
      </c>
    </row>
    <row r="315" spans="1:7" x14ac:dyDescent="0.3">
      <c r="A315" s="4">
        <f t="shared" ca="1" si="13"/>
        <v>0</v>
      </c>
      <c r="G315" s="4">
        <f t="shared" ca="1" si="14"/>
        <v>0</v>
      </c>
    </row>
    <row r="316" spans="1:7" x14ac:dyDescent="0.3">
      <c r="A316" s="4">
        <f t="shared" ca="1" si="13"/>
        <v>0</v>
      </c>
      <c r="G316" s="4">
        <f t="shared" ca="1" si="14"/>
        <v>0</v>
      </c>
    </row>
    <row r="317" spans="1:7" x14ac:dyDescent="0.3">
      <c r="A317" s="4">
        <f t="shared" ca="1" si="13"/>
        <v>0</v>
      </c>
      <c r="G317" s="4">
        <f t="shared" ca="1" si="14"/>
        <v>0</v>
      </c>
    </row>
    <row r="318" spans="1:7" x14ac:dyDescent="0.3">
      <c r="A318" s="4">
        <f t="shared" ca="1" si="13"/>
        <v>0</v>
      </c>
      <c r="G318" s="4">
        <f t="shared" ca="1" si="14"/>
        <v>0</v>
      </c>
    </row>
    <row r="319" spans="1:7" x14ac:dyDescent="0.3">
      <c r="A319" s="4">
        <f t="shared" ca="1" si="13"/>
        <v>0</v>
      </c>
      <c r="G319" s="4">
        <f t="shared" ca="1" si="14"/>
        <v>0</v>
      </c>
    </row>
    <row r="320" spans="1:7" x14ac:dyDescent="0.3">
      <c r="A320" s="4">
        <f t="shared" ca="1" si="13"/>
        <v>0</v>
      </c>
      <c r="G320" s="4">
        <f t="shared" ca="1" si="14"/>
        <v>0</v>
      </c>
    </row>
    <row r="321" spans="1:7" x14ac:dyDescent="0.3">
      <c r="A321" s="4">
        <f t="shared" ca="1" si="13"/>
        <v>0</v>
      </c>
      <c r="G321" s="4">
        <f t="shared" ca="1" si="14"/>
        <v>0</v>
      </c>
    </row>
    <row r="322" spans="1:7" x14ac:dyDescent="0.3">
      <c r="A322" s="4">
        <f t="shared" ca="1" si="13"/>
        <v>0</v>
      </c>
      <c r="G322" s="4">
        <f t="shared" ca="1" si="14"/>
        <v>0</v>
      </c>
    </row>
    <row r="323" spans="1:7" x14ac:dyDescent="0.3">
      <c r="A323" s="4">
        <f t="shared" ca="1" si="13"/>
        <v>0</v>
      </c>
      <c r="G323" s="4">
        <f t="shared" ca="1" si="14"/>
        <v>0</v>
      </c>
    </row>
    <row r="324" spans="1:7" x14ac:dyDescent="0.3">
      <c r="A324" s="4">
        <f t="shared" ref="A324:A387" ca="1" si="15">OFFSET($B324,0,LangOffset,1,1)</f>
        <v>0</v>
      </c>
      <c r="G324" s="4">
        <f t="shared" ca="1" si="14"/>
        <v>0</v>
      </c>
    </row>
    <row r="325" spans="1:7" x14ac:dyDescent="0.3">
      <c r="A325" s="4">
        <f t="shared" ca="1" si="15"/>
        <v>0</v>
      </c>
      <c r="G325" s="4">
        <f t="shared" ca="1" si="14"/>
        <v>0</v>
      </c>
    </row>
    <row r="326" spans="1:7" x14ac:dyDescent="0.3">
      <c r="A326" s="4">
        <f t="shared" ca="1" si="15"/>
        <v>0</v>
      </c>
      <c r="G326" s="4">
        <f t="shared" ca="1" si="14"/>
        <v>0</v>
      </c>
    </row>
    <row r="327" spans="1:7" x14ac:dyDescent="0.3">
      <c r="A327" s="4">
        <f t="shared" ca="1" si="15"/>
        <v>0</v>
      </c>
      <c r="G327" s="4">
        <f t="shared" ca="1" si="14"/>
        <v>0</v>
      </c>
    </row>
    <row r="328" spans="1:7" x14ac:dyDescent="0.3">
      <c r="A328" s="4">
        <f t="shared" ca="1" si="15"/>
        <v>0</v>
      </c>
      <c r="G328" s="4">
        <f t="shared" ca="1" si="14"/>
        <v>0</v>
      </c>
    </row>
    <row r="329" spans="1:7" x14ac:dyDescent="0.3">
      <c r="A329" s="4">
        <f t="shared" ca="1" si="15"/>
        <v>0</v>
      </c>
      <c r="G329" s="4">
        <f t="shared" ca="1" si="14"/>
        <v>0</v>
      </c>
    </row>
    <row r="330" spans="1:7" x14ac:dyDescent="0.3">
      <c r="A330" s="4">
        <f t="shared" ca="1" si="15"/>
        <v>0</v>
      </c>
      <c r="G330" s="4">
        <f t="shared" ca="1" si="14"/>
        <v>0</v>
      </c>
    </row>
    <row r="331" spans="1:7" x14ac:dyDescent="0.3">
      <c r="A331" s="4">
        <f t="shared" ca="1" si="15"/>
        <v>0</v>
      </c>
      <c r="G331" s="4">
        <f t="shared" ca="1" si="14"/>
        <v>0</v>
      </c>
    </row>
    <row r="332" spans="1:7" x14ac:dyDescent="0.3">
      <c r="A332" s="4">
        <f t="shared" ca="1" si="15"/>
        <v>0</v>
      </c>
      <c r="G332" s="4">
        <f t="shared" ca="1" si="14"/>
        <v>0</v>
      </c>
    </row>
    <row r="333" spans="1:7" x14ac:dyDescent="0.3">
      <c r="A333" s="4">
        <f t="shared" ca="1" si="15"/>
        <v>0</v>
      </c>
      <c r="G333" s="4">
        <f t="shared" ca="1" si="14"/>
        <v>0</v>
      </c>
    </row>
    <row r="334" spans="1:7" x14ac:dyDescent="0.3">
      <c r="A334" s="4">
        <f t="shared" ca="1" si="15"/>
        <v>0</v>
      </c>
      <c r="G334" s="4">
        <f t="shared" ca="1" si="14"/>
        <v>0</v>
      </c>
    </row>
    <row r="335" spans="1:7" x14ac:dyDescent="0.3">
      <c r="A335" s="4">
        <f t="shared" ca="1" si="15"/>
        <v>0</v>
      </c>
      <c r="G335" s="4">
        <f t="shared" ca="1" si="14"/>
        <v>0</v>
      </c>
    </row>
    <row r="336" spans="1:7" x14ac:dyDescent="0.3">
      <c r="A336" s="4">
        <f t="shared" ca="1" si="15"/>
        <v>0</v>
      </c>
      <c r="G336" s="4">
        <f t="shared" ca="1" si="14"/>
        <v>0</v>
      </c>
    </row>
    <row r="337" spans="1:7" x14ac:dyDescent="0.3">
      <c r="A337" s="4">
        <f t="shared" ca="1" si="15"/>
        <v>0</v>
      </c>
      <c r="G337" s="4">
        <f t="shared" ca="1" si="14"/>
        <v>0</v>
      </c>
    </row>
    <row r="338" spans="1:7" x14ac:dyDescent="0.3">
      <c r="A338" s="4">
        <f t="shared" ca="1" si="15"/>
        <v>0</v>
      </c>
      <c r="G338" s="4">
        <f t="shared" ca="1" si="14"/>
        <v>0</v>
      </c>
    </row>
    <row r="339" spans="1:7" x14ac:dyDescent="0.3">
      <c r="A339" s="4">
        <f t="shared" ca="1" si="15"/>
        <v>0</v>
      </c>
      <c r="G339" s="4">
        <f t="shared" ca="1" si="14"/>
        <v>0</v>
      </c>
    </row>
    <row r="340" spans="1:7" x14ac:dyDescent="0.3">
      <c r="A340" s="4">
        <f t="shared" ca="1" si="15"/>
        <v>0</v>
      </c>
      <c r="G340" s="4">
        <f t="shared" ca="1" si="14"/>
        <v>0</v>
      </c>
    </row>
    <row r="341" spans="1:7" x14ac:dyDescent="0.3">
      <c r="A341" s="4">
        <f t="shared" ca="1" si="15"/>
        <v>0</v>
      </c>
      <c r="G341" s="4">
        <f t="shared" ca="1" si="14"/>
        <v>0</v>
      </c>
    </row>
    <row r="342" spans="1:7" x14ac:dyDescent="0.3">
      <c r="A342" s="4">
        <f t="shared" ca="1" si="15"/>
        <v>0</v>
      </c>
      <c r="G342" s="4">
        <f t="shared" ca="1" si="14"/>
        <v>0</v>
      </c>
    </row>
    <row r="343" spans="1:7" x14ac:dyDescent="0.3">
      <c r="A343" s="4">
        <f t="shared" ca="1" si="15"/>
        <v>0</v>
      </c>
      <c r="G343" s="4">
        <f t="shared" ca="1" si="14"/>
        <v>0</v>
      </c>
    </row>
    <row r="344" spans="1:7" x14ac:dyDescent="0.3">
      <c r="A344" s="4">
        <f t="shared" ca="1" si="15"/>
        <v>0</v>
      </c>
      <c r="G344" s="4">
        <f t="shared" ca="1" si="14"/>
        <v>0</v>
      </c>
    </row>
    <row r="345" spans="1:7" x14ac:dyDescent="0.3">
      <c r="A345" s="4">
        <f t="shared" ca="1" si="15"/>
        <v>0</v>
      </c>
      <c r="G345" s="4">
        <f t="shared" ca="1" si="14"/>
        <v>0</v>
      </c>
    </row>
    <row r="346" spans="1:7" x14ac:dyDescent="0.3">
      <c r="A346" s="4">
        <f t="shared" ca="1" si="15"/>
        <v>0</v>
      </c>
      <c r="G346" s="4">
        <f t="shared" ca="1" si="14"/>
        <v>0</v>
      </c>
    </row>
    <row r="347" spans="1:7" x14ac:dyDescent="0.3">
      <c r="A347" s="4">
        <f t="shared" ca="1" si="15"/>
        <v>0</v>
      </c>
      <c r="G347" s="4">
        <f t="shared" ca="1" si="14"/>
        <v>0</v>
      </c>
    </row>
    <row r="348" spans="1:7" x14ac:dyDescent="0.3">
      <c r="A348" s="4">
        <f t="shared" ca="1" si="15"/>
        <v>0</v>
      </c>
      <c r="G348" s="4">
        <f t="shared" ca="1" si="14"/>
        <v>0</v>
      </c>
    </row>
    <row r="349" spans="1:7" x14ac:dyDescent="0.3">
      <c r="A349" s="4">
        <f t="shared" ca="1" si="15"/>
        <v>0</v>
      </c>
      <c r="G349" s="4">
        <f t="shared" ca="1" si="14"/>
        <v>0</v>
      </c>
    </row>
    <row r="350" spans="1:7" x14ac:dyDescent="0.3">
      <c r="A350" s="4">
        <f t="shared" ca="1" si="15"/>
        <v>0</v>
      </c>
      <c r="G350" s="4">
        <f t="shared" ca="1" si="14"/>
        <v>0</v>
      </c>
    </row>
    <row r="351" spans="1:7" x14ac:dyDescent="0.3">
      <c r="A351" s="4">
        <f t="shared" ca="1" si="15"/>
        <v>0</v>
      </c>
      <c r="G351" s="4">
        <f t="shared" ca="1" si="14"/>
        <v>0</v>
      </c>
    </row>
    <row r="352" spans="1:7" x14ac:dyDescent="0.3">
      <c r="A352" s="4">
        <f t="shared" ca="1" si="15"/>
        <v>0</v>
      </c>
      <c r="G352" s="4">
        <f t="shared" ca="1" si="14"/>
        <v>0</v>
      </c>
    </row>
    <row r="353" spans="1:7" x14ac:dyDescent="0.3">
      <c r="A353" s="4">
        <f t="shared" ca="1" si="15"/>
        <v>0</v>
      </c>
      <c r="G353" s="4">
        <f t="shared" ca="1" si="14"/>
        <v>0</v>
      </c>
    </row>
    <row r="354" spans="1:7" x14ac:dyDescent="0.3">
      <c r="A354" s="4">
        <f t="shared" ca="1" si="15"/>
        <v>0</v>
      </c>
      <c r="G354" s="4">
        <f t="shared" ref="G354:G417" ca="1" si="16">OFFSET($H354,0,LangOffset,1,1)</f>
        <v>0</v>
      </c>
    </row>
    <row r="355" spans="1:7" x14ac:dyDescent="0.3">
      <c r="A355" s="4">
        <f t="shared" ca="1" si="15"/>
        <v>0</v>
      </c>
      <c r="G355" s="4">
        <f t="shared" ca="1" si="16"/>
        <v>0</v>
      </c>
    </row>
    <row r="356" spans="1:7" x14ac:dyDescent="0.3">
      <c r="A356" s="4">
        <f t="shared" ca="1" si="15"/>
        <v>0</v>
      </c>
      <c r="G356" s="4">
        <f t="shared" ca="1" si="16"/>
        <v>0</v>
      </c>
    </row>
    <row r="357" spans="1:7" x14ac:dyDescent="0.3">
      <c r="A357" s="4">
        <f t="shared" ca="1" si="15"/>
        <v>0</v>
      </c>
      <c r="G357" s="4">
        <f t="shared" ca="1" si="16"/>
        <v>0</v>
      </c>
    </row>
    <row r="358" spans="1:7" x14ac:dyDescent="0.3">
      <c r="A358" s="4">
        <f t="shared" ca="1" si="15"/>
        <v>0</v>
      </c>
      <c r="G358" s="4">
        <f t="shared" ca="1" si="16"/>
        <v>0</v>
      </c>
    </row>
    <row r="359" spans="1:7" x14ac:dyDescent="0.3">
      <c r="A359" s="4">
        <f t="shared" ca="1" si="15"/>
        <v>0</v>
      </c>
      <c r="G359" s="4">
        <f t="shared" ca="1" si="16"/>
        <v>0</v>
      </c>
    </row>
    <row r="360" spans="1:7" x14ac:dyDescent="0.3">
      <c r="A360" s="4">
        <f t="shared" ca="1" si="15"/>
        <v>0</v>
      </c>
      <c r="G360" s="4">
        <f t="shared" ca="1" si="16"/>
        <v>0</v>
      </c>
    </row>
    <row r="361" spans="1:7" x14ac:dyDescent="0.3">
      <c r="A361" s="4">
        <f t="shared" ca="1" si="15"/>
        <v>0</v>
      </c>
      <c r="G361" s="4">
        <f t="shared" ca="1" si="16"/>
        <v>0</v>
      </c>
    </row>
    <row r="362" spans="1:7" x14ac:dyDescent="0.3">
      <c r="A362" s="4">
        <f t="shared" ca="1" si="15"/>
        <v>0</v>
      </c>
      <c r="G362" s="4">
        <f t="shared" ca="1" si="16"/>
        <v>0</v>
      </c>
    </row>
    <row r="363" spans="1:7" x14ac:dyDescent="0.3">
      <c r="A363" s="4">
        <f t="shared" ca="1" si="15"/>
        <v>0</v>
      </c>
      <c r="G363" s="4">
        <f t="shared" ca="1" si="16"/>
        <v>0</v>
      </c>
    </row>
    <row r="364" spans="1:7" x14ac:dyDescent="0.3">
      <c r="A364" s="4">
        <f t="shared" ca="1" si="15"/>
        <v>0</v>
      </c>
      <c r="G364" s="4">
        <f t="shared" ca="1" si="16"/>
        <v>0</v>
      </c>
    </row>
    <row r="365" spans="1:7" x14ac:dyDescent="0.3">
      <c r="A365" s="4">
        <f t="shared" ca="1" si="15"/>
        <v>0</v>
      </c>
      <c r="G365" s="4">
        <f t="shared" ca="1" si="16"/>
        <v>0</v>
      </c>
    </row>
    <row r="366" spans="1:7" x14ac:dyDescent="0.3">
      <c r="A366" s="4">
        <f t="shared" ca="1" si="15"/>
        <v>0</v>
      </c>
      <c r="G366" s="4">
        <f t="shared" ca="1" si="16"/>
        <v>0</v>
      </c>
    </row>
    <row r="367" spans="1:7" x14ac:dyDescent="0.3">
      <c r="A367" s="4">
        <f t="shared" ca="1" si="15"/>
        <v>0</v>
      </c>
      <c r="G367" s="4">
        <f t="shared" ca="1" si="16"/>
        <v>0</v>
      </c>
    </row>
    <row r="368" spans="1:7" x14ac:dyDescent="0.3">
      <c r="A368" s="4">
        <f t="shared" ca="1" si="15"/>
        <v>0</v>
      </c>
      <c r="G368" s="4">
        <f t="shared" ca="1" si="16"/>
        <v>0</v>
      </c>
    </row>
    <row r="369" spans="1:7" x14ac:dyDescent="0.3">
      <c r="A369" s="4">
        <f t="shared" ca="1" si="15"/>
        <v>0</v>
      </c>
      <c r="G369" s="4">
        <f t="shared" ca="1" si="16"/>
        <v>0</v>
      </c>
    </row>
    <row r="370" spans="1:7" x14ac:dyDescent="0.3">
      <c r="A370" s="4">
        <f t="shared" ca="1" si="15"/>
        <v>0</v>
      </c>
      <c r="G370" s="4">
        <f t="shared" ca="1" si="16"/>
        <v>0</v>
      </c>
    </row>
    <row r="371" spans="1:7" x14ac:dyDescent="0.3">
      <c r="A371" s="4">
        <f t="shared" ca="1" si="15"/>
        <v>0</v>
      </c>
      <c r="G371" s="4">
        <f t="shared" ca="1" si="16"/>
        <v>0</v>
      </c>
    </row>
    <row r="372" spans="1:7" x14ac:dyDescent="0.3">
      <c r="A372" s="4">
        <f t="shared" ca="1" si="15"/>
        <v>0</v>
      </c>
      <c r="G372" s="4">
        <f t="shared" ca="1" si="16"/>
        <v>0</v>
      </c>
    </row>
    <row r="373" spans="1:7" x14ac:dyDescent="0.3">
      <c r="A373" s="4">
        <f t="shared" ca="1" si="15"/>
        <v>0</v>
      </c>
      <c r="G373" s="4">
        <f t="shared" ca="1" si="16"/>
        <v>0</v>
      </c>
    </row>
    <row r="374" spans="1:7" x14ac:dyDescent="0.3">
      <c r="A374" s="4">
        <f t="shared" ca="1" si="15"/>
        <v>0</v>
      </c>
      <c r="G374" s="4">
        <f t="shared" ca="1" si="16"/>
        <v>0</v>
      </c>
    </row>
    <row r="375" spans="1:7" x14ac:dyDescent="0.3">
      <c r="A375" s="4">
        <f t="shared" ca="1" si="15"/>
        <v>0</v>
      </c>
      <c r="G375" s="4">
        <f t="shared" ca="1" si="16"/>
        <v>0</v>
      </c>
    </row>
    <row r="376" spans="1:7" x14ac:dyDescent="0.3">
      <c r="A376" s="4">
        <f t="shared" ca="1" si="15"/>
        <v>0</v>
      </c>
      <c r="G376" s="4">
        <f t="shared" ca="1" si="16"/>
        <v>0</v>
      </c>
    </row>
    <row r="377" spans="1:7" x14ac:dyDescent="0.3">
      <c r="A377" s="4">
        <f t="shared" ca="1" si="15"/>
        <v>0</v>
      </c>
      <c r="G377" s="4">
        <f t="shared" ca="1" si="16"/>
        <v>0</v>
      </c>
    </row>
    <row r="378" spans="1:7" x14ac:dyDescent="0.3">
      <c r="A378" s="4">
        <f t="shared" ca="1" si="15"/>
        <v>0</v>
      </c>
      <c r="G378" s="4">
        <f t="shared" ca="1" si="16"/>
        <v>0</v>
      </c>
    </row>
    <row r="379" spans="1:7" x14ac:dyDescent="0.3">
      <c r="A379" s="4">
        <f t="shared" ca="1" si="15"/>
        <v>0</v>
      </c>
      <c r="G379" s="4">
        <f t="shared" ca="1" si="16"/>
        <v>0</v>
      </c>
    </row>
    <row r="380" spans="1:7" x14ac:dyDescent="0.3">
      <c r="A380" s="4">
        <f t="shared" ca="1" si="15"/>
        <v>0</v>
      </c>
      <c r="G380" s="4">
        <f t="shared" ca="1" si="16"/>
        <v>0</v>
      </c>
    </row>
    <row r="381" spans="1:7" x14ac:dyDescent="0.3">
      <c r="A381" s="4">
        <f t="shared" ca="1" si="15"/>
        <v>0</v>
      </c>
      <c r="G381" s="4">
        <f t="shared" ca="1" si="16"/>
        <v>0</v>
      </c>
    </row>
    <row r="382" spans="1:7" x14ac:dyDescent="0.3">
      <c r="A382" s="4">
        <f t="shared" ca="1" si="15"/>
        <v>0</v>
      </c>
      <c r="G382" s="4">
        <f t="shared" ca="1" si="16"/>
        <v>0</v>
      </c>
    </row>
    <row r="383" spans="1:7" x14ac:dyDescent="0.3">
      <c r="A383" s="4">
        <f t="shared" ca="1" si="15"/>
        <v>0</v>
      </c>
      <c r="G383" s="4">
        <f t="shared" ca="1" si="16"/>
        <v>0</v>
      </c>
    </row>
    <row r="384" spans="1:7" x14ac:dyDescent="0.3">
      <c r="A384" s="4">
        <f t="shared" ca="1" si="15"/>
        <v>0</v>
      </c>
      <c r="G384" s="4">
        <f t="shared" ca="1" si="16"/>
        <v>0</v>
      </c>
    </row>
    <row r="385" spans="1:7" x14ac:dyDescent="0.3">
      <c r="A385" s="4">
        <f t="shared" ca="1" si="15"/>
        <v>0</v>
      </c>
      <c r="G385" s="4">
        <f t="shared" ca="1" si="16"/>
        <v>0</v>
      </c>
    </row>
    <row r="386" spans="1:7" x14ac:dyDescent="0.3">
      <c r="A386" s="4">
        <f t="shared" ca="1" si="15"/>
        <v>0</v>
      </c>
      <c r="G386" s="4">
        <f t="shared" ca="1" si="16"/>
        <v>0</v>
      </c>
    </row>
    <row r="387" spans="1:7" x14ac:dyDescent="0.3">
      <c r="A387" s="4">
        <f t="shared" ca="1" si="15"/>
        <v>0</v>
      </c>
      <c r="G387" s="4">
        <f t="shared" ca="1" si="16"/>
        <v>0</v>
      </c>
    </row>
    <row r="388" spans="1:7" x14ac:dyDescent="0.3">
      <c r="A388" s="4">
        <f t="shared" ref="A388:A451" ca="1" si="17">OFFSET($B388,0,LangOffset,1,1)</f>
        <v>0</v>
      </c>
      <c r="G388" s="4">
        <f t="shared" ca="1" si="16"/>
        <v>0</v>
      </c>
    </row>
    <row r="389" spans="1:7" x14ac:dyDescent="0.3">
      <c r="A389" s="4">
        <f t="shared" ca="1" si="17"/>
        <v>0</v>
      </c>
      <c r="G389" s="4">
        <f t="shared" ca="1" si="16"/>
        <v>0</v>
      </c>
    </row>
    <row r="390" spans="1:7" x14ac:dyDescent="0.3">
      <c r="A390" s="4">
        <f t="shared" ca="1" si="17"/>
        <v>0</v>
      </c>
      <c r="G390" s="4">
        <f t="shared" ca="1" si="16"/>
        <v>0</v>
      </c>
    </row>
    <row r="391" spans="1:7" x14ac:dyDescent="0.3">
      <c r="A391" s="4">
        <f t="shared" ca="1" si="17"/>
        <v>0</v>
      </c>
      <c r="G391" s="4">
        <f t="shared" ca="1" si="16"/>
        <v>0</v>
      </c>
    </row>
    <row r="392" spans="1:7" x14ac:dyDescent="0.3">
      <c r="A392" s="4">
        <f t="shared" ca="1" si="17"/>
        <v>0</v>
      </c>
      <c r="G392" s="4">
        <f t="shared" ca="1" si="16"/>
        <v>0</v>
      </c>
    </row>
    <row r="393" spans="1:7" x14ac:dyDescent="0.3">
      <c r="A393" s="4">
        <f t="shared" ca="1" si="17"/>
        <v>0</v>
      </c>
      <c r="G393" s="4">
        <f t="shared" ca="1" si="16"/>
        <v>0</v>
      </c>
    </row>
    <row r="394" spans="1:7" x14ac:dyDescent="0.3">
      <c r="A394" s="4">
        <f t="shared" ca="1" si="17"/>
        <v>0</v>
      </c>
      <c r="G394" s="4">
        <f t="shared" ca="1" si="16"/>
        <v>0</v>
      </c>
    </row>
    <row r="395" spans="1:7" x14ac:dyDescent="0.3">
      <c r="A395" s="4">
        <f t="shared" ca="1" si="17"/>
        <v>0</v>
      </c>
      <c r="G395" s="4">
        <f t="shared" ca="1" si="16"/>
        <v>0</v>
      </c>
    </row>
    <row r="396" spans="1:7" x14ac:dyDescent="0.3">
      <c r="A396" s="4">
        <f t="shared" ca="1" si="17"/>
        <v>0</v>
      </c>
      <c r="G396" s="4">
        <f t="shared" ca="1" si="16"/>
        <v>0</v>
      </c>
    </row>
    <row r="397" spans="1:7" x14ac:dyDescent="0.3">
      <c r="A397" s="4">
        <f t="shared" ca="1" si="17"/>
        <v>0</v>
      </c>
      <c r="G397" s="4">
        <f t="shared" ca="1" si="16"/>
        <v>0</v>
      </c>
    </row>
    <row r="398" spans="1:7" x14ac:dyDescent="0.3">
      <c r="A398" s="4">
        <f t="shared" ca="1" si="17"/>
        <v>0</v>
      </c>
      <c r="G398" s="4">
        <f t="shared" ca="1" si="16"/>
        <v>0</v>
      </c>
    </row>
    <row r="399" spans="1:7" x14ac:dyDescent="0.3">
      <c r="A399" s="4">
        <f t="shared" ca="1" si="17"/>
        <v>0</v>
      </c>
      <c r="G399" s="4">
        <f t="shared" ca="1" si="16"/>
        <v>0</v>
      </c>
    </row>
    <row r="400" spans="1:7" x14ac:dyDescent="0.3">
      <c r="A400" s="4">
        <f t="shared" ca="1" si="17"/>
        <v>0</v>
      </c>
      <c r="G400" s="4">
        <f t="shared" ca="1" si="16"/>
        <v>0</v>
      </c>
    </row>
    <row r="401" spans="1:7" x14ac:dyDescent="0.3">
      <c r="A401" s="4">
        <f t="shared" ca="1" si="17"/>
        <v>0</v>
      </c>
      <c r="G401" s="4">
        <f t="shared" ca="1" si="16"/>
        <v>0</v>
      </c>
    </row>
    <row r="402" spans="1:7" x14ac:dyDescent="0.3">
      <c r="A402" s="4">
        <f t="shared" ca="1" si="17"/>
        <v>0</v>
      </c>
      <c r="G402" s="4">
        <f t="shared" ca="1" si="16"/>
        <v>0</v>
      </c>
    </row>
    <row r="403" spans="1:7" x14ac:dyDescent="0.3">
      <c r="A403" s="4">
        <f t="shared" ca="1" si="17"/>
        <v>0</v>
      </c>
      <c r="G403" s="4">
        <f t="shared" ca="1" si="16"/>
        <v>0</v>
      </c>
    </row>
    <row r="404" spans="1:7" x14ac:dyDescent="0.3">
      <c r="A404" s="4">
        <f t="shared" ca="1" si="17"/>
        <v>0</v>
      </c>
      <c r="G404" s="4">
        <f t="shared" ca="1" si="16"/>
        <v>0</v>
      </c>
    </row>
    <row r="405" spans="1:7" x14ac:dyDescent="0.3">
      <c r="A405" s="4">
        <f t="shared" ca="1" si="17"/>
        <v>0</v>
      </c>
      <c r="G405" s="4">
        <f t="shared" ca="1" si="16"/>
        <v>0</v>
      </c>
    </row>
    <row r="406" spans="1:7" x14ac:dyDescent="0.3">
      <c r="A406" s="4">
        <f t="shared" ca="1" si="17"/>
        <v>0</v>
      </c>
      <c r="G406" s="4">
        <f t="shared" ca="1" si="16"/>
        <v>0</v>
      </c>
    </row>
    <row r="407" spans="1:7" x14ac:dyDescent="0.3">
      <c r="A407" s="4">
        <f t="shared" ca="1" si="17"/>
        <v>0</v>
      </c>
      <c r="G407" s="4">
        <f t="shared" ca="1" si="16"/>
        <v>0</v>
      </c>
    </row>
    <row r="408" spans="1:7" x14ac:dyDescent="0.3">
      <c r="A408" s="4">
        <f t="shared" ca="1" si="17"/>
        <v>0</v>
      </c>
      <c r="G408" s="4">
        <f t="shared" ca="1" si="16"/>
        <v>0</v>
      </c>
    </row>
    <row r="409" spans="1:7" x14ac:dyDescent="0.3">
      <c r="A409" s="4">
        <f t="shared" ca="1" si="17"/>
        <v>0</v>
      </c>
      <c r="G409" s="4">
        <f t="shared" ca="1" si="16"/>
        <v>0</v>
      </c>
    </row>
    <row r="410" spans="1:7" x14ac:dyDescent="0.3">
      <c r="A410" s="4">
        <f t="shared" ca="1" si="17"/>
        <v>0</v>
      </c>
      <c r="G410" s="4">
        <f t="shared" ca="1" si="16"/>
        <v>0</v>
      </c>
    </row>
    <row r="411" spans="1:7" x14ac:dyDescent="0.3">
      <c r="A411" s="4">
        <f t="shared" ca="1" si="17"/>
        <v>0</v>
      </c>
      <c r="G411" s="4">
        <f t="shared" ca="1" si="16"/>
        <v>0</v>
      </c>
    </row>
    <row r="412" spans="1:7" x14ac:dyDescent="0.3">
      <c r="A412" s="4">
        <f t="shared" ca="1" si="17"/>
        <v>0</v>
      </c>
      <c r="G412" s="4">
        <f t="shared" ca="1" si="16"/>
        <v>0</v>
      </c>
    </row>
    <row r="413" spans="1:7" x14ac:dyDescent="0.3">
      <c r="A413" s="4">
        <f t="shared" ca="1" si="17"/>
        <v>0</v>
      </c>
      <c r="G413" s="4">
        <f t="shared" ca="1" si="16"/>
        <v>0</v>
      </c>
    </row>
    <row r="414" spans="1:7" x14ac:dyDescent="0.3">
      <c r="A414" s="4">
        <f t="shared" ca="1" si="17"/>
        <v>0</v>
      </c>
      <c r="G414" s="4">
        <f t="shared" ca="1" si="16"/>
        <v>0</v>
      </c>
    </row>
    <row r="415" spans="1:7" x14ac:dyDescent="0.3">
      <c r="A415" s="4">
        <f t="shared" ca="1" si="17"/>
        <v>0</v>
      </c>
      <c r="G415" s="4">
        <f t="shared" ca="1" si="16"/>
        <v>0</v>
      </c>
    </row>
    <row r="416" spans="1:7" x14ac:dyDescent="0.3">
      <c r="A416" s="4">
        <f t="shared" ca="1" si="17"/>
        <v>0</v>
      </c>
      <c r="G416" s="4">
        <f t="shared" ca="1" si="16"/>
        <v>0</v>
      </c>
    </row>
    <row r="417" spans="1:7" x14ac:dyDescent="0.3">
      <c r="A417" s="4">
        <f t="shared" ca="1" si="17"/>
        <v>0</v>
      </c>
      <c r="G417" s="4">
        <f t="shared" ca="1" si="16"/>
        <v>0</v>
      </c>
    </row>
    <row r="418" spans="1:7" x14ac:dyDescent="0.3">
      <c r="A418" s="4">
        <f t="shared" ca="1" si="17"/>
        <v>0</v>
      </c>
      <c r="G418" s="4">
        <f t="shared" ref="G418:G481" ca="1" si="18">OFFSET($H418,0,LangOffset,1,1)</f>
        <v>0</v>
      </c>
    </row>
    <row r="419" spans="1:7" x14ac:dyDescent="0.3">
      <c r="A419" s="4">
        <f t="shared" ca="1" si="17"/>
        <v>0</v>
      </c>
      <c r="G419" s="4">
        <f t="shared" ca="1" si="18"/>
        <v>0</v>
      </c>
    </row>
    <row r="420" spans="1:7" x14ac:dyDescent="0.3">
      <c r="A420" s="4">
        <f t="shared" ca="1" si="17"/>
        <v>0</v>
      </c>
      <c r="G420" s="4">
        <f t="shared" ca="1" si="18"/>
        <v>0</v>
      </c>
    </row>
    <row r="421" spans="1:7" x14ac:dyDescent="0.3">
      <c r="A421" s="4">
        <f t="shared" ca="1" si="17"/>
        <v>0</v>
      </c>
      <c r="G421" s="4">
        <f t="shared" ca="1" si="18"/>
        <v>0</v>
      </c>
    </row>
    <row r="422" spans="1:7" x14ac:dyDescent="0.3">
      <c r="A422" s="4">
        <f t="shared" ca="1" si="17"/>
        <v>0</v>
      </c>
      <c r="G422" s="4">
        <f t="shared" ca="1" si="18"/>
        <v>0</v>
      </c>
    </row>
    <row r="423" spans="1:7" x14ac:dyDescent="0.3">
      <c r="A423" s="4">
        <f t="shared" ca="1" si="17"/>
        <v>0</v>
      </c>
      <c r="G423" s="4">
        <f t="shared" ca="1" si="18"/>
        <v>0</v>
      </c>
    </row>
    <row r="424" spans="1:7" x14ac:dyDescent="0.3">
      <c r="A424" s="4">
        <f t="shared" ca="1" si="17"/>
        <v>0</v>
      </c>
      <c r="G424" s="4">
        <f t="shared" ca="1" si="18"/>
        <v>0</v>
      </c>
    </row>
    <row r="425" spans="1:7" x14ac:dyDescent="0.3">
      <c r="A425" s="4">
        <f t="shared" ca="1" si="17"/>
        <v>0</v>
      </c>
      <c r="G425" s="4">
        <f t="shared" ca="1" si="18"/>
        <v>0</v>
      </c>
    </row>
    <row r="426" spans="1:7" x14ac:dyDescent="0.3">
      <c r="A426" s="4">
        <f t="shared" ca="1" si="17"/>
        <v>0</v>
      </c>
      <c r="G426" s="4">
        <f t="shared" ca="1" si="18"/>
        <v>0</v>
      </c>
    </row>
    <row r="427" spans="1:7" x14ac:dyDescent="0.3">
      <c r="A427" s="4">
        <f t="shared" ca="1" si="17"/>
        <v>0</v>
      </c>
      <c r="G427" s="4">
        <f t="shared" ca="1" si="18"/>
        <v>0</v>
      </c>
    </row>
    <row r="428" spans="1:7" x14ac:dyDescent="0.3">
      <c r="A428" s="4">
        <f t="shared" ca="1" si="17"/>
        <v>0</v>
      </c>
      <c r="G428" s="4">
        <f t="shared" ca="1" si="18"/>
        <v>0</v>
      </c>
    </row>
    <row r="429" spans="1:7" x14ac:dyDescent="0.3">
      <c r="A429" s="4">
        <f t="shared" ca="1" si="17"/>
        <v>0</v>
      </c>
      <c r="G429" s="4">
        <f t="shared" ca="1" si="18"/>
        <v>0</v>
      </c>
    </row>
    <row r="430" spans="1:7" x14ac:dyDescent="0.3">
      <c r="A430" s="4">
        <f t="shared" ca="1" si="17"/>
        <v>0</v>
      </c>
      <c r="G430" s="4">
        <f t="shared" ca="1" si="18"/>
        <v>0</v>
      </c>
    </row>
    <row r="431" spans="1:7" x14ac:dyDescent="0.3">
      <c r="A431" s="4">
        <f t="shared" ca="1" si="17"/>
        <v>0</v>
      </c>
      <c r="G431" s="4">
        <f t="shared" ca="1" si="18"/>
        <v>0</v>
      </c>
    </row>
    <row r="432" spans="1:7" x14ac:dyDescent="0.3">
      <c r="A432" s="4">
        <f t="shared" ca="1" si="17"/>
        <v>0</v>
      </c>
      <c r="G432" s="4">
        <f t="shared" ca="1" si="18"/>
        <v>0</v>
      </c>
    </row>
    <row r="433" spans="1:7" x14ac:dyDescent="0.3">
      <c r="A433" s="4">
        <f t="shared" ca="1" si="17"/>
        <v>0</v>
      </c>
      <c r="G433" s="4">
        <f t="shared" ca="1" si="18"/>
        <v>0</v>
      </c>
    </row>
    <row r="434" spans="1:7" x14ac:dyDescent="0.3">
      <c r="A434" s="4">
        <f t="shared" ca="1" si="17"/>
        <v>0</v>
      </c>
      <c r="G434" s="4">
        <f t="shared" ca="1" si="18"/>
        <v>0</v>
      </c>
    </row>
    <row r="435" spans="1:7" x14ac:dyDescent="0.3">
      <c r="A435" s="4">
        <f t="shared" ca="1" si="17"/>
        <v>0</v>
      </c>
      <c r="G435" s="4">
        <f t="shared" ca="1" si="18"/>
        <v>0</v>
      </c>
    </row>
    <row r="436" spans="1:7" x14ac:dyDescent="0.3">
      <c r="A436" s="4">
        <f t="shared" ca="1" si="17"/>
        <v>0</v>
      </c>
      <c r="G436" s="4">
        <f t="shared" ca="1" si="18"/>
        <v>0</v>
      </c>
    </row>
    <row r="437" spans="1:7" x14ac:dyDescent="0.3">
      <c r="A437" s="4">
        <f t="shared" ca="1" si="17"/>
        <v>0</v>
      </c>
      <c r="G437" s="4">
        <f t="shared" ca="1" si="18"/>
        <v>0</v>
      </c>
    </row>
    <row r="438" spans="1:7" x14ac:dyDescent="0.3">
      <c r="A438" s="4">
        <f t="shared" ca="1" si="17"/>
        <v>0</v>
      </c>
      <c r="G438" s="4">
        <f t="shared" ca="1" si="18"/>
        <v>0</v>
      </c>
    </row>
    <row r="439" spans="1:7" x14ac:dyDescent="0.3">
      <c r="A439" s="4">
        <f t="shared" ca="1" si="17"/>
        <v>0</v>
      </c>
      <c r="G439" s="4">
        <f t="shared" ca="1" si="18"/>
        <v>0</v>
      </c>
    </row>
    <row r="440" spans="1:7" x14ac:dyDescent="0.3">
      <c r="A440" s="4">
        <f t="shared" ca="1" si="17"/>
        <v>0</v>
      </c>
      <c r="G440" s="4">
        <f t="shared" ca="1" si="18"/>
        <v>0</v>
      </c>
    </row>
    <row r="441" spans="1:7" x14ac:dyDescent="0.3">
      <c r="A441" s="4">
        <f t="shared" ca="1" si="17"/>
        <v>0</v>
      </c>
      <c r="G441" s="4">
        <f t="shared" ca="1" si="18"/>
        <v>0</v>
      </c>
    </row>
    <row r="442" spans="1:7" x14ac:dyDescent="0.3">
      <c r="A442" s="4">
        <f t="shared" ca="1" si="17"/>
        <v>0</v>
      </c>
      <c r="G442" s="4">
        <f t="shared" ca="1" si="18"/>
        <v>0</v>
      </c>
    </row>
    <row r="443" spans="1:7" x14ac:dyDescent="0.3">
      <c r="A443" s="4">
        <f t="shared" ca="1" si="17"/>
        <v>0</v>
      </c>
      <c r="G443" s="4">
        <f t="shared" ca="1" si="18"/>
        <v>0</v>
      </c>
    </row>
    <row r="444" spans="1:7" x14ac:dyDescent="0.3">
      <c r="A444" s="4">
        <f t="shared" ca="1" si="17"/>
        <v>0</v>
      </c>
      <c r="G444" s="4">
        <f t="shared" ca="1" si="18"/>
        <v>0</v>
      </c>
    </row>
    <row r="445" spans="1:7" x14ac:dyDescent="0.3">
      <c r="A445" s="4">
        <f t="shared" ca="1" si="17"/>
        <v>0</v>
      </c>
      <c r="G445" s="4">
        <f t="shared" ca="1" si="18"/>
        <v>0</v>
      </c>
    </row>
    <row r="446" spans="1:7" x14ac:dyDescent="0.3">
      <c r="A446" s="4">
        <f t="shared" ca="1" si="17"/>
        <v>0</v>
      </c>
      <c r="G446" s="4">
        <f t="shared" ca="1" si="18"/>
        <v>0</v>
      </c>
    </row>
    <row r="447" spans="1:7" x14ac:dyDescent="0.3">
      <c r="A447" s="4">
        <f t="shared" ca="1" si="17"/>
        <v>0</v>
      </c>
      <c r="G447" s="4">
        <f t="shared" ca="1" si="18"/>
        <v>0</v>
      </c>
    </row>
    <row r="448" spans="1:7" x14ac:dyDescent="0.3">
      <c r="A448" s="4">
        <f t="shared" ca="1" si="17"/>
        <v>0</v>
      </c>
      <c r="G448" s="4">
        <f t="shared" ca="1" si="18"/>
        <v>0</v>
      </c>
    </row>
    <row r="449" spans="1:7" x14ac:dyDescent="0.3">
      <c r="A449" s="4">
        <f t="shared" ca="1" si="17"/>
        <v>0</v>
      </c>
      <c r="G449" s="4">
        <f t="shared" ca="1" si="18"/>
        <v>0</v>
      </c>
    </row>
    <row r="450" spans="1:7" x14ac:dyDescent="0.3">
      <c r="A450" s="4">
        <f t="shared" ca="1" si="17"/>
        <v>0</v>
      </c>
      <c r="G450" s="4">
        <f t="shared" ca="1" si="18"/>
        <v>0</v>
      </c>
    </row>
    <row r="451" spans="1:7" x14ac:dyDescent="0.3">
      <c r="A451" s="4">
        <f t="shared" ca="1" si="17"/>
        <v>0</v>
      </c>
      <c r="G451" s="4">
        <f t="shared" ca="1" si="18"/>
        <v>0</v>
      </c>
    </row>
    <row r="452" spans="1:7" x14ac:dyDescent="0.3">
      <c r="A452" s="4">
        <f t="shared" ref="A452:A515" ca="1" si="19">OFFSET($B452,0,LangOffset,1,1)</f>
        <v>0</v>
      </c>
      <c r="G452" s="4">
        <f t="shared" ca="1" si="18"/>
        <v>0</v>
      </c>
    </row>
    <row r="453" spans="1:7" x14ac:dyDescent="0.3">
      <c r="A453" s="4">
        <f t="shared" ca="1" si="19"/>
        <v>0</v>
      </c>
      <c r="G453" s="4">
        <f t="shared" ca="1" si="18"/>
        <v>0</v>
      </c>
    </row>
    <row r="454" spans="1:7" x14ac:dyDescent="0.3">
      <c r="A454" s="4">
        <f t="shared" ca="1" si="19"/>
        <v>0</v>
      </c>
      <c r="G454" s="4">
        <f t="shared" ca="1" si="18"/>
        <v>0</v>
      </c>
    </row>
    <row r="455" spans="1:7" x14ac:dyDescent="0.3">
      <c r="A455" s="4">
        <f t="shared" ca="1" si="19"/>
        <v>0</v>
      </c>
      <c r="G455" s="4">
        <f t="shared" ca="1" si="18"/>
        <v>0</v>
      </c>
    </row>
    <row r="456" spans="1:7" x14ac:dyDescent="0.3">
      <c r="A456" s="4">
        <f t="shared" ca="1" si="19"/>
        <v>0</v>
      </c>
      <c r="G456" s="4">
        <f t="shared" ca="1" si="18"/>
        <v>0</v>
      </c>
    </row>
    <row r="457" spans="1:7" x14ac:dyDescent="0.3">
      <c r="A457" s="4">
        <f t="shared" ca="1" si="19"/>
        <v>0</v>
      </c>
      <c r="G457" s="4">
        <f t="shared" ca="1" si="18"/>
        <v>0</v>
      </c>
    </row>
    <row r="458" spans="1:7" x14ac:dyDescent="0.3">
      <c r="A458" s="4">
        <f t="shared" ca="1" si="19"/>
        <v>0</v>
      </c>
      <c r="G458" s="4">
        <f t="shared" ca="1" si="18"/>
        <v>0</v>
      </c>
    </row>
    <row r="459" spans="1:7" x14ac:dyDescent="0.3">
      <c r="A459" s="4">
        <f t="shared" ca="1" si="19"/>
        <v>0</v>
      </c>
      <c r="G459" s="4">
        <f t="shared" ca="1" si="18"/>
        <v>0</v>
      </c>
    </row>
    <row r="460" spans="1:7" x14ac:dyDescent="0.3">
      <c r="A460" s="4">
        <f t="shared" ca="1" si="19"/>
        <v>0</v>
      </c>
      <c r="G460" s="4">
        <f t="shared" ca="1" si="18"/>
        <v>0</v>
      </c>
    </row>
    <row r="461" spans="1:7" x14ac:dyDescent="0.3">
      <c r="A461" s="4">
        <f t="shared" ca="1" si="19"/>
        <v>0</v>
      </c>
      <c r="G461" s="4">
        <f t="shared" ca="1" si="18"/>
        <v>0</v>
      </c>
    </row>
    <row r="462" spans="1:7" x14ac:dyDescent="0.3">
      <c r="A462" s="4">
        <f t="shared" ca="1" si="19"/>
        <v>0</v>
      </c>
      <c r="G462" s="4">
        <f t="shared" ca="1" si="18"/>
        <v>0</v>
      </c>
    </row>
    <row r="463" spans="1:7" x14ac:dyDescent="0.3">
      <c r="A463" s="4">
        <f t="shared" ca="1" si="19"/>
        <v>0</v>
      </c>
      <c r="G463" s="4">
        <f t="shared" ca="1" si="18"/>
        <v>0</v>
      </c>
    </row>
    <row r="464" spans="1:7" x14ac:dyDescent="0.3">
      <c r="A464" s="4">
        <f t="shared" ca="1" si="19"/>
        <v>0</v>
      </c>
      <c r="G464" s="4">
        <f t="shared" ca="1" si="18"/>
        <v>0</v>
      </c>
    </row>
    <row r="465" spans="1:7" x14ac:dyDescent="0.3">
      <c r="A465" s="4">
        <f t="shared" ca="1" si="19"/>
        <v>0</v>
      </c>
      <c r="G465" s="4">
        <f t="shared" ca="1" si="18"/>
        <v>0</v>
      </c>
    </row>
    <row r="466" spans="1:7" x14ac:dyDescent="0.3">
      <c r="A466" s="4">
        <f t="shared" ca="1" si="19"/>
        <v>0</v>
      </c>
      <c r="G466" s="4">
        <f t="shared" ca="1" si="18"/>
        <v>0</v>
      </c>
    </row>
    <row r="467" spans="1:7" x14ac:dyDescent="0.3">
      <c r="A467" s="4">
        <f t="shared" ca="1" si="19"/>
        <v>0</v>
      </c>
      <c r="G467" s="4">
        <f t="shared" ca="1" si="18"/>
        <v>0</v>
      </c>
    </row>
    <row r="468" spans="1:7" x14ac:dyDescent="0.3">
      <c r="A468" s="4">
        <f t="shared" ca="1" si="19"/>
        <v>0</v>
      </c>
      <c r="G468" s="4">
        <f t="shared" ca="1" si="18"/>
        <v>0</v>
      </c>
    </row>
    <row r="469" spans="1:7" x14ac:dyDescent="0.3">
      <c r="A469" s="4">
        <f t="shared" ca="1" si="19"/>
        <v>0</v>
      </c>
      <c r="G469" s="4">
        <f t="shared" ca="1" si="18"/>
        <v>0</v>
      </c>
    </row>
    <row r="470" spans="1:7" x14ac:dyDescent="0.3">
      <c r="A470" s="4">
        <f t="shared" ca="1" si="19"/>
        <v>0</v>
      </c>
      <c r="G470" s="4">
        <f t="shared" ca="1" si="18"/>
        <v>0</v>
      </c>
    </row>
    <row r="471" spans="1:7" x14ac:dyDescent="0.3">
      <c r="A471" s="4">
        <f t="shared" ca="1" si="19"/>
        <v>0</v>
      </c>
      <c r="G471" s="4">
        <f t="shared" ca="1" si="18"/>
        <v>0</v>
      </c>
    </row>
    <row r="472" spans="1:7" x14ac:dyDescent="0.3">
      <c r="A472" s="4">
        <f t="shared" ca="1" si="19"/>
        <v>0</v>
      </c>
      <c r="G472" s="4">
        <f t="shared" ca="1" si="18"/>
        <v>0</v>
      </c>
    </row>
    <row r="473" spans="1:7" x14ac:dyDescent="0.3">
      <c r="A473" s="4">
        <f t="shared" ca="1" si="19"/>
        <v>0</v>
      </c>
      <c r="G473" s="4">
        <f t="shared" ca="1" si="18"/>
        <v>0</v>
      </c>
    </row>
    <row r="474" spans="1:7" x14ac:dyDescent="0.3">
      <c r="A474" s="4">
        <f t="shared" ca="1" si="19"/>
        <v>0</v>
      </c>
      <c r="G474" s="4">
        <f t="shared" ca="1" si="18"/>
        <v>0</v>
      </c>
    </row>
    <row r="475" spans="1:7" x14ac:dyDescent="0.3">
      <c r="A475" s="4">
        <f t="shared" ca="1" si="19"/>
        <v>0</v>
      </c>
      <c r="G475" s="4">
        <f t="shared" ca="1" si="18"/>
        <v>0</v>
      </c>
    </row>
    <row r="476" spans="1:7" x14ac:dyDescent="0.3">
      <c r="A476" s="4">
        <f t="shared" ca="1" si="19"/>
        <v>0</v>
      </c>
      <c r="G476" s="4">
        <f t="shared" ca="1" si="18"/>
        <v>0</v>
      </c>
    </row>
    <row r="477" spans="1:7" x14ac:dyDescent="0.3">
      <c r="A477" s="4">
        <f t="shared" ca="1" si="19"/>
        <v>0</v>
      </c>
      <c r="G477" s="4">
        <f t="shared" ca="1" si="18"/>
        <v>0</v>
      </c>
    </row>
    <row r="478" spans="1:7" x14ac:dyDescent="0.3">
      <c r="A478" s="4">
        <f t="shared" ca="1" si="19"/>
        <v>0</v>
      </c>
      <c r="G478" s="4">
        <f t="shared" ca="1" si="18"/>
        <v>0</v>
      </c>
    </row>
    <row r="479" spans="1:7" x14ac:dyDescent="0.3">
      <c r="A479" s="4">
        <f t="shared" ca="1" si="19"/>
        <v>0</v>
      </c>
      <c r="G479" s="4">
        <f t="shared" ca="1" si="18"/>
        <v>0</v>
      </c>
    </row>
    <row r="480" spans="1:7" x14ac:dyDescent="0.3">
      <c r="A480" s="4">
        <f t="shared" ca="1" si="19"/>
        <v>0</v>
      </c>
      <c r="G480" s="4">
        <f t="shared" ca="1" si="18"/>
        <v>0</v>
      </c>
    </row>
    <row r="481" spans="1:7" x14ac:dyDescent="0.3">
      <c r="A481" s="4">
        <f t="shared" ca="1" si="19"/>
        <v>0</v>
      </c>
      <c r="G481" s="4">
        <f t="shared" ca="1" si="18"/>
        <v>0</v>
      </c>
    </row>
    <row r="482" spans="1:7" x14ac:dyDescent="0.3">
      <c r="A482" s="4">
        <f t="shared" ca="1" si="19"/>
        <v>0</v>
      </c>
      <c r="G482" s="4">
        <f t="shared" ref="G482:G531" ca="1" si="20">OFFSET($H482,0,LangOffset,1,1)</f>
        <v>0</v>
      </c>
    </row>
    <row r="483" spans="1:7" x14ac:dyDescent="0.3">
      <c r="A483" s="4">
        <f t="shared" ca="1" si="19"/>
        <v>0</v>
      </c>
      <c r="G483" s="4">
        <f t="shared" ca="1" si="20"/>
        <v>0</v>
      </c>
    </row>
    <row r="484" spans="1:7" x14ac:dyDescent="0.3">
      <c r="A484" s="4">
        <f t="shared" ca="1" si="19"/>
        <v>0</v>
      </c>
      <c r="G484" s="4">
        <f t="shared" ca="1" si="20"/>
        <v>0</v>
      </c>
    </row>
    <row r="485" spans="1:7" x14ac:dyDescent="0.3">
      <c r="A485" s="4">
        <f t="shared" ca="1" si="19"/>
        <v>0</v>
      </c>
      <c r="G485" s="4">
        <f t="shared" ca="1" si="20"/>
        <v>0</v>
      </c>
    </row>
    <row r="486" spans="1:7" x14ac:dyDescent="0.3">
      <c r="A486" s="4">
        <f t="shared" ca="1" si="19"/>
        <v>0</v>
      </c>
      <c r="G486" s="4">
        <f t="shared" ca="1" si="20"/>
        <v>0</v>
      </c>
    </row>
    <row r="487" spans="1:7" x14ac:dyDescent="0.3">
      <c r="A487" s="4">
        <f t="shared" ca="1" si="19"/>
        <v>0</v>
      </c>
      <c r="G487" s="4">
        <f t="shared" ca="1" si="20"/>
        <v>0</v>
      </c>
    </row>
    <row r="488" spans="1:7" x14ac:dyDescent="0.3">
      <c r="A488" s="4">
        <f t="shared" ca="1" si="19"/>
        <v>0</v>
      </c>
      <c r="G488" s="4">
        <f t="shared" ca="1" si="20"/>
        <v>0</v>
      </c>
    </row>
    <row r="489" spans="1:7" x14ac:dyDescent="0.3">
      <c r="A489" s="4">
        <f t="shared" ca="1" si="19"/>
        <v>0</v>
      </c>
      <c r="G489" s="4">
        <f t="shared" ca="1" si="20"/>
        <v>0</v>
      </c>
    </row>
    <row r="490" spans="1:7" x14ac:dyDescent="0.3">
      <c r="A490" s="4">
        <f t="shared" ca="1" si="19"/>
        <v>0</v>
      </c>
      <c r="G490" s="4">
        <f t="shared" ca="1" si="20"/>
        <v>0</v>
      </c>
    </row>
    <row r="491" spans="1:7" x14ac:dyDescent="0.3">
      <c r="A491" s="4">
        <f t="shared" ca="1" si="19"/>
        <v>0</v>
      </c>
      <c r="G491" s="4">
        <f t="shared" ca="1" si="20"/>
        <v>0</v>
      </c>
    </row>
    <row r="492" spans="1:7" x14ac:dyDescent="0.3">
      <c r="A492" s="4">
        <f t="shared" ca="1" si="19"/>
        <v>0</v>
      </c>
      <c r="G492" s="4">
        <f t="shared" ca="1" si="20"/>
        <v>0</v>
      </c>
    </row>
    <row r="493" spans="1:7" x14ac:dyDescent="0.3">
      <c r="A493" s="4">
        <f t="shared" ca="1" si="19"/>
        <v>0</v>
      </c>
      <c r="G493" s="4">
        <f t="shared" ca="1" si="20"/>
        <v>0</v>
      </c>
    </row>
    <row r="494" spans="1:7" x14ac:dyDescent="0.3">
      <c r="A494" s="4">
        <f t="shared" ca="1" si="19"/>
        <v>0</v>
      </c>
      <c r="G494" s="4">
        <f t="shared" ca="1" si="20"/>
        <v>0</v>
      </c>
    </row>
    <row r="495" spans="1:7" x14ac:dyDescent="0.3">
      <c r="A495" s="4">
        <f t="shared" ca="1" si="19"/>
        <v>0</v>
      </c>
      <c r="G495" s="4">
        <f t="shared" ca="1" si="20"/>
        <v>0</v>
      </c>
    </row>
    <row r="496" spans="1:7" x14ac:dyDescent="0.3">
      <c r="A496" s="4">
        <f t="shared" ca="1" si="19"/>
        <v>0</v>
      </c>
      <c r="G496" s="4">
        <f t="shared" ca="1" si="20"/>
        <v>0</v>
      </c>
    </row>
    <row r="497" spans="1:7" x14ac:dyDescent="0.3">
      <c r="A497" s="4">
        <f t="shared" ca="1" si="19"/>
        <v>0</v>
      </c>
      <c r="G497" s="4">
        <f t="shared" ca="1" si="20"/>
        <v>0</v>
      </c>
    </row>
    <row r="498" spans="1:7" x14ac:dyDescent="0.3">
      <c r="A498" s="4">
        <f t="shared" ca="1" si="19"/>
        <v>0</v>
      </c>
      <c r="G498" s="4">
        <f t="shared" ca="1" si="20"/>
        <v>0</v>
      </c>
    </row>
    <row r="499" spans="1:7" x14ac:dyDescent="0.3">
      <c r="A499" s="4">
        <f t="shared" ca="1" si="19"/>
        <v>0</v>
      </c>
      <c r="G499" s="4">
        <f t="shared" ca="1" si="20"/>
        <v>0</v>
      </c>
    </row>
    <row r="500" spans="1:7" x14ac:dyDescent="0.3">
      <c r="A500" s="4">
        <f t="shared" ca="1" si="19"/>
        <v>0</v>
      </c>
      <c r="G500" s="4">
        <f t="shared" ca="1" si="20"/>
        <v>0</v>
      </c>
    </row>
    <row r="501" spans="1:7" x14ac:dyDescent="0.3">
      <c r="A501" s="4">
        <f t="shared" ca="1" si="19"/>
        <v>0</v>
      </c>
      <c r="G501" s="4">
        <f t="shared" ca="1" si="20"/>
        <v>0</v>
      </c>
    </row>
    <row r="502" spans="1:7" x14ac:dyDescent="0.3">
      <c r="A502" s="4">
        <f t="shared" ca="1" si="19"/>
        <v>0</v>
      </c>
      <c r="G502" s="4">
        <f t="shared" ca="1" si="20"/>
        <v>0</v>
      </c>
    </row>
    <row r="503" spans="1:7" x14ac:dyDescent="0.3">
      <c r="A503" s="4">
        <f t="shared" ca="1" si="19"/>
        <v>0</v>
      </c>
      <c r="G503" s="4">
        <f t="shared" ca="1" si="20"/>
        <v>0</v>
      </c>
    </row>
    <row r="504" spans="1:7" x14ac:dyDescent="0.3">
      <c r="A504" s="4">
        <f t="shared" ca="1" si="19"/>
        <v>0</v>
      </c>
      <c r="G504" s="4">
        <f t="shared" ca="1" si="20"/>
        <v>0</v>
      </c>
    </row>
    <row r="505" spans="1:7" x14ac:dyDescent="0.3">
      <c r="A505" s="4">
        <f t="shared" ca="1" si="19"/>
        <v>0</v>
      </c>
      <c r="G505" s="4">
        <f t="shared" ca="1" si="20"/>
        <v>0</v>
      </c>
    </row>
    <row r="506" spans="1:7" x14ac:dyDescent="0.3">
      <c r="A506" s="4">
        <f t="shared" ca="1" si="19"/>
        <v>0</v>
      </c>
      <c r="G506" s="4">
        <f t="shared" ca="1" si="20"/>
        <v>0</v>
      </c>
    </row>
    <row r="507" spans="1:7" x14ac:dyDescent="0.3">
      <c r="A507" s="4">
        <f t="shared" ca="1" si="19"/>
        <v>0</v>
      </c>
      <c r="G507" s="4">
        <f t="shared" ca="1" si="20"/>
        <v>0</v>
      </c>
    </row>
    <row r="508" spans="1:7" x14ac:dyDescent="0.3">
      <c r="A508" s="4">
        <f t="shared" ca="1" si="19"/>
        <v>0</v>
      </c>
      <c r="G508" s="4">
        <f t="shared" ca="1" si="20"/>
        <v>0</v>
      </c>
    </row>
    <row r="509" spans="1:7" x14ac:dyDescent="0.3">
      <c r="A509" s="4">
        <f t="shared" ca="1" si="19"/>
        <v>0</v>
      </c>
      <c r="G509" s="4">
        <f t="shared" ca="1" si="20"/>
        <v>0</v>
      </c>
    </row>
    <row r="510" spans="1:7" x14ac:dyDescent="0.3">
      <c r="A510" s="4">
        <f t="shared" ca="1" si="19"/>
        <v>0</v>
      </c>
      <c r="G510" s="4">
        <f t="shared" ca="1" si="20"/>
        <v>0</v>
      </c>
    </row>
    <row r="511" spans="1:7" x14ac:dyDescent="0.3">
      <c r="A511" s="4">
        <f t="shared" ca="1" si="19"/>
        <v>0</v>
      </c>
      <c r="G511" s="4">
        <f t="shared" ca="1" si="20"/>
        <v>0</v>
      </c>
    </row>
    <row r="512" spans="1:7" x14ac:dyDescent="0.3">
      <c r="A512" s="4">
        <f t="shared" ca="1" si="19"/>
        <v>0</v>
      </c>
      <c r="G512" s="4">
        <f t="shared" ca="1" si="20"/>
        <v>0</v>
      </c>
    </row>
    <row r="513" spans="1:7" x14ac:dyDescent="0.3">
      <c r="A513" s="4">
        <f t="shared" ca="1" si="19"/>
        <v>0</v>
      </c>
      <c r="G513" s="4">
        <f t="shared" ca="1" si="20"/>
        <v>0</v>
      </c>
    </row>
    <row r="514" spans="1:7" x14ac:dyDescent="0.3">
      <c r="A514" s="4">
        <f t="shared" ca="1" si="19"/>
        <v>0</v>
      </c>
      <c r="G514" s="4">
        <f t="shared" ca="1" si="20"/>
        <v>0</v>
      </c>
    </row>
    <row r="515" spans="1:7" x14ac:dyDescent="0.3">
      <c r="A515" s="4">
        <f t="shared" ca="1" si="19"/>
        <v>0</v>
      </c>
      <c r="G515" s="4">
        <f t="shared" ca="1" si="20"/>
        <v>0</v>
      </c>
    </row>
    <row r="516" spans="1:7" x14ac:dyDescent="0.3">
      <c r="A516" s="4">
        <f t="shared" ref="A516:A530" ca="1" si="21">OFFSET($B516,0,LangOffset,1,1)</f>
        <v>0</v>
      </c>
      <c r="G516" s="4">
        <f t="shared" ca="1" si="20"/>
        <v>0</v>
      </c>
    </row>
    <row r="517" spans="1:7" x14ac:dyDescent="0.3">
      <c r="A517" s="4">
        <f t="shared" ca="1" si="21"/>
        <v>0</v>
      </c>
      <c r="G517" s="4">
        <f t="shared" ca="1" si="20"/>
        <v>0</v>
      </c>
    </row>
    <row r="518" spans="1:7" x14ac:dyDescent="0.3">
      <c r="A518" s="4">
        <f t="shared" ca="1" si="21"/>
        <v>0</v>
      </c>
      <c r="G518" s="4">
        <f t="shared" ca="1" si="20"/>
        <v>0</v>
      </c>
    </row>
    <row r="519" spans="1:7" x14ac:dyDescent="0.3">
      <c r="A519" s="4">
        <f t="shared" ca="1" si="21"/>
        <v>0</v>
      </c>
      <c r="G519" s="4">
        <f t="shared" ca="1" si="20"/>
        <v>0</v>
      </c>
    </row>
    <row r="520" spans="1:7" x14ac:dyDescent="0.3">
      <c r="A520" s="4">
        <f t="shared" ca="1" si="21"/>
        <v>0</v>
      </c>
      <c r="G520" s="4">
        <f t="shared" ca="1" si="20"/>
        <v>0</v>
      </c>
    </row>
    <row r="521" spans="1:7" x14ac:dyDescent="0.3">
      <c r="A521" s="4">
        <f t="shared" ca="1" si="21"/>
        <v>0</v>
      </c>
      <c r="G521" s="4">
        <f t="shared" ca="1" si="20"/>
        <v>0</v>
      </c>
    </row>
    <row r="522" spans="1:7" x14ac:dyDescent="0.3">
      <c r="A522" s="4">
        <f t="shared" ca="1" si="21"/>
        <v>0</v>
      </c>
      <c r="G522" s="4">
        <f t="shared" ca="1" si="20"/>
        <v>0</v>
      </c>
    </row>
    <row r="523" spans="1:7" x14ac:dyDescent="0.3">
      <c r="A523" s="4">
        <f t="shared" ca="1" si="21"/>
        <v>0</v>
      </c>
      <c r="G523" s="4">
        <f t="shared" ca="1" si="20"/>
        <v>0</v>
      </c>
    </row>
    <row r="524" spans="1:7" x14ac:dyDescent="0.3">
      <c r="A524" s="4">
        <f t="shared" ca="1" si="21"/>
        <v>0</v>
      </c>
      <c r="G524" s="4">
        <f t="shared" ca="1" si="20"/>
        <v>0</v>
      </c>
    </row>
    <row r="525" spans="1:7" x14ac:dyDescent="0.3">
      <c r="A525" s="4">
        <f t="shared" ca="1" si="21"/>
        <v>0</v>
      </c>
      <c r="G525" s="4">
        <f t="shared" ca="1" si="20"/>
        <v>0</v>
      </c>
    </row>
    <row r="526" spans="1:7" x14ac:dyDescent="0.3">
      <c r="A526" s="4">
        <f t="shared" ca="1" si="21"/>
        <v>0</v>
      </c>
      <c r="G526" s="4">
        <f t="shared" ca="1" si="20"/>
        <v>0</v>
      </c>
    </row>
    <row r="527" spans="1:7" x14ac:dyDescent="0.3">
      <c r="A527" s="4">
        <f t="shared" ca="1" si="21"/>
        <v>0</v>
      </c>
      <c r="G527" s="4">
        <f t="shared" ca="1" si="20"/>
        <v>0</v>
      </c>
    </row>
    <row r="528" spans="1:7" x14ac:dyDescent="0.3">
      <c r="A528" s="4">
        <f t="shared" ca="1" si="21"/>
        <v>0</v>
      </c>
      <c r="G528" s="4">
        <f t="shared" ca="1" si="20"/>
        <v>0</v>
      </c>
    </row>
    <row r="529" spans="1:7" x14ac:dyDescent="0.3">
      <c r="A529" s="4">
        <f t="shared" ca="1" si="21"/>
        <v>0</v>
      </c>
      <c r="G529" s="4">
        <f t="shared" ca="1" si="20"/>
        <v>0</v>
      </c>
    </row>
    <row r="530" spans="1:7" x14ac:dyDescent="0.3">
      <c r="A530" s="4">
        <f t="shared" ca="1" si="21"/>
        <v>0</v>
      </c>
      <c r="G530" s="4">
        <f t="shared" ca="1" si="20"/>
        <v>0</v>
      </c>
    </row>
    <row r="531" spans="1:7" x14ac:dyDescent="0.3">
      <c r="G531" s="4">
        <f t="shared" ca="1" si="20"/>
        <v>0</v>
      </c>
    </row>
  </sheetData>
  <sheetProtection algorithmName="SHA-512" hashValue="50wJ5s7cF3EirAsLudeixchoi+RDtccfJFT/IiRxhxTizRwvRyYoGIuO+gGLA+n1cERLHdm99ZlMe+kmUZAxWA==" saltValue="VhzQfKIMZ/Ui/IZB604zTw==" spinCount="100000" sheet="1" objects="1" scenarios="1"/>
  <phoneticPr fontId="52" type="noConversion"/>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3">
    <tabColor theme="9" tint="-0.249977111117893"/>
  </sheetPr>
  <dimension ref="A1:AZ502"/>
  <sheetViews>
    <sheetView topLeftCell="E55" zoomScale="70" zoomScaleNormal="70" workbookViewId="0">
      <selection activeCell="H102" sqref="H102"/>
    </sheetView>
  </sheetViews>
  <sheetFormatPr defaultColWidth="9" defaultRowHeight="14" x14ac:dyDescent="0.3"/>
  <cols>
    <col min="1" max="1" width="19.75" style="4" customWidth="1"/>
    <col min="2" max="2" width="25.25" style="4" customWidth="1"/>
    <col min="3" max="3" width="19.75" style="4" customWidth="1"/>
    <col min="4" max="4" width="26.5" style="4" customWidth="1"/>
    <col min="5" max="5" width="19.75" style="4" customWidth="1"/>
    <col min="6" max="6" width="16.08203125" style="10" customWidth="1"/>
    <col min="7" max="7" width="33.58203125" style="4" customWidth="1"/>
    <col min="8" max="8" width="99.33203125" style="22" customWidth="1"/>
    <col min="9" max="9" width="73.25" style="4" customWidth="1"/>
    <col min="10" max="10" width="71.58203125" style="4" customWidth="1"/>
    <col min="11" max="11" width="36.75" style="4" customWidth="1"/>
    <col min="12" max="16384" width="9" style="4"/>
  </cols>
  <sheetData>
    <row r="1" spans="1:11" x14ac:dyDescent="0.3">
      <c r="A1" s="5" t="s">
        <v>6</v>
      </c>
      <c r="C1" s="6">
        <f>IF(Language="English",0,IF(Language="French",1,IF(Language="Spanish",2,IF(Language="Russian",3))))</f>
        <v>0</v>
      </c>
      <c r="E1" s="6"/>
      <c r="F1" s="9"/>
      <c r="G1" s="4" t="s">
        <v>11</v>
      </c>
      <c r="H1" s="90"/>
      <c r="I1" s="7"/>
      <c r="J1" s="7"/>
      <c r="K1" s="7" t="s">
        <v>388</v>
      </c>
    </row>
    <row r="2" spans="1:11" x14ac:dyDescent="0.3">
      <c r="A2" s="49" t="s">
        <v>12</v>
      </c>
      <c r="B2" s="49" t="s">
        <v>7</v>
      </c>
      <c r="C2" s="25" t="s">
        <v>13</v>
      </c>
      <c r="D2" s="25" t="s">
        <v>14</v>
      </c>
      <c r="E2" s="26" t="s">
        <v>389</v>
      </c>
      <c r="F2" s="9"/>
      <c r="G2" s="50" t="s">
        <v>12</v>
      </c>
      <c r="H2" s="91" t="s">
        <v>7</v>
      </c>
      <c r="I2" s="25" t="s">
        <v>13</v>
      </c>
      <c r="J2" s="25" t="s">
        <v>14</v>
      </c>
      <c r="K2" s="25" t="s">
        <v>389</v>
      </c>
    </row>
    <row r="3" spans="1:11" ht="14.5" x14ac:dyDescent="0.3">
      <c r="A3" s="4" t="str">
        <f t="shared" ref="A3:A36" ca="1" si="0">OFFSET($B3,0,LangOffset,1,1)</f>
        <v>Tuberculosis</v>
      </c>
      <c r="B3" s="4" t="s">
        <v>390</v>
      </c>
      <c r="C3" s="54" t="s">
        <v>391</v>
      </c>
      <c r="D3" s="54" t="s">
        <v>390</v>
      </c>
      <c r="E3" s="54"/>
      <c r="F3" s="54"/>
      <c r="G3" s="28" t="str">
        <f t="shared" ref="G3:G66" ca="1" si="1">OFFSET($H3,0,LangOffset,1,1)</f>
        <v>Instructions - TB Priority Modules</v>
      </c>
      <c r="H3" s="22" t="s">
        <v>392</v>
      </c>
      <c r="I3" s="108" t="s">
        <v>393</v>
      </c>
      <c r="J3" s="108" t="s">
        <v>394</v>
      </c>
      <c r="K3" s="54"/>
    </row>
    <row r="4" spans="1:11" ht="28" x14ac:dyDescent="0.3">
      <c r="A4" s="4" t="str">
        <f t="shared" ca="1" si="0"/>
        <v xml:space="preserve">TB Programmatic Gap Table 1 </v>
      </c>
      <c r="B4" s="4" t="s">
        <v>1222</v>
      </c>
      <c r="C4" s="54" t="s">
        <v>1223</v>
      </c>
      <c r="D4" s="54" t="s">
        <v>1224</v>
      </c>
      <c r="E4" s="54"/>
      <c r="F4" s="54"/>
      <c r="G4" s="28" t="str">
        <f t="shared" ca="1" si="1"/>
        <v xml:space="preserve">Instructions for filling TB programmatic gap table: </v>
      </c>
      <c r="H4" s="22" t="s">
        <v>395</v>
      </c>
      <c r="I4" s="108" t="s">
        <v>396</v>
      </c>
      <c r="J4" s="108" t="s">
        <v>397</v>
      </c>
      <c r="K4" s="54"/>
    </row>
    <row r="5" spans="1:11" ht="409.5" x14ac:dyDescent="0.3">
      <c r="A5" s="4" t="str">
        <f t="shared" ca="1" si="0"/>
        <v xml:space="preserve">TB Programmatic Gap Table 2 </v>
      </c>
      <c r="B5" s="4" t="s">
        <v>1225</v>
      </c>
      <c r="C5" s="54" t="s">
        <v>1226</v>
      </c>
      <c r="D5" s="54" t="s">
        <v>1227</v>
      </c>
      <c r="E5" s="54"/>
      <c r="F5" s="54"/>
      <c r="G5" s="28" t="str">
        <f t="shared" ca="1" si="1"/>
        <v>Please complete separate programmatic gap tables, found on the "Tables" worksheet, for priority modules that are relevant to the TB funding request. The following list specifies possible modules and relevant interventions that can be selected. Complete tables only for the interventions that are supported and for which funding is being requested. Refer to the Modular Framework Handbook for a list of all modules, interventions with accompanying descriptions and indicators. 
For guidance when completing these programmatic gap tables, please refer to the Modular Framework handbook and the Global Fund TB Information Note, which includes reference to relevant technical guidance documents.
Priority Modules/Interventions:
- TB diagnosis, treatment and care
          -&gt; TB screening and diagnosis
- DR-TB diagnosis, treatment and care
          -&gt; DR-TB diagnosis/DST
          -&gt; DR-TB Treatment, care and support
- TB/HIV
          -&gt; TB/HIV Screening, testing and diagnosis
          -&gt; TB/HIV Treatment and care
          -&gt; TB/HIV Prevention  
- TB/DR-TB Prevention
          -&gt; Screening/testing for TB infection
          -&gt; Preventive treatment
Optional modules and interventions for the programmatic gap table which could be included depending on country contexts and level of investment:
- Collaboration with other providers and sectors
          -&gt; Private provider engagement in TB/DR-TB care
- Collaboration with other providers and sectors
          -&gt; Community-based TB/DR-TB care</v>
      </c>
      <c r="H5" s="109" t="s">
        <v>1218</v>
      </c>
      <c r="I5" s="108" t="s">
        <v>1620</v>
      </c>
      <c r="J5" s="108" t="s">
        <v>1541</v>
      </c>
      <c r="K5" s="54"/>
    </row>
    <row r="6" spans="1:11" ht="266" x14ac:dyDescent="0.3">
      <c r="A6" s="4" t="str">
        <f t="shared" ca="1" si="0"/>
        <v xml:space="preserve">TB Programmatic Gap Table 3 </v>
      </c>
      <c r="B6" s="4" t="s">
        <v>1228</v>
      </c>
      <c r="C6" s="54" t="s">
        <v>1229</v>
      </c>
      <c r="D6" s="54" t="s">
        <v>1230</v>
      </c>
      <c r="E6" s="54"/>
      <c r="F6" s="54"/>
      <c r="G6" s="28" t="str">
        <f t="shared" ca="1" si="1"/>
        <v>To begin completing each table, specify the desired priority module/intervention by selecting from the drop-down list provided next to the "Priority Module" line. The corresponding coverage indicator will appear automatically once a module/intervention has been selected.  Blank cells highlighted in white require input. Cells highlighted in purple and gray will then be filled automatically.
If submitting separate TB and HIV funding requests, gap analysis tables for TB/HIV interventions should be included in both the TB and HIV requests. In the case of a joint TB/HIV request, please complete the tables in the joint TB/HIV programmatic gap Excel file.
The following instructions provide detailed information on how to complete the gap table for each module/intervention. Note that separate tables are to be completed for each TB/HIV collaborative intervention. Remember, among the 6 priority modules listed above, complete tables for only the interventions/indicators that are relevant to the funding request.</v>
      </c>
      <c r="H6" s="109" t="s">
        <v>398</v>
      </c>
      <c r="I6" s="108" t="s">
        <v>399</v>
      </c>
      <c r="J6" s="108" t="s">
        <v>400</v>
      </c>
      <c r="K6" s="54"/>
    </row>
    <row r="7" spans="1:11" ht="56" x14ac:dyDescent="0.3">
      <c r="A7" s="4" t="str">
        <f t="shared" ca="1" si="0"/>
        <v xml:space="preserve">TB Programmatic Gap Table 4 </v>
      </c>
      <c r="B7" s="4" t="s">
        <v>1231</v>
      </c>
      <c r="C7" s="54" t="s">
        <v>1232</v>
      </c>
      <c r="D7" s="54" t="s">
        <v>1233</v>
      </c>
      <c r="E7" s="54"/>
      <c r="F7" s="54"/>
      <c r="G7" s="28" t="str">
        <f t="shared" ca="1" si="1"/>
        <v>Reference (for DS and DR-TB testing): Planning and budgeting tool for TB and drug-resistant TB testing -  https://www.who.int/publications/i/item/WHO-UCN-TB-2021.8</v>
      </c>
      <c r="H7" s="109" t="s">
        <v>401</v>
      </c>
      <c r="I7" s="108" t="s">
        <v>402</v>
      </c>
      <c r="J7" s="108" t="s">
        <v>403</v>
      </c>
      <c r="K7" s="54"/>
    </row>
    <row r="8" spans="1:11" ht="101.5" x14ac:dyDescent="0.3">
      <c r="A8" s="4" t="str">
        <f t="shared" ca="1" si="0"/>
        <v xml:space="preserve">TB Programmatic Gap Table 5 </v>
      </c>
      <c r="B8" s="4" t="s">
        <v>1234</v>
      </c>
      <c r="C8" s="54" t="s">
        <v>1235</v>
      </c>
      <c r="D8" s="54" t="s">
        <v>1236</v>
      </c>
      <c r="E8" s="54"/>
      <c r="F8" s="54"/>
      <c r="G8" s="28" t="str">
        <f t="shared" ca="1" si="1"/>
        <v>In cases where the indicators used by the country are worded differently than what is included in the programmatic gap tables (but measurement is the same), please include the country definition in the comments box. A blank table can be found on the "Blank table" sheet in the case where the number of tables provided in the workbook is not sufficient, or if the applicant wishes to submit a table for a module/intervention/indicator that is not specified in the instructions below.</v>
      </c>
      <c r="H8" s="110" t="s">
        <v>404</v>
      </c>
      <c r="I8" s="111" t="s">
        <v>405</v>
      </c>
      <c r="J8" s="112" t="s">
        <v>406</v>
      </c>
      <c r="K8" s="54"/>
    </row>
    <row r="9" spans="1:11" x14ac:dyDescent="0.3">
      <c r="A9" s="4" t="str">
        <f t="shared" ca="1" si="0"/>
        <v xml:space="preserve">TB Programmatic Gap Table 6 </v>
      </c>
      <c r="B9" s="4" t="s">
        <v>1237</v>
      </c>
      <c r="C9" s="54" t="s">
        <v>1238</v>
      </c>
      <c r="D9" s="54" t="s">
        <v>1239</v>
      </c>
      <c r="E9" s="54"/>
      <c r="F9" s="54"/>
      <c r="G9" s="28" t="str">
        <f t="shared" ca="1" si="1"/>
        <v>"TB-Tables" Tab</v>
      </c>
      <c r="H9" s="22" t="s">
        <v>407</v>
      </c>
      <c r="I9" s="108" t="s">
        <v>408</v>
      </c>
      <c r="J9" s="108" t="s">
        <v>409</v>
      </c>
      <c r="K9" s="54"/>
    </row>
    <row r="10" spans="1:11" ht="14.5" x14ac:dyDescent="0.35">
      <c r="A10" s="4" t="str">
        <f t="shared" ca="1" si="0"/>
        <v xml:space="preserve">TB Programmatic Gap Table 7 </v>
      </c>
      <c r="B10" s="4" t="s">
        <v>1240</v>
      </c>
      <c r="C10" s="55" t="s">
        <v>1241</v>
      </c>
      <c r="D10" s="54" t="s">
        <v>1242</v>
      </c>
      <c r="E10" s="54"/>
      <c r="F10" s="54"/>
      <c r="G10" s="28" t="str">
        <f t="shared" ca="1" si="1"/>
        <v>TB diagnosis, treatment and care – TB screening and diagnosis</v>
      </c>
      <c r="H10" s="113" t="s">
        <v>410</v>
      </c>
      <c r="I10" s="287" t="s">
        <v>1471</v>
      </c>
      <c r="J10" s="61" t="s">
        <v>1483</v>
      </c>
      <c r="K10" s="54"/>
    </row>
    <row r="11" spans="1:11" ht="56" x14ac:dyDescent="0.3">
      <c r="A11" s="4" t="str">
        <f t="shared" ca="1" si="0"/>
        <v>Priority Module</v>
      </c>
      <c r="B11" s="4" t="s">
        <v>40</v>
      </c>
      <c r="C11" s="54" t="s">
        <v>41</v>
      </c>
      <c r="D11" s="54" t="s">
        <v>42</v>
      </c>
      <c r="E11" s="54"/>
      <c r="F11" s="54"/>
      <c r="G11" s="28" t="str">
        <f t="shared" ca="1" si="1"/>
        <v>Coverage indicator: 
Number of patients with of all forms of TB notified (i.e., bacteriologically confirmed + clinically diagnosed); *includes only those with new and relapse TB.</v>
      </c>
      <c r="H11" s="302" t="s">
        <v>1542</v>
      </c>
      <c r="I11" s="302" t="s">
        <v>1621</v>
      </c>
      <c r="J11" s="302" t="s">
        <v>1543</v>
      </c>
      <c r="K11" s="54"/>
    </row>
    <row r="12" spans="1:11" ht="28" x14ac:dyDescent="0.3">
      <c r="A12" s="4" t="str">
        <f t="shared" ca="1" si="0"/>
        <v>Selected coverage indicator</v>
      </c>
      <c r="B12" s="4" t="s">
        <v>45</v>
      </c>
      <c r="C12" s="54" t="s">
        <v>46</v>
      </c>
      <c r="D12" s="54" t="s">
        <v>47</v>
      </c>
      <c r="E12" s="54"/>
      <c r="F12" s="54"/>
      <c r="G12" s="28" t="str">
        <f t="shared" ca="1" si="1"/>
        <v>Estimated population in need/at risk:
Refers to the estimated incidence of all forms of TB cases.</v>
      </c>
      <c r="H12" s="108" t="s">
        <v>411</v>
      </c>
      <c r="I12" s="108" t="s">
        <v>1622</v>
      </c>
      <c r="J12" s="108" t="s">
        <v>412</v>
      </c>
      <c r="K12" s="54"/>
    </row>
    <row r="13" spans="1:11" ht="154" x14ac:dyDescent="0.3">
      <c r="A13" s="4" t="str">
        <f t="shared" ca="1" si="0"/>
        <v>Current national coverage</v>
      </c>
      <c r="B13" s="4" t="s">
        <v>52</v>
      </c>
      <c r="C13" s="54" t="s">
        <v>53</v>
      </c>
      <c r="D13" s="54" t="s">
        <v>54</v>
      </c>
      <c r="E13" s="54"/>
      <c r="F13" s="54"/>
      <c r="G13" s="28" t="str">
        <f t="shared" ca="1" si="1"/>
        <v>Country target:
Refers to NSP or any other latest agreed country target.
1) "#" refers to all forms of TB cases (new and relapse) to be notified to national health authorities. It includes bacteriologically confirmed plus those that are diagnosed using other tests such as X-rays (including digital X-ray with or without CAD/AI), cytology and clinically diagnosed.
2) "%" refers to the treatment coverage, i.e., the proportion of all forms of TB cases (new and relapse) notified among the number of estimated incident TB cases.</v>
      </c>
      <c r="H13" s="108" t="s">
        <v>413</v>
      </c>
      <c r="I13" s="108" t="s">
        <v>1623</v>
      </c>
      <c r="J13" s="108" t="s">
        <v>414</v>
      </c>
      <c r="K13" s="54"/>
    </row>
    <row r="14" spans="1:11" ht="118" customHeight="1" x14ac:dyDescent="0.3">
      <c r="A14" s="4" t="str">
        <f t="shared" ca="1" si="0"/>
        <v>Insert latest results</v>
      </c>
      <c r="B14" s="4" t="s">
        <v>55</v>
      </c>
      <c r="C14" s="54" t="s">
        <v>56</v>
      </c>
      <c r="D14" s="54" t="s">
        <v>57</v>
      </c>
      <c r="E14" s="54"/>
      <c r="F14" s="54"/>
      <c r="G14" s="28" t="str">
        <f t="shared" ca="1" si="1"/>
        <v>Country need already covered:
1) Country need already covered is broken down into need planned to be covered by domestic resources (line C1), and external resources (line C2). 
2) National private sector investments are to be included under domestic sources. 
3) In cases where part of the need during the year is covered by a current Global Fund grant (that ends prior to the start of the new implementation period), it can be included in the external resources category. 
4) Once C1 and C2 are filled in, the total of country need already covered is automatically calculated in line C3. Note that line C3 is locked and cannot be overridden. Therefore, please use line C1 to provide a total if the domestic and external breakdown of resources is not available. 
5) If this is the case, specify in the comments box that line C1 refers to the total of both domestic and external resources.</v>
      </c>
      <c r="H14" s="108" t="s">
        <v>415</v>
      </c>
      <c r="I14" s="108" t="s">
        <v>1624</v>
      </c>
      <c r="J14" s="108" t="s">
        <v>416</v>
      </c>
      <c r="K14" s="54"/>
    </row>
    <row r="15" spans="1:11" ht="28" x14ac:dyDescent="0.3">
      <c r="A15" s="4" t="str">
        <f t="shared" ca="1" si="0"/>
        <v>Year</v>
      </c>
      <c r="B15" s="4" t="s">
        <v>61</v>
      </c>
      <c r="C15" s="54" t="s">
        <v>62</v>
      </c>
      <c r="D15" s="54" t="s">
        <v>63</v>
      </c>
      <c r="E15" s="54"/>
      <c r="F15" s="54"/>
      <c r="G15" s="28" t="str">
        <f t="shared" ca="1" si="1"/>
        <v>Programmatic gap:
The programmatic gap is calculated based on total need (line A).</v>
      </c>
      <c r="H15" s="108" t="s">
        <v>417</v>
      </c>
      <c r="I15" s="108" t="s">
        <v>1625</v>
      </c>
      <c r="J15" s="108" t="s">
        <v>418</v>
      </c>
      <c r="K15" s="54"/>
    </row>
    <row r="16" spans="1:11" ht="112" x14ac:dyDescent="0.3">
      <c r="A16" s="4" t="str">
        <f t="shared" ca="1" si="0"/>
        <v>Data source</v>
      </c>
      <c r="B16" s="4" t="s">
        <v>64</v>
      </c>
      <c r="C16" s="54" t="s">
        <v>65</v>
      </c>
      <c r="D16" s="54" t="s">
        <v>66</v>
      </c>
      <c r="E16" s="54"/>
      <c r="F16" s="54"/>
      <c r="G16" s="28" t="str">
        <f t="shared" ca="1" si="1"/>
        <v>Comments/Assumptions:
1) Specify the target geographic area.
2) Specify who are the other sources of funding.
3) Specify the number and proportion of childhood TB cases to be notified among the total notified.
4) Along with the country targets, in the comments column specify the current and targeted treatment success rate for all new TB cases over each of the three years.</v>
      </c>
      <c r="H16" s="108" t="s">
        <v>419</v>
      </c>
      <c r="I16" s="108" t="s">
        <v>1626</v>
      </c>
      <c r="J16" s="108" t="s">
        <v>420</v>
      </c>
      <c r="K16" s="54"/>
    </row>
    <row r="17" spans="1:11" ht="14.5" x14ac:dyDescent="0.35">
      <c r="A17" s="4" t="str">
        <f t="shared" ca="1" si="0"/>
        <v>Comments</v>
      </c>
      <c r="B17" s="4" t="s">
        <v>67</v>
      </c>
      <c r="C17" s="54" t="s">
        <v>68</v>
      </c>
      <c r="D17" s="54" t="s">
        <v>69</v>
      </c>
      <c r="E17" s="54"/>
      <c r="F17" s="54"/>
      <c r="G17" s="28" t="str">
        <f t="shared" ca="1" si="1"/>
        <v>Drug-resistant (DR)-TB diagnosis, treatment and care - DR-TB diagnosis/drug susceptibility testing (DST)</v>
      </c>
      <c r="H17" s="114" t="s">
        <v>421</v>
      </c>
      <c r="I17" s="300" t="s">
        <v>1472</v>
      </c>
      <c r="J17" s="301" t="s">
        <v>525</v>
      </c>
      <c r="K17" s="54"/>
    </row>
    <row r="18" spans="1:11" ht="42" x14ac:dyDescent="0.3">
      <c r="A18" s="4" t="str">
        <f t="shared" ca="1" si="0"/>
        <v>Year 1</v>
      </c>
      <c r="B18" s="4" t="s">
        <v>72</v>
      </c>
      <c r="C18" s="54" t="s">
        <v>73</v>
      </c>
      <c r="D18" s="54" t="s">
        <v>74</v>
      </c>
      <c r="E18" s="54"/>
      <c r="F18" s="54"/>
      <c r="G18" s="28" t="str">
        <f t="shared" ca="1" si="1"/>
        <v>Coverage indicator: 
Number of people with confirmed RR-TB and/or MDR-TB notified</v>
      </c>
      <c r="H18" s="302" t="s">
        <v>1544</v>
      </c>
      <c r="I18" s="302" t="s">
        <v>1627</v>
      </c>
      <c r="J18" s="302" t="s">
        <v>1545</v>
      </c>
      <c r="K18" s="54"/>
    </row>
    <row r="19" spans="1:11" ht="42" x14ac:dyDescent="0.3">
      <c r="A19" s="4" t="str">
        <f t="shared" ca="1" si="0"/>
        <v>Year 2</v>
      </c>
      <c r="B19" s="4" t="s">
        <v>75</v>
      </c>
      <c r="C19" s="54" t="s">
        <v>76</v>
      </c>
      <c r="D19" s="54" t="s">
        <v>77</v>
      </c>
      <c r="E19" s="54"/>
      <c r="F19" s="54"/>
      <c r="G19" s="28" t="str">
        <f t="shared" ca="1" si="1"/>
        <v>Estimated population in need/at risk:
Refers to the number of the estimated DR-TB (RR/MDR-TB) cases among all new and retreatment cases.</v>
      </c>
      <c r="H19" s="108" t="s">
        <v>422</v>
      </c>
      <c r="I19" s="108" t="s">
        <v>1628</v>
      </c>
      <c r="J19" s="108" t="s">
        <v>423</v>
      </c>
      <c r="K19" s="54"/>
    </row>
    <row r="20" spans="1:11" ht="14.5" x14ac:dyDescent="0.3">
      <c r="A20" s="4" t="str">
        <f t="shared" ca="1" si="0"/>
        <v>Year 3</v>
      </c>
      <c r="B20" s="4" t="s">
        <v>78</v>
      </c>
      <c r="C20" s="54" t="s">
        <v>79</v>
      </c>
      <c r="D20" s="54" t="s">
        <v>80</v>
      </c>
      <c r="E20" s="54"/>
      <c r="F20" s="54"/>
      <c r="G20" s="28">
        <f t="shared" ca="1" si="1"/>
        <v>0</v>
      </c>
      <c r="H20" s="108"/>
      <c r="I20" s="108"/>
      <c r="J20" s="108"/>
      <c r="K20" s="54"/>
    </row>
    <row r="21" spans="1:11" ht="98" x14ac:dyDescent="0.3">
      <c r="A21" s="4" t="str">
        <f t="shared" ca="1" si="0"/>
        <v>Year 4</v>
      </c>
      <c r="B21" s="4" t="s">
        <v>84</v>
      </c>
      <c r="C21" s="55" t="s">
        <v>85</v>
      </c>
      <c r="D21" s="54" t="s">
        <v>86</v>
      </c>
      <c r="E21" s="54"/>
      <c r="F21" s="54"/>
      <c r="G21" s="28" t="str">
        <f t="shared" ca="1" si="1"/>
        <v>Country target:
Refers to NSP or any other latest agreed country target.
1) "#" refers to the bacteriologically confirmed drug resistant TB (DR-TB) cases (RR/MDR-TB) notified.
2) "%" refers to the percentage of DR-TB (RR/MDR-TB) cases notified as a proportion of the estimated DR-TB (RR/MDR-TB) cases among all new and retreatment cases.</v>
      </c>
      <c r="H21" s="108" t="s">
        <v>424</v>
      </c>
      <c r="I21" s="108" t="s">
        <v>1629</v>
      </c>
      <c r="J21" s="108" t="s">
        <v>425</v>
      </c>
      <c r="K21" s="54"/>
    </row>
    <row r="22" spans="1:11" ht="42" x14ac:dyDescent="0.3">
      <c r="A22" s="4" t="str">
        <f t="shared" ca="1" si="0"/>
        <v>Insert year</v>
      </c>
      <c r="B22" s="4" t="s">
        <v>87</v>
      </c>
      <c r="C22" s="54" t="s">
        <v>88</v>
      </c>
      <c r="D22" s="54" t="s">
        <v>89</v>
      </c>
      <c r="E22" s="54"/>
      <c r="F22" s="54"/>
      <c r="G22" s="28" t="str">
        <f t="shared" ca="1" si="1"/>
        <v>Comments/Assumptions:
1) Specify the target geographic area.
2) Specify who are the other sources of funding.</v>
      </c>
      <c r="H22" s="108" t="s">
        <v>209</v>
      </c>
      <c r="I22" s="108" t="s">
        <v>1630</v>
      </c>
      <c r="J22" s="108" t="s">
        <v>426</v>
      </c>
      <c r="K22" s="54"/>
    </row>
    <row r="23" spans="1:11" ht="14.5" x14ac:dyDescent="0.35">
      <c r="A23" s="4" t="str">
        <f t="shared" ca="1" si="0"/>
        <v>Comments / Assumptions</v>
      </c>
      <c r="B23" s="4" t="s">
        <v>90</v>
      </c>
      <c r="C23" s="54" t="s">
        <v>91</v>
      </c>
      <c r="D23" s="54" t="s">
        <v>427</v>
      </c>
      <c r="E23" s="54"/>
      <c r="F23" s="54"/>
      <c r="G23" s="28" t="str">
        <f t="shared" ca="1" si="1"/>
        <v>DR-TB diagnosis, treatment and care – DR-TB treatment, care and support</v>
      </c>
      <c r="H23" s="114" t="s">
        <v>428</v>
      </c>
      <c r="I23" s="61" t="s">
        <v>1473</v>
      </c>
      <c r="J23" s="61" t="s">
        <v>1474</v>
      </c>
      <c r="K23" s="54"/>
    </row>
    <row r="24" spans="1:11" ht="57.65" customHeight="1" x14ac:dyDescent="0.3">
      <c r="A24" s="4" t="str">
        <f t="shared" ca="1" si="0"/>
        <v>Current estimated country need</v>
      </c>
      <c r="B24" s="4" t="s">
        <v>95</v>
      </c>
      <c r="C24" s="54" t="s">
        <v>96</v>
      </c>
      <c r="D24" s="54" t="s">
        <v>97</v>
      </c>
      <c r="E24" s="54"/>
      <c r="F24" s="54"/>
      <c r="G24" s="28" t="str">
        <f t="shared" ca="1" si="1"/>
        <v>Coverage indicator: 
Number of bacteriologically confirmed RR-TB and/or MDR-TB cases registered and started on a prescribed RR-TB and/or MDR-TB treatment regimen.</v>
      </c>
      <c r="H24" s="108" t="s">
        <v>429</v>
      </c>
      <c r="I24" s="108" t="s">
        <v>1631</v>
      </c>
      <c r="J24" s="108" t="s">
        <v>430</v>
      </c>
      <c r="K24" s="54"/>
    </row>
    <row r="25" spans="1:11" ht="41.5" customHeight="1" x14ac:dyDescent="0.3">
      <c r="A25" s="4" t="str">
        <f t="shared" ca="1" si="0"/>
        <v>A. Total estimated population in need/at risk</v>
      </c>
      <c r="B25" s="4" t="s">
        <v>431</v>
      </c>
      <c r="C25" s="55" t="s">
        <v>432</v>
      </c>
      <c r="D25" s="54" t="s">
        <v>433</v>
      </c>
      <c r="E25" s="54"/>
      <c r="F25" s="54"/>
      <c r="G25" s="28" t="str">
        <f t="shared" ca="1" si="1"/>
        <v xml:space="preserve">Estimated population in need/at risk:
It refers to the number of the estimated MDR/RR TB cases among all new and retreatment cases. </v>
      </c>
      <c r="H25" s="108" t="s">
        <v>434</v>
      </c>
      <c r="I25" s="108" t="s">
        <v>1632</v>
      </c>
      <c r="J25" s="108" t="s">
        <v>435</v>
      </c>
      <c r="K25" s="54"/>
    </row>
    <row r="26" spans="1:11" ht="98" x14ac:dyDescent="0.3">
      <c r="A26" s="4" t="str">
        <f t="shared" ca="1" si="0"/>
        <v>B. Country targets 
(from National Strategic Plan)</v>
      </c>
      <c r="B26" s="4" t="s">
        <v>354</v>
      </c>
      <c r="C26" s="54" t="s">
        <v>436</v>
      </c>
      <c r="D26" s="54" t="s">
        <v>437</v>
      </c>
      <c r="E26" s="54"/>
      <c r="F26" s="54"/>
      <c r="G26" s="28" t="str">
        <f t="shared" ca="1" si="1"/>
        <v>Country target:
Refers to NSP or any other latest agreed country target.
1) "#" refers to the registered cases with DR-TB (RR/MDR-TB) to be enrolled on second-line treatment.
2) "%" refers to the DR-TB (RR/MDR-TB) cases to be enrolled on second-line treatment among the estimated MDR-TB cases in need of treatment.</v>
      </c>
      <c r="H26" s="108" t="s">
        <v>438</v>
      </c>
      <c r="I26" s="108" t="s">
        <v>1633</v>
      </c>
      <c r="J26" s="108" t="s">
        <v>439</v>
      </c>
      <c r="K26" s="54"/>
    </row>
    <row r="27" spans="1:11" ht="92.15" customHeight="1" x14ac:dyDescent="0.3">
      <c r="A27" s="4" t="str">
        <f t="shared" ca="1" si="0"/>
        <v>Country need already covered</v>
      </c>
      <c r="B27" s="4" t="s">
        <v>440</v>
      </c>
      <c r="C27" s="54" t="s">
        <v>441</v>
      </c>
      <c r="D27" s="54" t="s">
        <v>442</v>
      </c>
      <c r="E27" s="54"/>
      <c r="F27" s="54"/>
      <c r="G27" s="28" t="str">
        <f t="shared" ca="1" si="1"/>
        <v>Comments/Assumptions:
1) Specify the target geographic area.
2) Specify who are the other sources of funding.
3) Along with the country targets, in the comments column specify the current and targeted treatment success rate for all bacteriologically confirmed DR-TB cases (RR/MDR-TB) over each of the three years.</v>
      </c>
      <c r="H27" s="108" t="s">
        <v>443</v>
      </c>
      <c r="I27" s="108" t="s">
        <v>1634</v>
      </c>
      <c r="J27" s="108" t="s">
        <v>444</v>
      </c>
      <c r="K27" s="54"/>
    </row>
    <row r="28" spans="1:11" ht="16.5" customHeight="1" x14ac:dyDescent="0.35">
      <c r="A28" s="4" t="str">
        <f t="shared" ca="1" si="0"/>
        <v>C1. Country need planned to be covered by domestic resources</v>
      </c>
      <c r="B28" s="4" t="s">
        <v>175</v>
      </c>
      <c r="C28" s="54" t="s">
        <v>445</v>
      </c>
      <c r="D28" s="54" t="s">
        <v>177</v>
      </c>
      <c r="E28" s="54"/>
      <c r="F28" s="54"/>
      <c r="G28" s="28" t="str">
        <f t="shared" ca="1" si="1"/>
        <v>TB/DR-TB prevention – Screening/testing for TB infection</v>
      </c>
      <c r="H28" s="114" t="s">
        <v>446</v>
      </c>
      <c r="I28" s="298" t="s">
        <v>1549</v>
      </c>
      <c r="J28" s="298" t="s">
        <v>1540</v>
      </c>
      <c r="K28" s="54"/>
    </row>
    <row r="29" spans="1:11" ht="44.5" customHeight="1" x14ac:dyDescent="0.3">
      <c r="A29" s="4" t="str">
        <f t="shared" ca="1" si="0"/>
        <v>C2. Country need planned to be covered by external resources</v>
      </c>
      <c r="B29" s="4" t="s">
        <v>181</v>
      </c>
      <c r="C29" s="54" t="s">
        <v>447</v>
      </c>
      <c r="D29" s="54" t="s">
        <v>183</v>
      </c>
      <c r="E29" s="54"/>
      <c r="F29" s="54"/>
      <c r="G29" s="28" t="str">
        <f t="shared" ca="1" si="1"/>
        <v>Coverage indicator: 
Contact investigation coverage: Proportion of contacts of people with bacteriologically-confirmed TB evaluated for TB among those eligible.</v>
      </c>
      <c r="H29" s="108" t="s">
        <v>448</v>
      </c>
      <c r="I29" s="304" t="s">
        <v>1635</v>
      </c>
      <c r="J29" s="304" t="s">
        <v>1550</v>
      </c>
      <c r="K29" s="54"/>
    </row>
    <row r="30" spans="1:11" ht="113.15" customHeight="1" x14ac:dyDescent="0.3">
      <c r="A30" s="4" t="str">
        <f t="shared" ca="1" si="0"/>
        <v>C3. Total country need already covered</v>
      </c>
      <c r="B30" s="4" t="s">
        <v>185</v>
      </c>
      <c r="C30" s="55" t="s">
        <v>186</v>
      </c>
      <c r="D30" s="54" t="s">
        <v>187</v>
      </c>
      <c r="E30" s="54"/>
      <c r="F30" s="54"/>
      <c r="G30" s="28" t="str">
        <f t="shared" ca="1" si="1"/>
        <v>Estimated population in need/at risk:
Refers to the estimated number of eligible contacts of bacteriologically-confirmed people with TB during the period.
Target setting for the number of household contacts per bacteriologically confirmed person with TB should be based the national policy. Population census data to estimate the size of households, Stop TB UNHLM TB Prevention targets by country, modelling exercises based on program data, etc. are available options which the country can utilize during estimation.</v>
      </c>
      <c r="H30" s="108" t="s">
        <v>449</v>
      </c>
      <c r="I30" s="108" t="s">
        <v>450</v>
      </c>
      <c r="J30" s="108" t="s">
        <v>451</v>
      </c>
      <c r="K30" s="54"/>
    </row>
    <row r="31" spans="1:11" ht="98" x14ac:dyDescent="0.3">
      <c r="A31" s="4" t="str">
        <f t="shared" ca="1" si="0"/>
        <v>Programmatic gap</v>
      </c>
      <c r="B31" s="4" t="s">
        <v>124</v>
      </c>
      <c r="C31" s="54" t="s">
        <v>125</v>
      </c>
      <c r="D31" s="54" t="s">
        <v>452</v>
      </c>
      <c r="E31" s="54"/>
      <c r="F31" s="54"/>
      <c r="G31" s="28" t="str">
        <f t="shared" ca="1" si="1"/>
        <v>Country target:
Refers to NSP or any other latest agreed country target.
1) "#" refers to the number of contacts of people with bacteriologically confirmed TB who were evaluated for TB.
2) "%" refers to the percentage of contacts of people who were evaluated among the total number of eligible contacts of people with bacteriologically confirmed TB (see above).</v>
      </c>
      <c r="H31" s="108" t="s">
        <v>453</v>
      </c>
      <c r="I31" s="108" t="s">
        <v>1636</v>
      </c>
      <c r="J31" s="108" t="s">
        <v>454</v>
      </c>
      <c r="K31" s="54"/>
    </row>
    <row r="32" spans="1:11" ht="73" customHeight="1" x14ac:dyDescent="0.3">
      <c r="A32" s="4" t="str">
        <f ca="1">OFFSET($B32,0,LangOffset,1,1)</f>
        <v>D. Expected annual gap in meeting the need: A - C3</v>
      </c>
      <c r="B32" s="4" t="s">
        <v>455</v>
      </c>
      <c r="C32" s="55" t="s">
        <v>456</v>
      </c>
      <c r="D32" s="64" t="s">
        <v>457</v>
      </c>
      <c r="E32" s="54"/>
      <c r="F32" s="54"/>
      <c r="G32" s="28" t="str">
        <f t="shared" ca="1" si="1"/>
        <v>Comments/Assumptions:
1) Specify the target geographic area.
2) Specify who are the other sources of funding.
3) Specify the number and proportion of contacts evaluated disaggregated by age (&lt;5, 5-14, 15+ years).</v>
      </c>
      <c r="H32" s="108" t="s">
        <v>458</v>
      </c>
      <c r="I32" s="108" t="s">
        <v>1637</v>
      </c>
      <c r="J32" s="108" t="s">
        <v>459</v>
      </c>
      <c r="K32" s="54"/>
    </row>
    <row r="33" spans="1:31" ht="14.5" x14ac:dyDescent="0.35">
      <c r="A33" s="4" t="str">
        <f t="shared" ca="1" si="0"/>
        <v>Country need covered with the allocation amount</v>
      </c>
      <c r="B33" s="4" t="s">
        <v>460</v>
      </c>
      <c r="C33" s="54" t="s">
        <v>133</v>
      </c>
      <c r="D33" s="54" t="s">
        <v>134</v>
      </c>
      <c r="E33" s="54"/>
      <c r="F33" s="54"/>
      <c r="G33" s="28" t="str">
        <f t="shared" ca="1" si="1"/>
        <v>TB/DR-TB prevention – Preventive treatment (eligible contacts)</v>
      </c>
      <c r="H33" s="114" t="s">
        <v>461</v>
      </c>
      <c r="I33" s="298" t="s">
        <v>1551</v>
      </c>
      <c r="J33" s="298" t="s">
        <v>1484</v>
      </c>
      <c r="K33" s="54"/>
    </row>
    <row r="34" spans="1:31" ht="38.15" customHeight="1" x14ac:dyDescent="0.3">
      <c r="A34" s="4" t="str">
        <f t="shared" ca="1" si="0"/>
        <v>E. Targets to be financed by funding request allocation amount</v>
      </c>
      <c r="B34" s="4" t="s">
        <v>463</v>
      </c>
      <c r="C34" s="54" t="s">
        <v>464</v>
      </c>
      <c r="D34" s="54" t="s">
        <v>465</v>
      </c>
      <c r="E34" s="54"/>
      <c r="F34" s="54"/>
      <c r="G34" s="28" t="str">
        <f t="shared" ca="1" si="1"/>
        <v>Coverage indicator: 
Number of people in contact with TB patients who began preventive therapy.</v>
      </c>
      <c r="H34" s="108" t="s">
        <v>466</v>
      </c>
      <c r="I34" s="304" t="s">
        <v>1638</v>
      </c>
      <c r="J34" s="304" t="s">
        <v>1552</v>
      </c>
      <c r="K34" s="54"/>
    </row>
    <row r="35" spans="1:31" ht="56" x14ac:dyDescent="0.3">
      <c r="A35" s="4" t="str">
        <f t="shared" ca="1" si="0"/>
        <v>F. Total coverage from allocation amount and other resources: E + C3</v>
      </c>
      <c r="B35" s="4" t="s">
        <v>467</v>
      </c>
      <c r="C35" s="55" t="s">
        <v>468</v>
      </c>
      <c r="D35" s="54" t="s">
        <v>469</v>
      </c>
      <c r="E35" s="54"/>
      <c r="F35" s="54"/>
      <c r="G35" s="28" t="str">
        <f t="shared" ca="1" si="1"/>
        <v xml:space="preserve">Estimated population in need/at risk:
Refers to the estimated number of eligible contacts of bacteriologically-confirmed people with TB initiated on TB preventive therapy after ruling out TB disease. </v>
      </c>
      <c r="H35" s="108" t="s">
        <v>470</v>
      </c>
      <c r="I35" s="108" t="s">
        <v>1639</v>
      </c>
      <c r="J35" s="108" t="s">
        <v>471</v>
      </c>
      <c r="K35" s="54"/>
    </row>
    <row r="36" spans="1:31" ht="96.65" customHeight="1" x14ac:dyDescent="0.3">
      <c r="A36" s="4" t="str">
        <f t="shared" ca="1" si="0"/>
        <v xml:space="preserve">G. Remaining gap: A - F </v>
      </c>
      <c r="B36" s="4" t="s">
        <v>199</v>
      </c>
      <c r="C36" s="54" t="s">
        <v>472</v>
      </c>
      <c r="D36" s="54" t="s">
        <v>473</v>
      </c>
      <c r="E36" s="54"/>
      <c r="F36" s="54"/>
      <c r="G36" s="28" t="str">
        <f t="shared" ca="1" si="1"/>
        <v>Country target:
Refers to NSP or any other latest agreed country target.
1) '#" refers to the number of eligible contacts of people with bacteriologically confirmed TB commenced on TB preventive therapy.
2) "%" refers to the percentage of eligible contacts of bacteriologically-confirmed people with TB who commenced TPT (see above).</v>
      </c>
      <c r="H36" s="108" t="s">
        <v>474</v>
      </c>
      <c r="I36" s="108" t="s">
        <v>1640</v>
      </c>
      <c r="J36" s="108" t="s">
        <v>475</v>
      </c>
      <c r="K36" s="54"/>
    </row>
    <row r="37" spans="1:31" ht="69.650000000000006" customHeight="1" x14ac:dyDescent="0.3">
      <c r="C37" s="54"/>
      <c r="D37" s="54"/>
      <c r="E37" s="10"/>
      <c r="F37" s="54"/>
      <c r="G37" s="28" t="str">
        <f t="shared" ca="1" si="1"/>
        <v>Programmatic gap: 
The programmatic gap is calculated based on total need (line A).</v>
      </c>
      <c r="H37" s="108" t="s">
        <v>274</v>
      </c>
      <c r="I37" s="108" t="s">
        <v>1641</v>
      </c>
      <c r="J37" s="108" t="s">
        <v>476</v>
      </c>
      <c r="K37" s="54"/>
      <c r="AD37" s="11"/>
      <c r="AE37" s="11"/>
    </row>
    <row r="38" spans="1:31" s="11" customFormat="1" ht="70" x14ac:dyDescent="0.3">
      <c r="A38" s="4">
        <f t="shared" ref="A38:A45" ca="1" si="2">OFFSET($B38,0,LangOffset,1,1)</f>
        <v>0</v>
      </c>
      <c r="B38" s="10"/>
      <c r="C38" s="10"/>
      <c r="D38" s="10"/>
      <c r="E38" s="54"/>
      <c r="F38" s="54"/>
      <c r="G38" s="28" t="str">
        <f t="shared" ca="1" si="1"/>
        <v>Comments/Assumptions:
1) Specify the target geographic area.
2) Specify who are the other sources of funding.
3) Specify the number and proportion of child, adolescent and adult contacts to receive TPT among the total estimated number of contacts (&lt;5, 5-14, 15+ years).</v>
      </c>
      <c r="H38" s="108" t="s">
        <v>477</v>
      </c>
      <c r="I38" s="108" t="s">
        <v>1642</v>
      </c>
      <c r="J38" s="108" t="s">
        <v>478</v>
      </c>
      <c r="K38" s="54"/>
      <c r="Q38" s="4"/>
      <c r="R38" s="4"/>
      <c r="AD38" s="4"/>
      <c r="AE38" s="4"/>
    </row>
    <row r="39" spans="1:31" ht="57" customHeight="1" x14ac:dyDescent="0.3">
      <c r="A39" s="4">
        <f t="shared" ca="1" si="2"/>
        <v>0</v>
      </c>
      <c r="C39" s="54"/>
      <c r="D39" s="54"/>
      <c r="E39" s="54"/>
      <c r="F39" s="54"/>
      <c r="G39" s="28" t="str">
        <f t="shared" ca="1" si="1"/>
        <v xml:space="preserve">OPTIONAL: Collaboration with other providers and sectors – Private provider engagement in TB/DR-TB care </v>
      </c>
      <c r="H39" s="114" t="s">
        <v>479</v>
      </c>
      <c r="I39" s="108" t="s">
        <v>1643</v>
      </c>
      <c r="J39" s="108" t="s">
        <v>480</v>
      </c>
      <c r="K39" s="54"/>
      <c r="Q39" s="11"/>
      <c r="R39" s="11"/>
    </row>
    <row r="40" spans="1:31" ht="54.65" customHeight="1" x14ac:dyDescent="0.3">
      <c r="A40" s="4" t="str">
        <f t="shared" ca="1" si="2"/>
        <v xml:space="preserve">Carefully read the instructions in the "Instructions" tab before completing the programmatic gap analysis table. 
The instructions have been tailored to each specific module/intervention. </v>
      </c>
      <c r="B40" s="4" t="s">
        <v>373</v>
      </c>
      <c r="C40" s="54" t="s">
        <v>481</v>
      </c>
      <c r="D40" s="54" t="s">
        <v>482</v>
      </c>
      <c r="E40" s="10"/>
      <c r="F40" s="54"/>
      <c r="G40" s="28" t="str">
        <f t="shared" ca="1" si="1"/>
        <v>For countries with large proportion of patients seeking care in the private sector.</v>
      </c>
      <c r="H40" s="108" t="s">
        <v>483</v>
      </c>
      <c r="I40" s="108" t="s">
        <v>484</v>
      </c>
      <c r="J40" s="108" t="s">
        <v>485</v>
      </c>
      <c r="K40" s="54"/>
    </row>
    <row r="41" spans="1:31" ht="45.65" customHeight="1" x14ac:dyDescent="0.3">
      <c r="A41" s="4">
        <f t="shared" ca="1" si="2"/>
        <v>0</v>
      </c>
      <c r="B41" s="10"/>
      <c r="C41" s="10"/>
      <c r="D41" s="10"/>
      <c r="E41" s="54"/>
      <c r="F41" s="54"/>
      <c r="G41" s="28" t="str">
        <f t="shared" ca="1" si="1"/>
        <v>Coverage indicator: 
Percentage of notified patients with all forms of TB (i.e., bacteriologically confirmed + clinically diagnosed) contributed by non-national TB program providers- private/non-governmental facilities; *includes only those with new and relapse TB.</v>
      </c>
      <c r="H41" s="304" t="s">
        <v>1553</v>
      </c>
      <c r="I41" s="304" t="s">
        <v>1644</v>
      </c>
      <c r="J41" s="304" t="s">
        <v>1554</v>
      </c>
      <c r="K41" s="54"/>
    </row>
    <row r="42" spans="1:31" ht="58" customHeight="1" x14ac:dyDescent="0.3">
      <c r="A42" s="4" t="str">
        <f t="shared" ca="1" si="2"/>
        <v>This sheet contains a blank table in the case where the number of tables provided in the previous sheets is not sufficient, or if the applicant wishes to submit a table for a module/intervention/indicator that is not specified in the instructions.
This table is unprotected, therefore formulas in the cells can be changed if required. The table can also be copied if more than one is needed.</v>
      </c>
      <c r="B42" s="53" t="s">
        <v>486</v>
      </c>
      <c r="C42" s="68" t="s">
        <v>487</v>
      </c>
      <c r="D42" s="54" t="s">
        <v>488</v>
      </c>
      <c r="E42" s="54"/>
      <c r="F42" s="54"/>
      <c r="G42" s="28" t="str">
        <f t="shared" ca="1" si="1"/>
        <v xml:space="preserve">Estimated population in need/at risk:
Refers to the estimated number of TB cases that seek care in the private sector (private for-profit and not-for-profit). </v>
      </c>
      <c r="H42" s="108" t="s">
        <v>489</v>
      </c>
      <c r="I42" s="108" t="s">
        <v>490</v>
      </c>
      <c r="J42" s="108" t="s">
        <v>491</v>
      </c>
      <c r="K42" s="54"/>
    </row>
    <row r="43" spans="1:31" ht="154" x14ac:dyDescent="0.3">
      <c r="A43" s="4" t="str">
        <f t="shared" ca="1" si="2"/>
        <v>TB Programmatic Gap Blank Table (if needed,  )</v>
      </c>
      <c r="B43" s="4" t="s">
        <v>1221</v>
      </c>
      <c r="C43" s="54" t="s">
        <v>1220</v>
      </c>
      <c r="D43" s="54" t="s">
        <v>1219</v>
      </c>
      <c r="E43" s="54"/>
      <c r="F43" s="54"/>
      <c r="G43" s="28" t="str">
        <f t="shared" ca="1" si="1"/>
        <v>Country target:
Refers to NSP or any other latest agreed country target.
1) "#" refers to all forms of TB cases (new and relapse) to be notified to national health authorities by the private sector (NGOs and private-for-profit providers). It includes bacteriologically confirmed plus those that are diagnosed using other tests such as X-rays (including digital X-ray, with or without CAD/AI), cytology and clinically diagnosed.
2) "%" refers to the proportion of notified cases from the private sector providers among the total number of TB cases (all forms) notified to the national health authority in the PPM/PPE implementation areas.</v>
      </c>
      <c r="H43" s="108" t="s">
        <v>492</v>
      </c>
      <c r="I43" s="115" t="s">
        <v>1645</v>
      </c>
      <c r="J43" s="108" t="s">
        <v>493</v>
      </c>
    </row>
    <row r="44" spans="1:31" ht="112" x14ac:dyDescent="0.3">
      <c r="A44" s="4" t="str">
        <f t="shared" ca="1" si="2"/>
        <v xml:space="preserve">TB Programmatic Gap Table 8 </v>
      </c>
      <c r="B44" s="4" t="s">
        <v>1243</v>
      </c>
      <c r="C44" s="55" t="s">
        <v>1244</v>
      </c>
      <c r="D44" s="54" t="s">
        <v>1245</v>
      </c>
      <c r="E44" s="54"/>
      <c r="F44" s="54"/>
      <c r="G44" s="28" t="str">
        <f t="shared" ca="1" si="1"/>
        <v xml:space="preserve">Country need already covered:
1) Country need already covered is broken down into need planned to be covered by domestic resources (line C1), and external resources (line C2). 
2) National private sector investments are to be included under domestic sources. 
3) In cases where part of the need during the year is covered by a current Global Fund grant (that ends prior to the start of the new implementation period), it can be included in the external resources category. </v>
      </c>
      <c r="H44" s="108" t="s">
        <v>494</v>
      </c>
      <c r="I44" s="108" t="s">
        <v>1646</v>
      </c>
      <c r="J44" s="108" t="s">
        <v>495</v>
      </c>
    </row>
    <row r="45" spans="1:31" ht="28" x14ac:dyDescent="0.3">
      <c r="A45" s="4" t="str">
        <f t="shared" ca="1" si="2"/>
        <v xml:space="preserve">TB Programmatic Gap Table 9 </v>
      </c>
      <c r="B45" s="4" t="s">
        <v>1246</v>
      </c>
      <c r="C45" s="55" t="s">
        <v>1247</v>
      </c>
      <c r="D45" s="54" t="s">
        <v>1248</v>
      </c>
      <c r="E45" s="54"/>
      <c r="G45" s="28" t="str">
        <f t="shared" ca="1" si="1"/>
        <v>Programmatic gap: 
The programmatic gap is calculated based on total need (line A).</v>
      </c>
      <c r="H45" s="108" t="s">
        <v>274</v>
      </c>
      <c r="I45" s="108" t="s">
        <v>1641</v>
      </c>
      <c r="J45" s="108" t="s">
        <v>476</v>
      </c>
    </row>
    <row r="46" spans="1:31" ht="84" x14ac:dyDescent="0.3">
      <c r="A46" s="4" t="str">
        <f ca="1">OFFSET($B46,0,LangOffset,1,1)</f>
        <v xml:space="preserve">TB Programmatic Gap Table 10 </v>
      </c>
      <c r="B46" s="4" t="s">
        <v>1249</v>
      </c>
      <c r="C46" s="55" t="s">
        <v>1250</v>
      </c>
      <c r="D46" s="54" t="s">
        <v>1251</v>
      </c>
      <c r="G46" s="28" t="str">
        <f t="shared" ca="1" si="1"/>
        <v>Comments/Assumptions:
1) Specify the target geographic area.
2) Specify who are the other sources of funding.
3) Along with the country targets, in the comments column specify the current and targeted treatment success rate for all new TB cases in the private sector over each of the three years.</v>
      </c>
      <c r="H46" s="108" t="s">
        <v>496</v>
      </c>
      <c r="I46" s="108" t="s">
        <v>1647</v>
      </c>
      <c r="J46" s="108" t="s">
        <v>497</v>
      </c>
    </row>
    <row r="47" spans="1:31" ht="28" x14ac:dyDescent="0.3">
      <c r="A47" s="4" t="str">
        <f ca="1">OFFSET($B47,0,LangOffset,1,1)</f>
        <v xml:space="preserve">TB Programmatic Gap Table 11 </v>
      </c>
      <c r="B47" s="4" t="s">
        <v>1252</v>
      </c>
      <c r="C47" s="55" t="s">
        <v>1253</v>
      </c>
      <c r="D47" s="54" t="s">
        <v>1254</v>
      </c>
      <c r="G47" s="28" t="str">
        <f t="shared" ca="1" si="1"/>
        <v>OPTIONAL: Collaboration with other providers and sectors – Community-based TB/DR-TB care</v>
      </c>
      <c r="H47" s="114" t="s">
        <v>498</v>
      </c>
      <c r="I47" s="108" t="s">
        <v>1643</v>
      </c>
      <c r="J47" s="108" t="s">
        <v>499</v>
      </c>
    </row>
    <row r="48" spans="1:31" ht="70" x14ac:dyDescent="0.3">
      <c r="G48" s="28" t="str">
        <f t="shared" ca="1" si="1"/>
        <v>Coverage indicator: 
Percentage of notified patients with all forms of TB (i.e., bacteriologically confirmed + clinically diagnosed) contributed by non-national TB program providers- community referrals; *includes only those with new and relapse TB.</v>
      </c>
      <c r="H48" s="304" t="s">
        <v>1555</v>
      </c>
      <c r="I48" s="304" t="s">
        <v>1648</v>
      </c>
      <c r="J48" s="304" t="s">
        <v>1556</v>
      </c>
    </row>
    <row r="49" spans="1:10" ht="42" x14ac:dyDescent="0.3">
      <c r="A49" s="4">
        <f t="shared" ref="A49:A103" ca="1" si="3">OFFSET($B49,0,LangOffset,1,1)</f>
        <v>0</v>
      </c>
      <c r="G49" s="28" t="str">
        <f t="shared" ca="1" si="1"/>
        <v xml:space="preserve">Estimated population in need/at risk:
Refers to the estimated number of people with confirmed TB who were referred for diagnosis through community referrals. </v>
      </c>
      <c r="H49" s="108" t="s">
        <v>500</v>
      </c>
      <c r="I49" s="108" t="s">
        <v>501</v>
      </c>
      <c r="J49" s="108" t="s">
        <v>502</v>
      </c>
    </row>
    <row r="50" spans="1:10" ht="112" x14ac:dyDescent="0.3">
      <c r="A50" s="4">
        <f t="shared" ca="1" si="3"/>
        <v>0</v>
      </c>
      <c r="G50" s="28" t="str">
        <f t="shared" ca="1" si="1"/>
        <v>Country target:
Refers to NSP or any other latest agreed country target.
1) "#" refers to the number of people with TB (all forms) i.e. bacteriologically confirmed plus clinically diagnosed referred by the community to a health facility for diagnosis.
2) "%" refers to the proportion of the total number of notified people with TB (all forms) that were referred by the community in the reporting period.</v>
      </c>
      <c r="H50" s="108" t="s">
        <v>503</v>
      </c>
      <c r="I50" s="108" t="s">
        <v>1649</v>
      </c>
      <c r="J50" s="108" t="s">
        <v>504</v>
      </c>
    </row>
    <row r="51" spans="1:10" ht="28" x14ac:dyDescent="0.3">
      <c r="A51" s="4">
        <f t="shared" ca="1" si="3"/>
        <v>0</v>
      </c>
      <c r="G51" s="28" t="str">
        <f t="shared" ca="1" si="1"/>
        <v>Programmatic gap: 
The programmatic gap is calculated based on total need (line A)</v>
      </c>
      <c r="H51" s="108" t="s">
        <v>505</v>
      </c>
      <c r="I51" s="108" t="s">
        <v>1641</v>
      </c>
      <c r="J51" s="108" t="s">
        <v>476</v>
      </c>
    </row>
    <row r="52" spans="1:10" ht="42" x14ac:dyDescent="0.3">
      <c r="A52" s="4">
        <f t="shared" ca="1" si="3"/>
        <v>0</v>
      </c>
      <c r="G52" s="28" t="str">
        <f t="shared" ca="1" si="1"/>
        <v>Comments/Assumptions:
1) Specify the target geographic area.
2) Specify who are the other sources of funding.</v>
      </c>
      <c r="H52" s="108" t="s">
        <v>209</v>
      </c>
      <c r="I52" s="108" t="s">
        <v>1630</v>
      </c>
      <c r="J52" s="108" t="s">
        <v>506</v>
      </c>
    </row>
    <row r="53" spans="1:10" ht="56" x14ac:dyDescent="0.3">
      <c r="A53" s="4">
        <f t="shared" ca="1" si="3"/>
        <v>0</v>
      </c>
      <c r="G53" s="28" t="str">
        <f t="shared" ca="1" si="1"/>
        <v>The Modular Framework -  https://www.theglobalfund.org/media/4309/fundingmodel_modularframework_handbook_en.pdf</v>
      </c>
      <c r="H53" s="206" t="s">
        <v>1209</v>
      </c>
      <c r="I53" s="207" t="s">
        <v>1210</v>
      </c>
      <c r="J53" s="207" t="s">
        <v>1211</v>
      </c>
    </row>
    <row r="54" spans="1:10" ht="42" x14ac:dyDescent="0.3">
      <c r="A54" s="4">
        <f t="shared" ca="1" si="3"/>
        <v>0</v>
      </c>
      <c r="G54" s="28" t="str">
        <f t="shared" ca="1" si="1"/>
        <v>Global Fund TB Information Note - https://www.theglobalfund.org/media/4759/core_resilientsustainablesystemsforhealth_infonote_en.pdf</v>
      </c>
      <c r="H54" s="207" t="s">
        <v>1212</v>
      </c>
      <c r="I54" s="207" t="s">
        <v>1213</v>
      </c>
      <c r="J54" s="207" t="s">
        <v>1214</v>
      </c>
    </row>
    <row r="55" spans="1:10" x14ac:dyDescent="0.3">
      <c r="A55" s="4">
        <f t="shared" ca="1" si="3"/>
        <v>0</v>
      </c>
      <c r="G55" s="28">
        <f t="shared" ca="1" si="1"/>
        <v>0</v>
      </c>
    </row>
    <row r="56" spans="1:10" x14ac:dyDescent="0.3">
      <c r="A56" s="4">
        <f t="shared" ca="1" si="3"/>
        <v>0</v>
      </c>
      <c r="G56" s="28">
        <f t="shared" ca="1" si="1"/>
        <v>0</v>
      </c>
    </row>
    <row r="57" spans="1:10" x14ac:dyDescent="0.3">
      <c r="A57" s="4">
        <f t="shared" ca="1" si="3"/>
        <v>0</v>
      </c>
      <c r="G57" s="28">
        <f t="shared" ca="1" si="1"/>
        <v>0</v>
      </c>
    </row>
    <row r="58" spans="1:10" x14ac:dyDescent="0.3">
      <c r="A58" s="4">
        <f t="shared" ca="1" si="3"/>
        <v>0</v>
      </c>
      <c r="G58" s="28">
        <f t="shared" ca="1" si="1"/>
        <v>0</v>
      </c>
    </row>
    <row r="59" spans="1:10" x14ac:dyDescent="0.3">
      <c r="A59" s="4">
        <f t="shared" ca="1" si="3"/>
        <v>0</v>
      </c>
      <c r="G59" s="28">
        <f t="shared" ca="1" si="1"/>
        <v>0</v>
      </c>
    </row>
    <row r="60" spans="1:10" x14ac:dyDescent="0.3">
      <c r="A60" s="4">
        <f t="shared" ca="1" si="3"/>
        <v>0</v>
      </c>
      <c r="G60" s="28">
        <f t="shared" ca="1" si="1"/>
        <v>0</v>
      </c>
    </row>
    <row r="61" spans="1:10" x14ac:dyDescent="0.3">
      <c r="A61" s="4">
        <f t="shared" ca="1" si="3"/>
        <v>0</v>
      </c>
      <c r="G61" s="28">
        <f t="shared" ca="1" si="1"/>
        <v>0</v>
      </c>
    </row>
    <row r="62" spans="1:10" x14ac:dyDescent="0.3">
      <c r="A62" s="4">
        <f t="shared" ca="1" si="3"/>
        <v>0</v>
      </c>
      <c r="G62" s="28">
        <f t="shared" ca="1" si="1"/>
        <v>0</v>
      </c>
    </row>
    <row r="63" spans="1:10" x14ac:dyDescent="0.3">
      <c r="A63" s="4">
        <f t="shared" ca="1" si="3"/>
        <v>0</v>
      </c>
      <c r="G63" s="28">
        <f t="shared" ca="1" si="1"/>
        <v>0</v>
      </c>
    </row>
    <row r="64" spans="1:10" x14ac:dyDescent="0.3">
      <c r="A64" s="4">
        <f t="shared" ca="1" si="3"/>
        <v>0</v>
      </c>
      <c r="G64" s="28">
        <f t="shared" ca="1" si="1"/>
        <v>0</v>
      </c>
    </row>
    <row r="65" spans="1:52" x14ac:dyDescent="0.3">
      <c r="A65" s="4">
        <f t="shared" ca="1" si="3"/>
        <v>0</v>
      </c>
      <c r="G65" s="28">
        <f t="shared" ca="1" si="1"/>
        <v>0</v>
      </c>
    </row>
    <row r="66" spans="1:52" x14ac:dyDescent="0.3">
      <c r="A66" s="4">
        <f t="shared" ca="1" si="3"/>
        <v>0</v>
      </c>
      <c r="G66" s="28">
        <f t="shared" ca="1" si="1"/>
        <v>0</v>
      </c>
      <c r="K66" s="10"/>
      <c r="L66" s="10"/>
      <c r="M66" s="10"/>
      <c r="N66" s="10"/>
      <c r="O66" s="10"/>
      <c r="P66" s="10"/>
      <c r="S66" s="10"/>
      <c r="T66" s="10"/>
      <c r="U66" s="10"/>
      <c r="V66" s="10"/>
      <c r="W66" s="10"/>
      <c r="X66" s="10"/>
      <c r="Y66" s="10"/>
      <c r="Z66" s="10"/>
      <c r="AA66" s="10"/>
      <c r="AD66" s="10"/>
      <c r="AE66" s="10"/>
    </row>
    <row r="67" spans="1:52" x14ac:dyDescent="0.3">
      <c r="A67" s="4">
        <f t="shared" ca="1" si="3"/>
        <v>0</v>
      </c>
      <c r="G67" s="28">
        <f t="shared" ref="G67:G76" ca="1" si="4">OFFSET($H67,0,LangOffset,1,1)</f>
        <v>0</v>
      </c>
      <c r="Q67" s="10"/>
      <c r="R67" s="10"/>
      <c r="AB67" s="10"/>
      <c r="AC67" s="10"/>
      <c r="AF67" s="10"/>
      <c r="AG67" s="10"/>
      <c r="AH67" s="10"/>
      <c r="AI67" s="10"/>
      <c r="AJ67" s="10"/>
      <c r="AK67" s="10"/>
      <c r="AL67" s="10"/>
      <c r="AM67" s="10"/>
      <c r="AN67" s="10"/>
      <c r="AO67" s="10"/>
      <c r="AP67" s="10"/>
      <c r="AQ67" s="10"/>
      <c r="AR67" s="10"/>
      <c r="AS67" s="10"/>
      <c r="AT67" s="10"/>
      <c r="AU67" s="10"/>
      <c r="AV67" s="10"/>
      <c r="AW67" s="10"/>
      <c r="AX67" s="10"/>
      <c r="AY67" s="10"/>
      <c r="AZ67" s="10"/>
    </row>
    <row r="68" spans="1:52" s="10" customFormat="1" x14ac:dyDescent="0.3">
      <c r="A68" s="4">
        <f t="shared" ca="1" si="3"/>
        <v>0</v>
      </c>
      <c r="B68" s="4"/>
      <c r="C68" s="4"/>
      <c r="D68" s="4"/>
      <c r="E68" s="4"/>
      <c r="G68" s="28">
        <f t="shared" ca="1" si="4"/>
        <v>0</v>
      </c>
      <c r="Q68" s="4"/>
      <c r="R68" s="4"/>
      <c r="AB68" s="4"/>
      <c r="AC68" s="4"/>
      <c r="AF68" s="4"/>
      <c r="AG68" s="4"/>
      <c r="AH68" s="4"/>
      <c r="AI68" s="4"/>
      <c r="AJ68" s="4"/>
      <c r="AK68" s="4"/>
      <c r="AL68" s="4"/>
      <c r="AM68" s="4"/>
      <c r="AN68" s="4"/>
      <c r="AO68" s="4"/>
      <c r="AP68" s="4"/>
      <c r="AQ68" s="4"/>
      <c r="AR68" s="4"/>
      <c r="AS68" s="4"/>
      <c r="AT68" s="4"/>
      <c r="AU68" s="4"/>
      <c r="AV68" s="4"/>
      <c r="AW68" s="4"/>
      <c r="AX68" s="4"/>
      <c r="AY68" s="4"/>
      <c r="AZ68" s="4"/>
    </row>
    <row r="69" spans="1:52" x14ac:dyDescent="0.3">
      <c r="A69" s="4">
        <f t="shared" ca="1" si="3"/>
        <v>0</v>
      </c>
      <c r="G69" s="28">
        <f t="shared" ca="1" si="4"/>
        <v>0</v>
      </c>
      <c r="Q69" s="10"/>
      <c r="R69" s="10"/>
      <c r="AB69" s="10"/>
      <c r="AC69" s="10"/>
      <c r="AF69" s="10"/>
      <c r="AG69" s="10"/>
      <c r="AH69" s="10"/>
      <c r="AI69" s="10"/>
      <c r="AJ69" s="10"/>
      <c r="AK69" s="10"/>
      <c r="AL69" s="10"/>
      <c r="AM69" s="10"/>
      <c r="AN69" s="10"/>
      <c r="AO69" s="10"/>
      <c r="AP69" s="10"/>
      <c r="AQ69" s="10"/>
      <c r="AR69" s="10"/>
      <c r="AS69" s="10"/>
      <c r="AT69" s="10"/>
      <c r="AU69" s="10"/>
      <c r="AV69" s="10"/>
      <c r="AW69" s="10"/>
      <c r="AX69" s="10"/>
      <c r="AY69" s="10"/>
      <c r="AZ69" s="10"/>
    </row>
    <row r="70" spans="1:52" s="10" customFormat="1" x14ac:dyDescent="0.3">
      <c r="A70" s="4">
        <f t="shared" ca="1" si="3"/>
        <v>0</v>
      </c>
      <c r="B70" s="4"/>
      <c r="C70" s="4"/>
      <c r="D70" s="4"/>
      <c r="E70" s="4"/>
      <c r="G70" s="28">
        <f t="shared" ca="1" si="4"/>
        <v>0</v>
      </c>
      <c r="K70" s="4"/>
      <c r="L70" s="4"/>
      <c r="M70" s="4"/>
      <c r="N70" s="4"/>
      <c r="O70" s="4"/>
      <c r="P70" s="4"/>
      <c r="Q70" s="4"/>
      <c r="R70" s="4"/>
      <c r="S70" s="4"/>
      <c r="T70" s="4"/>
      <c r="U70" s="4"/>
      <c r="V70" s="4"/>
      <c r="W70" s="4"/>
      <c r="X70" s="4"/>
      <c r="Y70" s="4"/>
      <c r="Z70" s="4"/>
      <c r="AA70" s="4"/>
      <c r="AB70" s="4"/>
      <c r="AC70" s="4"/>
      <c r="AD70" s="4"/>
      <c r="AE70" s="4"/>
      <c r="AF70" s="4"/>
      <c r="AG70" s="4"/>
      <c r="AH70" s="4"/>
      <c r="AI70" s="4"/>
      <c r="AJ70" s="4"/>
      <c r="AK70" s="4"/>
      <c r="AL70" s="4"/>
      <c r="AM70" s="4"/>
      <c r="AN70" s="4"/>
      <c r="AO70" s="4"/>
      <c r="AP70" s="4"/>
      <c r="AQ70" s="4"/>
      <c r="AR70" s="4"/>
      <c r="AS70" s="4"/>
      <c r="AT70" s="4"/>
      <c r="AU70" s="4"/>
      <c r="AV70" s="4"/>
      <c r="AW70" s="4"/>
      <c r="AX70" s="4"/>
      <c r="AY70" s="4"/>
      <c r="AZ70" s="4"/>
    </row>
    <row r="71" spans="1:52" x14ac:dyDescent="0.3">
      <c r="A71" s="4">
        <f t="shared" ca="1" si="3"/>
        <v>0</v>
      </c>
      <c r="G71" s="28">
        <f t="shared" ca="1" si="4"/>
        <v>0</v>
      </c>
    </row>
    <row r="72" spans="1:52" x14ac:dyDescent="0.3">
      <c r="A72" s="4">
        <f t="shared" ca="1" si="3"/>
        <v>0</v>
      </c>
      <c r="G72" s="28">
        <f t="shared" ca="1" si="4"/>
        <v>0</v>
      </c>
    </row>
    <row r="73" spans="1:52" x14ac:dyDescent="0.3">
      <c r="A73" s="4">
        <f t="shared" ca="1" si="3"/>
        <v>0</v>
      </c>
      <c r="G73" s="28">
        <f t="shared" ca="1" si="4"/>
        <v>0</v>
      </c>
    </row>
    <row r="74" spans="1:52" x14ac:dyDescent="0.3">
      <c r="A74" s="4">
        <f t="shared" ca="1" si="3"/>
        <v>0</v>
      </c>
      <c r="G74" s="28">
        <f t="shared" ca="1" si="4"/>
        <v>0</v>
      </c>
    </row>
    <row r="75" spans="1:52" x14ac:dyDescent="0.3">
      <c r="A75" s="4">
        <f t="shared" ca="1" si="3"/>
        <v>0</v>
      </c>
      <c r="G75" s="28">
        <f t="shared" ca="1" si="4"/>
        <v>0</v>
      </c>
    </row>
    <row r="76" spans="1:52" x14ac:dyDescent="0.3">
      <c r="A76" s="4">
        <f t="shared" ca="1" si="3"/>
        <v>0</v>
      </c>
      <c r="G76" s="28">
        <f t="shared" ca="1" si="4"/>
        <v>0</v>
      </c>
    </row>
    <row r="77" spans="1:52" x14ac:dyDescent="0.3">
      <c r="A77" s="4">
        <f t="shared" ca="1" si="3"/>
        <v>0</v>
      </c>
      <c r="G77" s="28">
        <f t="shared" ref="G77:G78" ca="1" si="5">OFFSET($H77,0,LangOffset,1,1)</f>
        <v>0</v>
      </c>
      <c r="I77" s="22"/>
      <c r="J77" s="22"/>
    </row>
    <row r="78" spans="1:52" x14ac:dyDescent="0.3">
      <c r="A78" s="4">
        <f t="shared" ca="1" si="3"/>
        <v>0</v>
      </c>
      <c r="G78" s="28">
        <f t="shared" ca="1" si="5"/>
        <v>0</v>
      </c>
    </row>
    <row r="79" spans="1:52" x14ac:dyDescent="0.3">
      <c r="A79" s="4">
        <f t="shared" ca="1" si="3"/>
        <v>0</v>
      </c>
      <c r="G79" s="28">
        <v>0</v>
      </c>
    </row>
    <row r="80" spans="1:52" x14ac:dyDescent="0.3">
      <c r="A80" s="4">
        <f t="shared" ca="1" si="3"/>
        <v>0</v>
      </c>
      <c r="G80" s="28">
        <f ca="1">OFFSET($H80,0,LangOffset,1,1)</f>
        <v>0</v>
      </c>
    </row>
    <row r="81" spans="1:16" x14ac:dyDescent="0.3">
      <c r="A81" s="4">
        <f t="shared" ca="1" si="3"/>
        <v>0</v>
      </c>
      <c r="G81" s="28">
        <f ca="1">OFFSET($H81,0,LangOffset,1,1)</f>
        <v>0</v>
      </c>
    </row>
    <row r="82" spans="1:16" x14ac:dyDescent="0.3">
      <c r="A82" s="4">
        <f t="shared" ca="1" si="3"/>
        <v>0</v>
      </c>
      <c r="G82" s="28">
        <f ca="1">OFFSET($H82,0,LangOffset,1,1)</f>
        <v>0</v>
      </c>
    </row>
    <row r="83" spans="1:16" x14ac:dyDescent="0.3">
      <c r="A83" s="4">
        <f t="shared" ca="1" si="3"/>
        <v>0</v>
      </c>
      <c r="G83" s="28">
        <f ca="1">OFFSET($H83,0,LangOffset,1,1)</f>
        <v>0</v>
      </c>
    </row>
    <row r="84" spans="1:16" x14ac:dyDescent="0.3">
      <c r="A84" s="4">
        <f t="shared" ca="1" si="3"/>
        <v>0</v>
      </c>
      <c r="G84" s="28">
        <f ca="1">OFFSET($H84,0,LangOffset,1,1)</f>
        <v>0</v>
      </c>
    </row>
    <row r="85" spans="1:16" x14ac:dyDescent="0.3">
      <c r="A85" s="4">
        <f t="shared" ca="1" si="3"/>
        <v>0</v>
      </c>
      <c r="G85" s="28">
        <f t="shared" ref="G85:G131" ca="1" si="6">OFFSET($H85,0,LangOffset,1,1)</f>
        <v>0</v>
      </c>
    </row>
    <row r="86" spans="1:16" x14ac:dyDescent="0.3">
      <c r="A86" s="4">
        <f t="shared" ca="1" si="3"/>
        <v>0</v>
      </c>
      <c r="G86" s="10"/>
      <c r="H86" s="92"/>
      <c r="I86" s="10"/>
      <c r="J86" s="10"/>
      <c r="K86" s="10"/>
      <c r="L86" s="10"/>
      <c r="M86" s="10"/>
      <c r="N86" s="10"/>
      <c r="O86" s="10"/>
      <c r="P86" s="10"/>
    </row>
    <row r="87" spans="1:16" ht="14.5" x14ac:dyDescent="0.3">
      <c r="A87" s="4">
        <f t="shared" ca="1" si="3"/>
        <v>0</v>
      </c>
      <c r="G87" s="4" t="str">
        <f ca="1">OFFSET($H87,0,LangOffset,1,1)</f>
        <v>Please read the Instructions sheet carefully before completing the programmatic gap tables.</v>
      </c>
      <c r="H87" s="22" t="s">
        <v>345</v>
      </c>
      <c r="I87" s="4" t="s">
        <v>346</v>
      </c>
      <c r="J87" s="4" t="s">
        <v>507</v>
      </c>
      <c r="K87" s="36"/>
    </row>
    <row r="88" spans="1:16" ht="14.5" x14ac:dyDescent="0.3">
      <c r="A88" s="4">
        <f t="shared" ca="1" si="3"/>
        <v>0</v>
      </c>
      <c r="G88" s="4" t="str">
        <f ca="1">OFFSET($H88,0,LangOffset,1,1)</f>
        <v>To complete this cover sheet, select from the drop-down lists the Geography and Applicant Type.</v>
      </c>
      <c r="H88" s="22" t="s">
        <v>351</v>
      </c>
      <c r="I88" s="305" t="s">
        <v>1651</v>
      </c>
      <c r="J88" s="4" t="s">
        <v>508</v>
      </c>
      <c r="K88" s="51"/>
    </row>
    <row r="89" spans="1:16" ht="14.5" x14ac:dyDescent="0.3">
      <c r="A89" s="4">
        <f t="shared" ca="1" si="3"/>
        <v>0</v>
      </c>
      <c r="G89" s="4" t="str">
        <f ca="1">OFFSET($H89,0,LangOffset,1,1)</f>
        <v>Applicant</v>
      </c>
      <c r="H89" s="22" t="s">
        <v>357</v>
      </c>
      <c r="I89" s="4" t="s">
        <v>358</v>
      </c>
      <c r="J89" s="4" t="s">
        <v>359</v>
      </c>
      <c r="K89" s="36"/>
    </row>
    <row r="90" spans="1:16" ht="14.5" x14ac:dyDescent="0.3">
      <c r="A90" s="4">
        <f t="shared" ca="1" si="3"/>
        <v>0</v>
      </c>
      <c r="G90" s="4" t="str">
        <f ca="1">OFFSET($H90,0,LangOffset,1,1)</f>
        <v>Component</v>
      </c>
      <c r="H90" s="22" t="s">
        <v>360</v>
      </c>
      <c r="I90" s="4" t="s">
        <v>361</v>
      </c>
      <c r="J90" s="4" t="s">
        <v>362</v>
      </c>
      <c r="K90" s="36"/>
    </row>
    <row r="91" spans="1:16" ht="14.5" x14ac:dyDescent="0.3">
      <c r="A91" s="4">
        <f t="shared" ca="1" si="3"/>
        <v>0</v>
      </c>
      <c r="G91" s="4" t="str">
        <f ca="1">OFFSET($H91,0,LangOffset,1,1)</f>
        <v>Applicant Type</v>
      </c>
      <c r="H91" s="22" t="s">
        <v>363</v>
      </c>
      <c r="I91" s="4" t="s">
        <v>364</v>
      </c>
      <c r="J91" s="4" t="s">
        <v>365</v>
      </c>
      <c r="K91" s="36"/>
    </row>
    <row r="92" spans="1:16" x14ac:dyDescent="0.3">
      <c r="A92" s="4">
        <f t="shared" ca="1" si="3"/>
        <v>0</v>
      </c>
      <c r="G92" s="10"/>
      <c r="H92" s="92"/>
      <c r="I92" s="10"/>
      <c r="J92" s="10"/>
      <c r="K92" s="10"/>
      <c r="L92" s="10"/>
      <c r="M92" s="10"/>
      <c r="N92" s="10"/>
      <c r="O92" s="10"/>
      <c r="P92" s="10"/>
    </row>
    <row r="93" spans="1:16" x14ac:dyDescent="0.3">
      <c r="A93" s="4">
        <f t="shared" ca="1" si="3"/>
        <v>0</v>
      </c>
      <c r="G93" s="4" t="str">
        <f ca="1">OFFSET($H93,0,LangOffset,1,1)</f>
        <v>Latest version updated: 5 January 2023</v>
      </c>
      <c r="H93" s="53" t="s">
        <v>1654</v>
      </c>
      <c r="I93" s="53" t="s">
        <v>1656</v>
      </c>
      <c r="J93" s="53" t="s">
        <v>1657</v>
      </c>
    </row>
    <row r="94" spans="1:16" x14ac:dyDescent="0.3">
      <c r="A94" s="4">
        <f t="shared" ca="1" si="3"/>
        <v>0</v>
      </c>
      <c r="G94" s="10"/>
      <c r="H94" s="92"/>
      <c r="I94" s="10"/>
      <c r="J94" s="10"/>
      <c r="K94" s="10"/>
    </row>
    <row r="95" spans="1:16" ht="70" x14ac:dyDescent="0.3">
      <c r="A95" s="4">
        <f t="shared" ca="1" si="3"/>
        <v>0</v>
      </c>
      <c r="G95" s="4" t="str">
        <f ca="1">OFFSET($H95,0,LangOffset,1,1)</f>
        <v xml:space="preserve">Instructions for filling Tuberculosis and HIV programmatic gap tables. 
Instructions for joint TB/HIV modules are found below, under the HIV Instructions. The TB/HIV modules are found on the "TB-HIV gap tables" tab. </v>
      </c>
      <c r="H95" s="93" t="s">
        <v>509</v>
      </c>
      <c r="I95" s="22" t="s">
        <v>1650</v>
      </c>
      <c r="J95" s="22" t="s">
        <v>510</v>
      </c>
      <c r="K95" s="22"/>
    </row>
    <row r="96" spans="1:16" x14ac:dyDescent="0.3">
      <c r="A96" s="4">
        <f t="shared" ca="1" si="3"/>
        <v>0</v>
      </c>
      <c r="G96" s="4" t="str">
        <f ca="1">OFFSET($H96,0,LangOffset,1,1)</f>
        <v>TB/HIV</v>
      </c>
      <c r="H96" s="22" t="s">
        <v>15</v>
      </c>
      <c r="I96" s="4" t="s">
        <v>1558</v>
      </c>
      <c r="J96" s="4" t="s">
        <v>16</v>
      </c>
    </row>
    <row r="97" spans="1:7" x14ac:dyDescent="0.3">
      <c r="A97" s="4">
        <f t="shared" ca="1" si="3"/>
        <v>0</v>
      </c>
      <c r="G97" s="4">
        <f t="shared" ca="1" si="6"/>
        <v>0</v>
      </c>
    </row>
    <row r="98" spans="1:7" x14ac:dyDescent="0.3">
      <c r="A98" s="4">
        <f t="shared" ca="1" si="3"/>
        <v>0</v>
      </c>
      <c r="G98" s="4">
        <f t="shared" ca="1" si="6"/>
        <v>0</v>
      </c>
    </row>
    <row r="99" spans="1:7" x14ac:dyDescent="0.3">
      <c r="A99" s="4">
        <f t="shared" ca="1" si="3"/>
        <v>0</v>
      </c>
      <c r="G99" s="4">
        <f t="shared" ca="1" si="6"/>
        <v>0</v>
      </c>
    </row>
    <row r="100" spans="1:7" x14ac:dyDescent="0.3">
      <c r="A100" s="4">
        <f t="shared" ca="1" si="3"/>
        <v>0</v>
      </c>
      <c r="G100" s="4">
        <f t="shared" ca="1" si="6"/>
        <v>0</v>
      </c>
    </row>
    <row r="101" spans="1:7" x14ac:dyDescent="0.3">
      <c r="A101" s="4">
        <f t="shared" ca="1" si="3"/>
        <v>0</v>
      </c>
      <c r="G101" s="4">
        <f t="shared" ca="1" si="6"/>
        <v>0</v>
      </c>
    </row>
    <row r="102" spans="1:7" x14ac:dyDescent="0.3">
      <c r="A102" s="4">
        <f t="shared" ca="1" si="3"/>
        <v>0</v>
      </c>
      <c r="G102" s="4">
        <f t="shared" ca="1" si="6"/>
        <v>0</v>
      </c>
    </row>
    <row r="103" spans="1:7" x14ac:dyDescent="0.3">
      <c r="A103" s="4">
        <f t="shared" ca="1" si="3"/>
        <v>0</v>
      </c>
      <c r="G103" s="4">
        <f t="shared" ca="1" si="6"/>
        <v>0</v>
      </c>
    </row>
    <row r="104" spans="1:7" x14ac:dyDescent="0.3">
      <c r="A104" s="4">
        <f t="shared" ref="A104:A167" ca="1" si="7">OFFSET($B104,0,LangOffset,1,1)</f>
        <v>0</v>
      </c>
      <c r="G104" s="4">
        <f t="shared" ca="1" si="6"/>
        <v>0</v>
      </c>
    </row>
    <row r="105" spans="1:7" x14ac:dyDescent="0.3">
      <c r="A105" s="4">
        <f t="shared" ca="1" si="7"/>
        <v>0</v>
      </c>
      <c r="G105" s="4">
        <f t="shared" ca="1" si="6"/>
        <v>0</v>
      </c>
    </row>
    <row r="106" spans="1:7" x14ac:dyDescent="0.3">
      <c r="A106" s="4">
        <f t="shared" ca="1" si="7"/>
        <v>0</v>
      </c>
      <c r="G106" s="4">
        <f t="shared" ca="1" si="6"/>
        <v>0</v>
      </c>
    </row>
    <row r="107" spans="1:7" x14ac:dyDescent="0.3">
      <c r="A107" s="4">
        <f t="shared" ca="1" si="7"/>
        <v>0</v>
      </c>
      <c r="G107" s="4">
        <f t="shared" ca="1" si="6"/>
        <v>0</v>
      </c>
    </row>
    <row r="108" spans="1:7" x14ac:dyDescent="0.3">
      <c r="A108" s="4">
        <f t="shared" ca="1" si="7"/>
        <v>0</v>
      </c>
      <c r="G108" s="4">
        <f t="shared" ca="1" si="6"/>
        <v>0</v>
      </c>
    </row>
    <row r="109" spans="1:7" x14ac:dyDescent="0.3">
      <c r="A109" s="4">
        <f t="shared" ca="1" si="7"/>
        <v>0</v>
      </c>
      <c r="G109" s="4">
        <f t="shared" ca="1" si="6"/>
        <v>0</v>
      </c>
    </row>
    <row r="110" spans="1:7" x14ac:dyDescent="0.3">
      <c r="A110" s="4">
        <f t="shared" ca="1" si="7"/>
        <v>0</v>
      </c>
      <c r="G110" s="4">
        <f t="shared" ca="1" si="6"/>
        <v>0</v>
      </c>
    </row>
    <row r="111" spans="1:7" x14ac:dyDescent="0.3">
      <c r="A111" s="4">
        <f t="shared" ca="1" si="7"/>
        <v>0</v>
      </c>
      <c r="G111" s="4">
        <f t="shared" ca="1" si="6"/>
        <v>0</v>
      </c>
    </row>
    <row r="112" spans="1:7" x14ac:dyDescent="0.3">
      <c r="A112" s="4">
        <f t="shared" ca="1" si="7"/>
        <v>0</v>
      </c>
      <c r="G112" s="4">
        <f t="shared" ca="1" si="6"/>
        <v>0</v>
      </c>
    </row>
    <row r="113" spans="1:7" x14ac:dyDescent="0.3">
      <c r="A113" s="4">
        <f t="shared" ca="1" si="7"/>
        <v>0</v>
      </c>
      <c r="G113" s="4">
        <f t="shared" ca="1" si="6"/>
        <v>0</v>
      </c>
    </row>
    <row r="114" spans="1:7" x14ac:dyDescent="0.3">
      <c r="A114" s="4">
        <f t="shared" ca="1" si="7"/>
        <v>0</v>
      </c>
      <c r="G114" s="4">
        <f t="shared" ca="1" si="6"/>
        <v>0</v>
      </c>
    </row>
    <row r="115" spans="1:7" x14ac:dyDescent="0.3">
      <c r="A115" s="4">
        <f t="shared" ca="1" si="7"/>
        <v>0</v>
      </c>
      <c r="G115" s="4">
        <f t="shared" ca="1" si="6"/>
        <v>0</v>
      </c>
    </row>
    <row r="116" spans="1:7" x14ac:dyDescent="0.3">
      <c r="A116" s="4">
        <f t="shared" ca="1" si="7"/>
        <v>0</v>
      </c>
      <c r="G116" s="4">
        <f t="shared" ca="1" si="6"/>
        <v>0</v>
      </c>
    </row>
    <row r="117" spans="1:7" x14ac:dyDescent="0.3">
      <c r="A117" s="4">
        <f t="shared" ca="1" si="7"/>
        <v>0</v>
      </c>
      <c r="G117" s="4">
        <f t="shared" ca="1" si="6"/>
        <v>0</v>
      </c>
    </row>
    <row r="118" spans="1:7" x14ac:dyDescent="0.3">
      <c r="A118" s="4">
        <f t="shared" ca="1" si="7"/>
        <v>0</v>
      </c>
      <c r="G118" s="4">
        <f t="shared" ca="1" si="6"/>
        <v>0</v>
      </c>
    </row>
    <row r="119" spans="1:7" x14ac:dyDescent="0.3">
      <c r="A119" s="4">
        <f t="shared" ca="1" si="7"/>
        <v>0</v>
      </c>
      <c r="G119" s="4">
        <f t="shared" ca="1" si="6"/>
        <v>0</v>
      </c>
    </row>
    <row r="120" spans="1:7" x14ac:dyDescent="0.3">
      <c r="A120" s="4">
        <f t="shared" ca="1" si="7"/>
        <v>0</v>
      </c>
      <c r="G120" s="4">
        <f t="shared" ca="1" si="6"/>
        <v>0</v>
      </c>
    </row>
    <row r="121" spans="1:7" x14ac:dyDescent="0.3">
      <c r="A121" s="4">
        <f t="shared" ca="1" si="7"/>
        <v>0</v>
      </c>
      <c r="G121" s="4">
        <f t="shared" ca="1" si="6"/>
        <v>0</v>
      </c>
    </row>
    <row r="122" spans="1:7" x14ac:dyDescent="0.3">
      <c r="A122" s="4">
        <f t="shared" ca="1" si="7"/>
        <v>0</v>
      </c>
      <c r="G122" s="4">
        <f t="shared" ca="1" si="6"/>
        <v>0</v>
      </c>
    </row>
    <row r="123" spans="1:7" x14ac:dyDescent="0.3">
      <c r="A123" s="4">
        <f t="shared" ca="1" si="7"/>
        <v>0</v>
      </c>
      <c r="G123" s="4">
        <f t="shared" ca="1" si="6"/>
        <v>0</v>
      </c>
    </row>
    <row r="124" spans="1:7" x14ac:dyDescent="0.3">
      <c r="A124" s="4">
        <f t="shared" ca="1" si="7"/>
        <v>0</v>
      </c>
      <c r="G124" s="4">
        <f t="shared" ca="1" si="6"/>
        <v>0</v>
      </c>
    </row>
    <row r="125" spans="1:7" x14ac:dyDescent="0.3">
      <c r="A125" s="4">
        <f t="shared" ca="1" si="7"/>
        <v>0</v>
      </c>
      <c r="G125" s="4">
        <f t="shared" ca="1" si="6"/>
        <v>0</v>
      </c>
    </row>
    <row r="126" spans="1:7" x14ac:dyDescent="0.3">
      <c r="A126" s="4">
        <f t="shared" ca="1" si="7"/>
        <v>0</v>
      </c>
      <c r="G126" s="4">
        <f t="shared" ca="1" si="6"/>
        <v>0</v>
      </c>
    </row>
    <row r="127" spans="1:7" x14ac:dyDescent="0.3">
      <c r="A127" s="4">
        <f t="shared" ca="1" si="7"/>
        <v>0</v>
      </c>
      <c r="G127" s="4">
        <f t="shared" ca="1" si="6"/>
        <v>0</v>
      </c>
    </row>
    <row r="128" spans="1:7" x14ac:dyDescent="0.3">
      <c r="A128" s="4">
        <f t="shared" ca="1" si="7"/>
        <v>0</v>
      </c>
      <c r="G128" s="4">
        <f t="shared" ca="1" si="6"/>
        <v>0</v>
      </c>
    </row>
    <row r="129" spans="1:7" x14ac:dyDescent="0.3">
      <c r="A129" s="4">
        <f t="shared" ca="1" si="7"/>
        <v>0</v>
      </c>
      <c r="G129" s="4">
        <f t="shared" ca="1" si="6"/>
        <v>0</v>
      </c>
    </row>
    <row r="130" spans="1:7" x14ac:dyDescent="0.3">
      <c r="A130" s="4">
        <f t="shared" ca="1" si="7"/>
        <v>0</v>
      </c>
      <c r="G130" s="4">
        <f t="shared" ca="1" si="6"/>
        <v>0</v>
      </c>
    </row>
    <row r="131" spans="1:7" x14ac:dyDescent="0.3">
      <c r="A131" s="4">
        <f t="shared" ca="1" si="7"/>
        <v>0</v>
      </c>
      <c r="G131" s="4">
        <f t="shared" ca="1" si="6"/>
        <v>0</v>
      </c>
    </row>
    <row r="132" spans="1:7" x14ac:dyDescent="0.3">
      <c r="A132" s="4">
        <f t="shared" ca="1" si="7"/>
        <v>0</v>
      </c>
      <c r="G132" s="4">
        <f t="shared" ref="G132:G195" ca="1" si="8">OFFSET($H132,0,LangOffset,1,1)</f>
        <v>0</v>
      </c>
    </row>
    <row r="133" spans="1:7" x14ac:dyDescent="0.3">
      <c r="A133" s="4">
        <f t="shared" ca="1" si="7"/>
        <v>0</v>
      </c>
      <c r="G133" s="4">
        <f t="shared" ca="1" si="8"/>
        <v>0</v>
      </c>
    </row>
    <row r="134" spans="1:7" x14ac:dyDescent="0.3">
      <c r="A134" s="4">
        <f t="shared" ca="1" si="7"/>
        <v>0</v>
      </c>
      <c r="G134" s="4">
        <f t="shared" ca="1" si="8"/>
        <v>0</v>
      </c>
    </row>
    <row r="135" spans="1:7" x14ac:dyDescent="0.3">
      <c r="A135" s="4">
        <f t="shared" ca="1" si="7"/>
        <v>0</v>
      </c>
      <c r="G135" s="4">
        <f t="shared" ca="1" si="8"/>
        <v>0</v>
      </c>
    </row>
    <row r="136" spans="1:7" x14ac:dyDescent="0.3">
      <c r="A136" s="4">
        <f t="shared" ca="1" si="7"/>
        <v>0</v>
      </c>
      <c r="G136" s="4">
        <f t="shared" ca="1" si="8"/>
        <v>0</v>
      </c>
    </row>
    <row r="137" spans="1:7" x14ac:dyDescent="0.3">
      <c r="A137" s="4">
        <f t="shared" ca="1" si="7"/>
        <v>0</v>
      </c>
      <c r="G137" s="4">
        <f t="shared" ca="1" si="8"/>
        <v>0</v>
      </c>
    </row>
    <row r="138" spans="1:7" x14ac:dyDescent="0.3">
      <c r="A138" s="4">
        <f t="shared" ca="1" si="7"/>
        <v>0</v>
      </c>
      <c r="G138" s="4">
        <f t="shared" ca="1" si="8"/>
        <v>0</v>
      </c>
    </row>
    <row r="139" spans="1:7" x14ac:dyDescent="0.3">
      <c r="A139" s="4">
        <f t="shared" ca="1" si="7"/>
        <v>0</v>
      </c>
      <c r="G139" s="4">
        <f t="shared" ca="1" si="8"/>
        <v>0</v>
      </c>
    </row>
    <row r="140" spans="1:7" x14ac:dyDescent="0.3">
      <c r="A140" s="4">
        <f t="shared" ca="1" si="7"/>
        <v>0</v>
      </c>
      <c r="G140" s="4">
        <f t="shared" ca="1" si="8"/>
        <v>0</v>
      </c>
    </row>
    <row r="141" spans="1:7" x14ac:dyDescent="0.3">
      <c r="A141" s="4">
        <f t="shared" ca="1" si="7"/>
        <v>0</v>
      </c>
      <c r="G141" s="4">
        <f t="shared" ca="1" si="8"/>
        <v>0</v>
      </c>
    </row>
    <row r="142" spans="1:7" x14ac:dyDescent="0.3">
      <c r="A142" s="4">
        <f t="shared" ca="1" si="7"/>
        <v>0</v>
      </c>
      <c r="G142" s="4">
        <f t="shared" ca="1" si="8"/>
        <v>0</v>
      </c>
    </row>
    <row r="143" spans="1:7" x14ac:dyDescent="0.3">
      <c r="A143" s="4">
        <f t="shared" ca="1" si="7"/>
        <v>0</v>
      </c>
      <c r="G143" s="4">
        <f t="shared" ca="1" si="8"/>
        <v>0</v>
      </c>
    </row>
    <row r="144" spans="1:7" x14ac:dyDescent="0.3">
      <c r="A144" s="4">
        <f t="shared" ca="1" si="7"/>
        <v>0</v>
      </c>
      <c r="G144" s="4">
        <f t="shared" ca="1" si="8"/>
        <v>0</v>
      </c>
    </row>
    <row r="145" spans="1:7" x14ac:dyDescent="0.3">
      <c r="A145" s="4">
        <f t="shared" ca="1" si="7"/>
        <v>0</v>
      </c>
      <c r="G145" s="4">
        <f t="shared" ca="1" si="8"/>
        <v>0</v>
      </c>
    </row>
    <row r="146" spans="1:7" x14ac:dyDescent="0.3">
      <c r="A146" s="4">
        <f t="shared" ca="1" si="7"/>
        <v>0</v>
      </c>
      <c r="G146" s="4">
        <f t="shared" ca="1" si="8"/>
        <v>0</v>
      </c>
    </row>
    <row r="147" spans="1:7" x14ac:dyDescent="0.3">
      <c r="A147" s="4">
        <f t="shared" ca="1" si="7"/>
        <v>0</v>
      </c>
      <c r="G147" s="4">
        <f t="shared" ca="1" si="8"/>
        <v>0</v>
      </c>
    </row>
    <row r="148" spans="1:7" x14ac:dyDescent="0.3">
      <c r="A148" s="4">
        <f t="shared" ca="1" si="7"/>
        <v>0</v>
      </c>
      <c r="G148" s="4">
        <f t="shared" ca="1" si="8"/>
        <v>0</v>
      </c>
    </row>
    <row r="149" spans="1:7" x14ac:dyDescent="0.3">
      <c r="A149" s="4">
        <f t="shared" ca="1" si="7"/>
        <v>0</v>
      </c>
      <c r="G149" s="4">
        <f t="shared" ca="1" si="8"/>
        <v>0</v>
      </c>
    </row>
    <row r="150" spans="1:7" x14ac:dyDescent="0.3">
      <c r="A150" s="4">
        <f t="shared" ca="1" si="7"/>
        <v>0</v>
      </c>
      <c r="G150" s="4">
        <f t="shared" ca="1" si="8"/>
        <v>0</v>
      </c>
    </row>
    <row r="151" spans="1:7" x14ac:dyDescent="0.3">
      <c r="A151" s="4">
        <f t="shared" ca="1" si="7"/>
        <v>0</v>
      </c>
      <c r="G151" s="4">
        <f t="shared" ca="1" si="8"/>
        <v>0</v>
      </c>
    </row>
    <row r="152" spans="1:7" x14ac:dyDescent="0.3">
      <c r="A152" s="4">
        <f t="shared" ca="1" si="7"/>
        <v>0</v>
      </c>
      <c r="G152" s="4">
        <f t="shared" ca="1" si="8"/>
        <v>0</v>
      </c>
    </row>
    <row r="153" spans="1:7" x14ac:dyDescent="0.3">
      <c r="A153" s="4">
        <f t="shared" ca="1" si="7"/>
        <v>0</v>
      </c>
      <c r="G153" s="4">
        <f t="shared" ca="1" si="8"/>
        <v>0</v>
      </c>
    </row>
    <row r="154" spans="1:7" x14ac:dyDescent="0.3">
      <c r="A154" s="4">
        <f t="shared" ca="1" si="7"/>
        <v>0</v>
      </c>
      <c r="G154" s="4">
        <f t="shared" ca="1" si="8"/>
        <v>0</v>
      </c>
    </row>
    <row r="155" spans="1:7" x14ac:dyDescent="0.3">
      <c r="A155" s="4">
        <f t="shared" ca="1" si="7"/>
        <v>0</v>
      </c>
      <c r="G155" s="4">
        <f t="shared" ca="1" si="8"/>
        <v>0</v>
      </c>
    </row>
    <row r="156" spans="1:7" x14ac:dyDescent="0.3">
      <c r="A156" s="4">
        <f t="shared" ca="1" si="7"/>
        <v>0</v>
      </c>
      <c r="G156" s="4">
        <f t="shared" ca="1" si="8"/>
        <v>0</v>
      </c>
    </row>
    <row r="157" spans="1:7" x14ac:dyDescent="0.3">
      <c r="A157" s="4">
        <f t="shared" ca="1" si="7"/>
        <v>0</v>
      </c>
      <c r="G157" s="4">
        <f t="shared" ca="1" si="8"/>
        <v>0</v>
      </c>
    </row>
    <row r="158" spans="1:7" x14ac:dyDescent="0.3">
      <c r="A158" s="4">
        <f t="shared" ca="1" si="7"/>
        <v>0</v>
      </c>
      <c r="G158" s="4">
        <f t="shared" ca="1" si="8"/>
        <v>0</v>
      </c>
    </row>
    <row r="159" spans="1:7" x14ac:dyDescent="0.3">
      <c r="A159" s="4">
        <f t="shared" ca="1" si="7"/>
        <v>0</v>
      </c>
      <c r="G159" s="4">
        <f t="shared" ca="1" si="8"/>
        <v>0</v>
      </c>
    </row>
    <row r="160" spans="1:7" x14ac:dyDescent="0.3">
      <c r="A160" s="4">
        <f t="shared" ca="1" si="7"/>
        <v>0</v>
      </c>
      <c r="G160" s="4">
        <f t="shared" ca="1" si="8"/>
        <v>0</v>
      </c>
    </row>
    <row r="161" spans="1:7" x14ac:dyDescent="0.3">
      <c r="A161" s="4">
        <f t="shared" ca="1" si="7"/>
        <v>0</v>
      </c>
      <c r="G161" s="4">
        <f t="shared" ca="1" si="8"/>
        <v>0</v>
      </c>
    </row>
    <row r="162" spans="1:7" x14ac:dyDescent="0.3">
      <c r="A162" s="4">
        <f t="shared" ca="1" si="7"/>
        <v>0</v>
      </c>
      <c r="G162" s="4">
        <f t="shared" ca="1" si="8"/>
        <v>0</v>
      </c>
    </row>
    <row r="163" spans="1:7" x14ac:dyDescent="0.3">
      <c r="A163" s="4">
        <f t="shared" ca="1" si="7"/>
        <v>0</v>
      </c>
      <c r="G163" s="4">
        <f t="shared" ca="1" si="8"/>
        <v>0</v>
      </c>
    </row>
    <row r="164" spans="1:7" x14ac:dyDescent="0.3">
      <c r="A164" s="4">
        <f t="shared" ca="1" si="7"/>
        <v>0</v>
      </c>
      <c r="G164" s="4">
        <f t="shared" ca="1" si="8"/>
        <v>0</v>
      </c>
    </row>
    <row r="165" spans="1:7" x14ac:dyDescent="0.3">
      <c r="A165" s="4">
        <f t="shared" ca="1" si="7"/>
        <v>0</v>
      </c>
      <c r="G165" s="4">
        <f t="shared" ca="1" si="8"/>
        <v>0</v>
      </c>
    </row>
    <row r="166" spans="1:7" x14ac:dyDescent="0.3">
      <c r="A166" s="4">
        <f t="shared" ca="1" si="7"/>
        <v>0</v>
      </c>
      <c r="G166" s="4">
        <f t="shared" ca="1" si="8"/>
        <v>0</v>
      </c>
    </row>
    <row r="167" spans="1:7" x14ac:dyDescent="0.3">
      <c r="A167" s="4">
        <f t="shared" ca="1" si="7"/>
        <v>0</v>
      </c>
      <c r="G167" s="4">
        <f t="shared" ca="1" si="8"/>
        <v>0</v>
      </c>
    </row>
    <row r="168" spans="1:7" x14ac:dyDescent="0.3">
      <c r="A168" s="4">
        <f t="shared" ref="A168:A231" ca="1" si="9">OFFSET($B168,0,LangOffset,1,1)</f>
        <v>0</v>
      </c>
      <c r="G168" s="4">
        <f t="shared" ca="1" si="8"/>
        <v>0</v>
      </c>
    </row>
    <row r="169" spans="1:7" x14ac:dyDescent="0.3">
      <c r="A169" s="4">
        <f t="shared" ca="1" si="9"/>
        <v>0</v>
      </c>
      <c r="G169" s="4">
        <f t="shared" ca="1" si="8"/>
        <v>0</v>
      </c>
    </row>
    <row r="170" spans="1:7" x14ac:dyDescent="0.3">
      <c r="A170" s="4">
        <f t="shared" ca="1" si="9"/>
        <v>0</v>
      </c>
      <c r="G170" s="4">
        <f t="shared" ca="1" si="8"/>
        <v>0</v>
      </c>
    </row>
    <row r="171" spans="1:7" x14ac:dyDescent="0.3">
      <c r="A171" s="4">
        <f t="shared" ca="1" si="9"/>
        <v>0</v>
      </c>
      <c r="G171" s="4">
        <f t="shared" ca="1" si="8"/>
        <v>0</v>
      </c>
    </row>
    <row r="172" spans="1:7" x14ac:dyDescent="0.3">
      <c r="A172" s="4">
        <f t="shared" ca="1" si="9"/>
        <v>0</v>
      </c>
      <c r="G172" s="4">
        <f t="shared" ca="1" si="8"/>
        <v>0</v>
      </c>
    </row>
    <row r="173" spans="1:7" x14ac:dyDescent="0.3">
      <c r="A173" s="4">
        <f t="shared" ca="1" si="9"/>
        <v>0</v>
      </c>
      <c r="G173" s="4">
        <f t="shared" ca="1" si="8"/>
        <v>0</v>
      </c>
    </row>
    <row r="174" spans="1:7" x14ac:dyDescent="0.3">
      <c r="A174" s="4">
        <f t="shared" ca="1" si="9"/>
        <v>0</v>
      </c>
      <c r="G174" s="4">
        <f t="shared" ca="1" si="8"/>
        <v>0</v>
      </c>
    </row>
    <row r="175" spans="1:7" x14ac:dyDescent="0.3">
      <c r="A175" s="4">
        <f t="shared" ca="1" si="9"/>
        <v>0</v>
      </c>
      <c r="G175" s="4">
        <f t="shared" ca="1" si="8"/>
        <v>0</v>
      </c>
    </row>
    <row r="176" spans="1:7" x14ac:dyDescent="0.3">
      <c r="A176" s="4">
        <f t="shared" ca="1" si="9"/>
        <v>0</v>
      </c>
      <c r="G176" s="4">
        <f t="shared" ca="1" si="8"/>
        <v>0</v>
      </c>
    </row>
    <row r="177" spans="1:7" x14ac:dyDescent="0.3">
      <c r="A177" s="4">
        <f t="shared" ca="1" si="9"/>
        <v>0</v>
      </c>
      <c r="G177" s="4">
        <f t="shared" ca="1" si="8"/>
        <v>0</v>
      </c>
    </row>
    <row r="178" spans="1:7" x14ac:dyDescent="0.3">
      <c r="A178" s="4">
        <f t="shared" ca="1" si="9"/>
        <v>0</v>
      </c>
      <c r="G178" s="4">
        <f t="shared" ca="1" si="8"/>
        <v>0</v>
      </c>
    </row>
    <row r="179" spans="1:7" x14ac:dyDescent="0.3">
      <c r="A179" s="4">
        <f t="shared" ca="1" si="9"/>
        <v>0</v>
      </c>
      <c r="G179" s="4">
        <f t="shared" ca="1" si="8"/>
        <v>0</v>
      </c>
    </row>
    <row r="180" spans="1:7" x14ac:dyDescent="0.3">
      <c r="A180" s="4">
        <f t="shared" ca="1" si="9"/>
        <v>0</v>
      </c>
      <c r="G180" s="4">
        <f t="shared" ca="1" si="8"/>
        <v>0</v>
      </c>
    </row>
    <row r="181" spans="1:7" x14ac:dyDescent="0.3">
      <c r="A181" s="4">
        <f t="shared" ca="1" si="9"/>
        <v>0</v>
      </c>
      <c r="G181" s="4">
        <f t="shared" ca="1" si="8"/>
        <v>0</v>
      </c>
    </row>
    <row r="182" spans="1:7" x14ac:dyDescent="0.3">
      <c r="A182" s="4">
        <f t="shared" ca="1" si="9"/>
        <v>0</v>
      </c>
      <c r="G182" s="4">
        <f t="shared" ca="1" si="8"/>
        <v>0</v>
      </c>
    </row>
    <row r="183" spans="1:7" x14ac:dyDescent="0.3">
      <c r="A183" s="4">
        <f t="shared" ca="1" si="9"/>
        <v>0</v>
      </c>
      <c r="G183" s="4">
        <f t="shared" ca="1" si="8"/>
        <v>0</v>
      </c>
    </row>
    <row r="184" spans="1:7" x14ac:dyDescent="0.3">
      <c r="A184" s="4">
        <f t="shared" ca="1" si="9"/>
        <v>0</v>
      </c>
      <c r="G184" s="4">
        <f t="shared" ca="1" si="8"/>
        <v>0</v>
      </c>
    </row>
    <row r="185" spans="1:7" x14ac:dyDescent="0.3">
      <c r="A185" s="4">
        <f t="shared" ca="1" si="9"/>
        <v>0</v>
      </c>
      <c r="G185" s="4">
        <f t="shared" ca="1" si="8"/>
        <v>0</v>
      </c>
    </row>
    <row r="186" spans="1:7" x14ac:dyDescent="0.3">
      <c r="A186" s="4">
        <f t="shared" ca="1" si="9"/>
        <v>0</v>
      </c>
      <c r="G186" s="4">
        <f t="shared" ca="1" si="8"/>
        <v>0</v>
      </c>
    </row>
    <row r="187" spans="1:7" x14ac:dyDescent="0.3">
      <c r="A187" s="4">
        <f t="shared" ca="1" si="9"/>
        <v>0</v>
      </c>
      <c r="G187" s="4">
        <f t="shared" ca="1" si="8"/>
        <v>0</v>
      </c>
    </row>
    <row r="188" spans="1:7" x14ac:dyDescent="0.3">
      <c r="A188" s="4">
        <f t="shared" ca="1" si="9"/>
        <v>0</v>
      </c>
      <c r="G188" s="4">
        <f t="shared" ca="1" si="8"/>
        <v>0</v>
      </c>
    </row>
    <row r="189" spans="1:7" x14ac:dyDescent="0.3">
      <c r="A189" s="4">
        <f t="shared" ca="1" si="9"/>
        <v>0</v>
      </c>
      <c r="G189" s="4">
        <f t="shared" ca="1" si="8"/>
        <v>0</v>
      </c>
    </row>
    <row r="190" spans="1:7" x14ac:dyDescent="0.3">
      <c r="A190" s="4">
        <f t="shared" ca="1" si="9"/>
        <v>0</v>
      </c>
      <c r="G190" s="4">
        <f t="shared" ca="1" si="8"/>
        <v>0</v>
      </c>
    </row>
    <row r="191" spans="1:7" x14ac:dyDescent="0.3">
      <c r="A191" s="4">
        <f t="shared" ca="1" si="9"/>
        <v>0</v>
      </c>
      <c r="G191" s="4">
        <f t="shared" ca="1" si="8"/>
        <v>0</v>
      </c>
    </row>
    <row r="192" spans="1:7" x14ac:dyDescent="0.3">
      <c r="A192" s="4">
        <f t="shared" ca="1" si="9"/>
        <v>0</v>
      </c>
      <c r="G192" s="4">
        <f t="shared" ca="1" si="8"/>
        <v>0</v>
      </c>
    </row>
    <row r="193" spans="1:7" x14ac:dyDescent="0.3">
      <c r="A193" s="4">
        <f t="shared" ca="1" si="9"/>
        <v>0</v>
      </c>
      <c r="G193" s="4">
        <f t="shared" ca="1" si="8"/>
        <v>0</v>
      </c>
    </row>
    <row r="194" spans="1:7" x14ac:dyDescent="0.3">
      <c r="A194" s="4">
        <f t="shared" ca="1" si="9"/>
        <v>0</v>
      </c>
      <c r="G194" s="4">
        <f t="shared" ca="1" si="8"/>
        <v>0</v>
      </c>
    </row>
    <row r="195" spans="1:7" x14ac:dyDescent="0.3">
      <c r="A195" s="4">
        <f t="shared" ca="1" si="9"/>
        <v>0</v>
      </c>
      <c r="G195" s="4">
        <f t="shared" ca="1" si="8"/>
        <v>0</v>
      </c>
    </row>
    <row r="196" spans="1:7" x14ac:dyDescent="0.3">
      <c r="A196" s="4">
        <f t="shared" ca="1" si="9"/>
        <v>0</v>
      </c>
      <c r="G196" s="4">
        <f t="shared" ref="G196:G259" ca="1" si="10">OFFSET($H196,0,LangOffset,1,1)</f>
        <v>0</v>
      </c>
    </row>
    <row r="197" spans="1:7" x14ac:dyDescent="0.3">
      <c r="A197" s="4">
        <f t="shared" ca="1" si="9"/>
        <v>0</v>
      </c>
      <c r="G197" s="4">
        <f t="shared" ca="1" si="10"/>
        <v>0</v>
      </c>
    </row>
    <row r="198" spans="1:7" x14ac:dyDescent="0.3">
      <c r="A198" s="4">
        <f t="shared" ca="1" si="9"/>
        <v>0</v>
      </c>
      <c r="G198" s="4">
        <f t="shared" ca="1" si="10"/>
        <v>0</v>
      </c>
    </row>
    <row r="199" spans="1:7" x14ac:dyDescent="0.3">
      <c r="A199" s="4">
        <f t="shared" ca="1" si="9"/>
        <v>0</v>
      </c>
      <c r="G199" s="4">
        <f t="shared" ca="1" si="10"/>
        <v>0</v>
      </c>
    </row>
    <row r="200" spans="1:7" x14ac:dyDescent="0.3">
      <c r="A200" s="4">
        <f t="shared" ca="1" si="9"/>
        <v>0</v>
      </c>
      <c r="G200" s="4">
        <f t="shared" ca="1" si="10"/>
        <v>0</v>
      </c>
    </row>
    <row r="201" spans="1:7" x14ac:dyDescent="0.3">
      <c r="A201" s="4">
        <f t="shared" ca="1" si="9"/>
        <v>0</v>
      </c>
      <c r="G201" s="4">
        <f t="shared" ca="1" si="10"/>
        <v>0</v>
      </c>
    </row>
    <row r="202" spans="1:7" x14ac:dyDescent="0.3">
      <c r="A202" s="4">
        <f t="shared" ca="1" si="9"/>
        <v>0</v>
      </c>
      <c r="G202" s="4">
        <f t="shared" ca="1" si="10"/>
        <v>0</v>
      </c>
    </row>
    <row r="203" spans="1:7" x14ac:dyDescent="0.3">
      <c r="A203" s="4">
        <f t="shared" ca="1" si="9"/>
        <v>0</v>
      </c>
      <c r="G203" s="4">
        <f t="shared" ca="1" si="10"/>
        <v>0</v>
      </c>
    </row>
    <row r="204" spans="1:7" x14ac:dyDescent="0.3">
      <c r="A204" s="4">
        <f t="shared" ca="1" si="9"/>
        <v>0</v>
      </c>
      <c r="G204" s="4">
        <f t="shared" ca="1" si="10"/>
        <v>0</v>
      </c>
    </row>
    <row r="205" spans="1:7" x14ac:dyDescent="0.3">
      <c r="A205" s="4">
        <f t="shared" ca="1" si="9"/>
        <v>0</v>
      </c>
      <c r="G205" s="4">
        <f t="shared" ca="1" si="10"/>
        <v>0</v>
      </c>
    </row>
    <row r="206" spans="1:7" x14ac:dyDescent="0.3">
      <c r="A206" s="4">
        <f t="shared" ca="1" si="9"/>
        <v>0</v>
      </c>
      <c r="G206" s="4">
        <f t="shared" ca="1" si="10"/>
        <v>0</v>
      </c>
    </row>
    <row r="207" spans="1:7" x14ac:dyDescent="0.3">
      <c r="A207" s="4">
        <f t="shared" ca="1" si="9"/>
        <v>0</v>
      </c>
      <c r="G207" s="4">
        <f t="shared" ca="1" si="10"/>
        <v>0</v>
      </c>
    </row>
    <row r="208" spans="1:7" x14ac:dyDescent="0.3">
      <c r="A208" s="4">
        <f t="shared" ca="1" si="9"/>
        <v>0</v>
      </c>
      <c r="G208" s="4">
        <f t="shared" ca="1" si="10"/>
        <v>0</v>
      </c>
    </row>
    <row r="209" spans="1:7" x14ac:dyDescent="0.3">
      <c r="A209" s="4">
        <f t="shared" ca="1" si="9"/>
        <v>0</v>
      </c>
      <c r="G209" s="4">
        <f t="shared" ca="1" si="10"/>
        <v>0</v>
      </c>
    </row>
    <row r="210" spans="1:7" x14ac:dyDescent="0.3">
      <c r="A210" s="4">
        <f t="shared" ca="1" si="9"/>
        <v>0</v>
      </c>
      <c r="G210" s="4">
        <f t="shared" ca="1" si="10"/>
        <v>0</v>
      </c>
    </row>
    <row r="211" spans="1:7" x14ac:dyDescent="0.3">
      <c r="A211" s="4">
        <f t="shared" ca="1" si="9"/>
        <v>0</v>
      </c>
      <c r="G211" s="4">
        <f t="shared" ca="1" si="10"/>
        <v>0</v>
      </c>
    </row>
    <row r="212" spans="1:7" x14ac:dyDescent="0.3">
      <c r="A212" s="4">
        <f t="shared" ca="1" si="9"/>
        <v>0</v>
      </c>
      <c r="G212" s="4">
        <f t="shared" ca="1" si="10"/>
        <v>0</v>
      </c>
    </row>
    <row r="213" spans="1:7" x14ac:dyDescent="0.3">
      <c r="A213" s="4">
        <f t="shared" ca="1" si="9"/>
        <v>0</v>
      </c>
      <c r="G213" s="4">
        <f t="shared" ca="1" si="10"/>
        <v>0</v>
      </c>
    </row>
    <row r="214" spans="1:7" x14ac:dyDescent="0.3">
      <c r="A214" s="4">
        <f t="shared" ca="1" si="9"/>
        <v>0</v>
      </c>
      <c r="G214" s="4">
        <f t="shared" ca="1" si="10"/>
        <v>0</v>
      </c>
    </row>
    <row r="215" spans="1:7" x14ac:dyDescent="0.3">
      <c r="A215" s="4">
        <f t="shared" ca="1" si="9"/>
        <v>0</v>
      </c>
      <c r="G215" s="4">
        <f t="shared" ca="1" si="10"/>
        <v>0</v>
      </c>
    </row>
    <row r="216" spans="1:7" x14ac:dyDescent="0.3">
      <c r="A216" s="4">
        <f t="shared" ca="1" si="9"/>
        <v>0</v>
      </c>
      <c r="G216" s="4">
        <f t="shared" ca="1" si="10"/>
        <v>0</v>
      </c>
    </row>
    <row r="217" spans="1:7" x14ac:dyDescent="0.3">
      <c r="A217" s="4">
        <f t="shared" ca="1" si="9"/>
        <v>0</v>
      </c>
      <c r="G217" s="4">
        <f t="shared" ca="1" si="10"/>
        <v>0</v>
      </c>
    </row>
    <row r="218" spans="1:7" x14ac:dyDescent="0.3">
      <c r="A218" s="4">
        <f t="shared" ca="1" si="9"/>
        <v>0</v>
      </c>
      <c r="G218" s="4">
        <f t="shared" ca="1" si="10"/>
        <v>0</v>
      </c>
    </row>
    <row r="219" spans="1:7" x14ac:dyDescent="0.3">
      <c r="A219" s="4">
        <f t="shared" ca="1" si="9"/>
        <v>0</v>
      </c>
      <c r="G219" s="4">
        <f t="shared" ca="1" si="10"/>
        <v>0</v>
      </c>
    </row>
    <row r="220" spans="1:7" x14ac:dyDescent="0.3">
      <c r="A220" s="4">
        <f t="shared" ca="1" si="9"/>
        <v>0</v>
      </c>
      <c r="G220" s="4">
        <f t="shared" ca="1" si="10"/>
        <v>0</v>
      </c>
    </row>
    <row r="221" spans="1:7" x14ac:dyDescent="0.3">
      <c r="A221" s="4">
        <f t="shared" ca="1" si="9"/>
        <v>0</v>
      </c>
      <c r="G221" s="4">
        <f t="shared" ca="1" si="10"/>
        <v>0</v>
      </c>
    </row>
    <row r="222" spans="1:7" x14ac:dyDescent="0.3">
      <c r="A222" s="4">
        <f t="shared" ca="1" si="9"/>
        <v>0</v>
      </c>
      <c r="G222" s="4">
        <f t="shared" ca="1" si="10"/>
        <v>0</v>
      </c>
    </row>
    <row r="223" spans="1:7" x14ac:dyDescent="0.3">
      <c r="A223" s="4">
        <f t="shared" ca="1" si="9"/>
        <v>0</v>
      </c>
      <c r="G223" s="4">
        <f t="shared" ca="1" si="10"/>
        <v>0</v>
      </c>
    </row>
    <row r="224" spans="1:7" x14ac:dyDescent="0.3">
      <c r="A224" s="4">
        <f t="shared" ca="1" si="9"/>
        <v>0</v>
      </c>
      <c r="G224" s="4">
        <f t="shared" ca="1" si="10"/>
        <v>0</v>
      </c>
    </row>
    <row r="225" spans="1:7" x14ac:dyDescent="0.3">
      <c r="A225" s="4">
        <f t="shared" ca="1" si="9"/>
        <v>0</v>
      </c>
      <c r="G225" s="4">
        <f t="shared" ca="1" si="10"/>
        <v>0</v>
      </c>
    </row>
    <row r="226" spans="1:7" x14ac:dyDescent="0.3">
      <c r="A226" s="4">
        <f t="shared" ca="1" si="9"/>
        <v>0</v>
      </c>
      <c r="G226" s="4">
        <f t="shared" ca="1" si="10"/>
        <v>0</v>
      </c>
    </row>
    <row r="227" spans="1:7" x14ac:dyDescent="0.3">
      <c r="A227" s="4">
        <f t="shared" ca="1" si="9"/>
        <v>0</v>
      </c>
      <c r="G227" s="4">
        <f t="shared" ca="1" si="10"/>
        <v>0</v>
      </c>
    </row>
    <row r="228" spans="1:7" x14ac:dyDescent="0.3">
      <c r="A228" s="4">
        <f t="shared" ca="1" si="9"/>
        <v>0</v>
      </c>
      <c r="G228" s="4">
        <f t="shared" ca="1" si="10"/>
        <v>0</v>
      </c>
    </row>
    <row r="229" spans="1:7" x14ac:dyDescent="0.3">
      <c r="A229" s="4">
        <f t="shared" ca="1" si="9"/>
        <v>0</v>
      </c>
      <c r="G229" s="4">
        <f t="shared" ca="1" si="10"/>
        <v>0</v>
      </c>
    </row>
    <row r="230" spans="1:7" x14ac:dyDescent="0.3">
      <c r="A230" s="4">
        <f t="shared" ca="1" si="9"/>
        <v>0</v>
      </c>
      <c r="G230" s="4">
        <f t="shared" ca="1" si="10"/>
        <v>0</v>
      </c>
    </row>
    <row r="231" spans="1:7" x14ac:dyDescent="0.3">
      <c r="A231" s="4">
        <f t="shared" ca="1" si="9"/>
        <v>0</v>
      </c>
      <c r="G231" s="4">
        <f t="shared" ca="1" si="10"/>
        <v>0</v>
      </c>
    </row>
    <row r="232" spans="1:7" x14ac:dyDescent="0.3">
      <c r="A232" s="4">
        <f t="shared" ref="A232:A295" ca="1" si="11">OFFSET($B232,0,LangOffset,1,1)</f>
        <v>0</v>
      </c>
      <c r="G232" s="4">
        <f t="shared" ca="1" si="10"/>
        <v>0</v>
      </c>
    </row>
    <row r="233" spans="1:7" x14ac:dyDescent="0.3">
      <c r="A233" s="4">
        <f t="shared" ca="1" si="11"/>
        <v>0</v>
      </c>
      <c r="G233" s="4">
        <f t="shared" ca="1" si="10"/>
        <v>0</v>
      </c>
    </row>
    <row r="234" spans="1:7" x14ac:dyDescent="0.3">
      <c r="A234" s="4">
        <f t="shared" ca="1" si="11"/>
        <v>0</v>
      </c>
      <c r="G234" s="4">
        <f t="shared" ca="1" si="10"/>
        <v>0</v>
      </c>
    </row>
    <row r="235" spans="1:7" x14ac:dyDescent="0.3">
      <c r="A235" s="4">
        <f t="shared" ca="1" si="11"/>
        <v>0</v>
      </c>
      <c r="G235" s="4">
        <f t="shared" ca="1" si="10"/>
        <v>0</v>
      </c>
    </row>
    <row r="236" spans="1:7" x14ac:dyDescent="0.3">
      <c r="A236" s="4">
        <f t="shared" ca="1" si="11"/>
        <v>0</v>
      </c>
      <c r="G236" s="4">
        <f t="shared" ca="1" si="10"/>
        <v>0</v>
      </c>
    </row>
    <row r="237" spans="1:7" x14ac:dyDescent="0.3">
      <c r="A237" s="4">
        <f t="shared" ca="1" si="11"/>
        <v>0</v>
      </c>
      <c r="G237" s="4">
        <f t="shared" ca="1" si="10"/>
        <v>0</v>
      </c>
    </row>
    <row r="238" spans="1:7" x14ac:dyDescent="0.3">
      <c r="A238" s="4">
        <f t="shared" ca="1" si="11"/>
        <v>0</v>
      </c>
      <c r="G238" s="4">
        <f t="shared" ca="1" si="10"/>
        <v>0</v>
      </c>
    </row>
    <row r="239" spans="1:7" x14ac:dyDescent="0.3">
      <c r="A239" s="4">
        <f t="shared" ca="1" si="11"/>
        <v>0</v>
      </c>
      <c r="G239" s="4">
        <f t="shared" ca="1" si="10"/>
        <v>0</v>
      </c>
    </row>
    <row r="240" spans="1:7" x14ac:dyDescent="0.3">
      <c r="A240" s="4">
        <f t="shared" ca="1" si="11"/>
        <v>0</v>
      </c>
      <c r="G240" s="4">
        <f t="shared" ca="1" si="10"/>
        <v>0</v>
      </c>
    </row>
    <row r="241" spans="1:7" x14ac:dyDescent="0.3">
      <c r="A241" s="4">
        <f t="shared" ca="1" si="11"/>
        <v>0</v>
      </c>
      <c r="G241" s="4">
        <f t="shared" ca="1" si="10"/>
        <v>0</v>
      </c>
    </row>
    <row r="242" spans="1:7" x14ac:dyDescent="0.3">
      <c r="A242" s="4">
        <f t="shared" ca="1" si="11"/>
        <v>0</v>
      </c>
      <c r="G242" s="4">
        <f t="shared" ca="1" si="10"/>
        <v>0</v>
      </c>
    </row>
    <row r="243" spans="1:7" x14ac:dyDescent="0.3">
      <c r="A243" s="4">
        <f t="shared" ca="1" si="11"/>
        <v>0</v>
      </c>
      <c r="G243" s="4">
        <f t="shared" ca="1" si="10"/>
        <v>0</v>
      </c>
    </row>
    <row r="244" spans="1:7" x14ac:dyDescent="0.3">
      <c r="A244" s="4">
        <f t="shared" ca="1" si="11"/>
        <v>0</v>
      </c>
      <c r="G244" s="4">
        <f t="shared" ca="1" si="10"/>
        <v>0</v>
      </c>
    </row>
    <row r="245" spans="1:7" x14ac:dyDescent="0.3">
      <c r="A245" s="4">
        <f t="shared" ca="1" si="11"/>
        <v>0</v>
      </c>
      <c r="G245" s="4">
        <f t="shared" ca="1" si="10"/>
        <v>0</v>
      </c>
    </row>
    <row r="246" spans="1:7" x14ac:dyDescent="0.3">
      <c r="A246" s="4">
        <f t="shared" ca="1" si="11"/>
        <v>0</v>
      </c>
      <c r="G246" s="4">
        <f t="shared" ca="1" si="10"/>
        <v>0</v>
      </c>
    </row>
    <row r="247" spans="1:7" x14ac:dyDescent="0.3">
      <c r="A247" s="4">
        <f t="shared" ca="1" si="11"/>
        <v>0</v>
      </c>
      <c r="G247" s="4">
        <f t="shared" ca="1" si="10"/>
        <v>0</v>
      </c>
    </row>
    <row r="248" spans="1:7" x14ac:dyDescent="0.3">
      <c r="A248" s="4">
        <f t="shared" ca="1" si="11"/>
        <v>0</v>
      </c>
      <c r="G248" s="4">
        <f t="shared" ca="1" si="10"/>
        <v>0</v>
      </c>
    </row>
    <row r="249" spans="1:7" x14ac:dyDescent="0.3">
      <c r="A249" s="4">
        <f t="shared" ca="1" si="11"/>
        <v>0</v>
      </c>
      <c r="G249" s="4">
        <f t="shared" ca="1" si="10"/>
        <v>0</v>
      </c>
    </row>
    <row r="250" spans="1:7" x14ac:dyDescent="0.3">
      <c r="A250" s="4">
        <f t="shared" ca="1" si="11"/>
        <v>0</v>
      </c>
      <c r="G250" s="4">
        <f t="shared" ca="1" si="10"/>
        <v>0</v>
      </c>
    </row>
    <row r="251" spans="1:7" x14ac:dyDescent="0.3">
      <c r="A251" s="4">
        <f t="shared" ca="1" si="11"/>
        <v>0</v>
      </c>
      <c r="G251" s="4">
        <f t="shared" ca="1" si="10"/>
        <v>0</v>
      </c>
    </row>
    <row r="252" spans="1:7" x14ac:dyDescent="0.3">
      <c r="A252" s="4">
        <f t="shared" ca="1" si="11"/>
        <v>0</v>
      </c>
      <c r="G252" s="4">
        <f t="shared" ca="1" si="10"/>
        <v>0</v>
      </c>
    </row>
    <row r="253" spans="1:7" x14ac:dyDescent="0.3">
      <c r="A253" s="4">
        <f t="shared" ca="1" si="11"/>
        <v>0</v>
      </c>
      <c r="G253" s="4">
        <f t="shared" ca="1" si="10"/>
        <v>0</v>
      </c>
    </row>
    <row r="254" spans="1:7" x14ac:dyDescent="0.3">
      <c r="A254" s="4">
        <f t="shared" ca="1" si="11"/>
        <v>0</v>
      </c>
      <c r="G254" s="4">
        <f t="shared" ca="1" si="10"/>
        <v>0</v>
      </c>
    </row>
    <row r="255" spans="1:7" x14ac:dyDescent="0.3">
      <c r="A255" s="4">
        <f t="shared" ca="1" si="11"/>
        <v>0</v>
      </c>
      <c r="G255" s="4">
        <f t="shared" ca="1" si="10"/>
        <v>0</v>
      </c>
    </row>
    <row r="256" spans="1:7" x14ac:dyDescent="0.3">
      <c r="A256" s="4">
        <f t="shared" ca="1" si="11"/>
        <v>0</v>
      </c>
      <c r="G256" s="4">
        <f t="shared" ca="1" si="10"/>
        <v>0</v>
      </c>
    </row>
    <row r="257" spans="1:7" x14ac:dyDescent="0.3">
      <c r="A257" s="4">
        <f t="shared" ca="1" si="11"/>
        <v>0</v>
      </c>
      <c r="G257" s="4">
        <f t="shared" ca="1" si="10"/>
        <v>0</v>
      </c>
    </row>
    <row r="258" spans="1:7" x14ac:dyDescent="0.3">
      <c r="A258" s="4">
        <f t="shared" ca="1" si="11"/>
        <v>0</v>
      </c>
      <c r="G258" s="4">
        <f t="shared" ca="1" si="10"/>
        <v>0</v>
      </c>
    </row>
    <row r="259" spans="1:7" x14ac:dyDescent="0.3">
      <c r="A259" s="4">
        <f t="shared" ca="1" si="11"/>
        <v>0</v>
      </c>
      <c r="G259" s="4">
        <f t="shared" ca="1" si="10"/>
        <v>0</v>
      </c>
    </row>
    <row r="260" spans="1:7" x14ac:dyDescent="0.3">
      <c r="A260" s="4">
        <f t="shared" ca="1" si="11"/>
        <v>0</v>
      </c>
      <c r="G260" s="4">
        <f t="shared" ref="G260:G323" ca="1" si="12">OFFSET($H260,0,LangOffset,1,1)</f>
        <v>0</v>
      </c>
    </row>
    <row r="261" spans="1:7" x14ac:dyDescent="0.3">
      <c r="A261" s="4">
        <f t="shared" ca="1" si="11"/>
        <v>0</v>
      </c>
      <c r="G261" s="4">
        <f t="shared" ca="1" si="12"/>
        <v>0</v>
      </c>
    </row>
    <row r="262" spans="1:7" x14ac:dyDescent="0.3">
      <c r="A262" s="4">
        <f t="shared" ca="1" si="11"/>
        <v>0</v>
      </c>
      <c r="G262" s="4">
        <f t="shared" ca="1" si="12"/>
        <v>0</v>
      </c>
    </row>
    <row r="263" spans="1:7" x14ac:dyDescent="0.3">
      <c r="A263" s="4">
        <f t="shared" ca="1" si="11"/>
        <v>0</v>
      </c>
      <c r="G263" s="4">
        <f t="shared" ca="1" si="12"/>
        <v>0</v>
      </c>
    </row>
    <row r="264" spans="1:7" x14ac:dyDescent="0.3">
      <c r="A264" s="4">
        <f t="shared" ca="1" si="11"/>
        <v>0</v>
      </c>
      <c r="G264" s="4">
        <f t="shared" ca="1" si="12"/>
        <v>0</v>
      </c>
    </row>
    <row r="265" spans="1:7" x14ac:dyDescent="0.3">
      <c r="A265" s="4">
        <f t="shared" ca="1" si="11"/>
        <v>0</v>
      </c>
      <c r="G265" s="4">
        <f t="shared" ca="1" si="12"/>
        <v>0</v>
      </c>
    </row>
    <row r="266" spans="1:7" x14ac:dyDescent="0.3">
      <c r="A266" s="4">
        <f t="shared" ca="1" si="11"/>
        <v>0</v>
      </c>
      <c r="G266" s="4">
        <f t="shared" ca="1" si="12"/>
        <v>0</v>
      </c>
    </row>
    <row r="267" spans="1:7" x14ac:dyDescent="0.3">
      <c r="A267" s="4">
        <f t="shared" ca="1" si="11"/>
        <v>0</v>
      </c>
      <c r="G267" s="4">
        <f t="shared" ca="1" si="12"/>
        <v>0</v>
      </c>
    </row>
    <row r="268" spans="1:7" x14ac:dyDescent="0.3">
      <c r="A268" s="4">
        <f t="shared" ca="1" si="11"/>
        <v>0</v>
      </c>
      <c r="G268" s="4">
        <f t="shared" ca="1" si="12"/>
        <v>0</v>
      </c>
    </row>
    <row r="269" spans="1:7" x14ac:dyDescent="0.3">
      <c r="A269" s="4">
        <f t="shared" ca="1" si="11"/>
        <v>0</v>
      </c>
      <c r="G269" s="4">
        <f t="shared" ca="1" si="12"/>
        <v>0</v>
      </c>
    </row>
    <row r="270" spans="1:7" x14ac:dyDescent="0.3">
      <c r="A270" s="4">
        <f t="shared" ca="1" si="11"/>
        <v>0</v>
      </c>
      <c r="G270" s="4">
        <f t="shared" ca="1" si="12"/>
        <v>0</v>
      </c>
    </row>
    <row r="271" spans="1:7" x14ac:dyDescent="0.3">
      <c r="A271" s="4">
        <f t="shared" ca="1" si="11"/>
        <v>0</v>
      </c>
      <c r="G271" s="4">
        <f t="shared" ca="1" si="12"/>
        <v>0</v>
      </c>
    </row>
    <row r="272" spans="1:7" x14ac:dyDescent="0.3">
      <c r="A272" s="4">
        <f t="shared" ca="1" si="11"/>
        <v>0</v>
      </c>
      <c r="G272" s="4">
        <f t="shared" ca="1" si="12"/>
        <v>0</v>
      </c>
    </row>
    <row r="273" spans="1:7" x14ac:dyDescent="0.3">
      <c r="A273" s="4">
        <f t="shared" ca="1" si="11"/>
        <v>0</v>
      </c>
      <c r="G273" s="4">
        <f t="shared" ca="1" si="12"/>
        <v>0</v>
      </c>
    </row>
    <row r="274" spans="1:7" x14ac:dyDescent="0.3">
      <c r="A274" s="4">
        <f t="shared" ca="1" si="11"/>
        <v>0</v>
      </c>
      <c r="G274" s="4">
        <f t="shared" ca="1" si="12"/>
        <v>0</v>
      </c>
    </row>
    <row r="275" spans="1:7" x14ac:dyDescent="0.3">
      <c r="A275" s="4">
        <f t="shared" ca="1" si="11"/>
        <v>0</v>
      </c>
      <c r="G275" s="4">
        <f t="shared" ca="1" si="12"/>
        <v>0</v>
      </c>
    </row>
    <row r="276" spans="1:7" x14ac:dyDescent="0.3">
      <c r="A276" s="4">
        <f t="shared" ca="1" si="11"/>
        <v>0</v>
      </c>
      <c r="G276" s="4">
        <f t="shared" ca="1" si="12"/>
        <v>0</v>
      </c>
    </row>
    <row r="277" spans="1:7" x14ac:dyDescent="0.3">
      <c r="A277" s="4">
        <f t="shared" ca="1" si="11"/>
        <v>0</v>
      </c>
      <c r="G277" s="4">
        <f t="shared" ca="1" si="12"/>
        <v>0</v>
      </c>
    </row>
    <row r="278" spans="1:7" x14ac:dyDescent="0.3">
      <c r="A278" s="4">
        <f t="shared" ca="1" si="11"/>
        <v>0</v>
      </c>
      <c r="G278" s="4">
        <f t="shared" ca="1" si="12"/>
        <v>0</v>
      </c>
    </row>
    <row r="279" spans="1:7" x14ac:dyDescent="0.3">
      <c r="A279" s="4">
        <f t="shared" ca="1" si="11"/>
        <v>0</v>
      </c>
      <c r="G279" s="4">
        <f t="shared" ca="1" si="12"/>
        <v>0</v>
      </c>
    </row>
    <row r="280" spans="1:7" x14ac:dyDescent="0.3">
      <c r="A280" s="4">
        <f t="shared" ca="1" si="11"/>
        <v>0</v>
      </c>
      <c r="G280" s="4">
        <f t="shared" ca="1" si="12"/>
        <v>0</v>
      </c>
    </row>
    <row r="281" spans="1:7" x14ac:dyDescent="0.3">
      <c r="A281" s="4">
        <f t="shared" ca="1" si="11"/>
        <v>0</v>
      </c>
      <c r="G281" s="4">
        <f t="shared" ca="1" si="12"/>
        <v>0</v>
      </c>
    </row>
    <row r="282" spans="1:7" x14ac:dyDescent="0.3">
      <c r="A282" s="4">
        <f t="shared" ca="1" si="11"/>
        <v>0</v>
      </c>
      <c r="G282" s="4">
        <f t="shared" ca="1" si="12"/>
        <v>0</v>
      </c>
    </row>
    <row r="283" spans="1:7" x14ac:dyDescent="0.3">
      <c r="A283" s="4">
        <f t="shared" ca="1" si="11"/>
        <v>0</v>
      </c>
      <c r="G283" s="4">
        <f t="shared" ca="1" si="12"/>
        <v>0</v>
      </c>
    </row>
    <row r="284" spans="1:7" x14ac:dyDescent="0.3">
      <c r="A284" s="4">
        <f t="shared" ca="1" si="11"/>
        <v>0</v>
      </c>
      <c r="G284" s="4">
        <f t="shared" ca="1" si="12"/>
        <v>0</v>
      </c>
    </row>
    <row r="285" spans="1:7" x14ac:dyDescent="0.3">
      <c r="A285" s="4">
        <f t="shared" ca="1" si="11"/>
        <v>0</v>
      </c>
      <c r="G285" s="4">
        <f t="shared" ca="1" si="12"/>
        <v>0</v>
      </c>
    </row>
    <row r="286" spans="1:7" x14ac:dyDescent="0.3">
      <c r="A286" s="4">
        <f t="shared" ca="1" si="11"/>
        <v>0</v>
      </c>
      <c r="G286" s="4">
        <f t="shared" ca="1" si="12"/>
        <v>0</v>
      </c>
    </row>
    <row r="287" spans="1:7" x14ac:dyDescent="0.3">
      <c r="A287" s="4">
        <f t="shared" ca="1" si="11"/>
        <v>0</v>
      </c>
      <c r="G287" s="4">
        <f t="shared" ca="1" si="12"/>
        <v>0</v>
      </c>
    </row>
    <row r="288" spans="1:7" x14ac:dyDescent="0.3">
      <c r="A288" s="4">
        <f t="shared" ca="1" si="11"/>
        <v>0</v>
      </c>
      <c r="G288" s="4">
        <f t="shared" ca="1" si="12"/>
        <v>0</v>
      </c>
    </row>
    <row r="289" spans="1:7" x14ac:dyDescent="0.3">
      <c r="A289" s="4">
        <f t="shared" ca="1" si="11"/>
        <v>0</v>
      </c>
      <c r="G289" s="4">
        <f t="shared" ca="1" si="12"/>
        <v>0</v>
      </c>
    </row>
    <row r="290" spans="1:7" x14ac:dyDescent="0.3">
      <c r="A290" s="4">
        <f t="shared" ca="1" si="11"/>
        <v>0</v>
      </c>
      <c r="G290" s="4">
        <f t="shared" ca="1" si="12"/>
        <v>0</v>
      </c>
    </row>
    <row r="291" spans="1:7" x14ac:dyDescent="0.3">
      <c r="A291" s="4">
        <f t="shared" ca="1" si="11"/>
        <v>0</v>
      </c>
      <c r="G291" s="4">
        <f t="shared" ca="1" si="12"/>
        <v>0</v>
      </c>
    </row>
    <row r="292" spans="1:7" x14ac:dyDescent="0.3">
      <c r="A292" s="4">
        <f t="shared" ca="1" si="11"/>
        <v>0</v>
      </c>
      <c r="G292" s="4">
        <f t="shared" ca="1" si="12"/>
        <v>0</v>
      </c>
    </row>
    <row r="293" spans="1:7" x14ac:dyDescent="0.3">
      <c r="A293" s="4">
        <f t="shared" ca="1" si="11"/>
        <v>0</v>
      </c>
      <c r="G293" s="4">
        <f t="shared" ca="1" si="12"/>
        <v>0</v>
      </c>
    </row>
    <row r="294" spans="1:7" x14ac:dyDescent="0.3">
      <c r="A294" s="4">
        <f t="shared" ca="1" si="11"/>
        <v>0</v>
      </c>
      <c r="G294" s="4">
        <f t="shared" ca="1" si="12"/>
        <v>0</v>
      </c>
    </row>
    <row r="295" spans="1:7" x14ac:dyDescent="0.3">
      <c r="A295" s="4">
        <f t="shared" ca="1" si="11"/>
        <v>0</v>
      </c>
      <c r="G295" s="4">
        <f t="shared" ca="1" si="12"/>
        <v>0</v>
      </c>
    </row>
    <row r="296" spans="1:7" x14ac:dyDescent="0.3">
      <c r="A296" s="4">
        <f t="shared" ref="A296:A359" ca="1" si="13">OFFSET($B296,0,LangOffset,1,1)</f>
        <v>0</v>
      </c>
      <c r="G296" s="4">
        <f t="shared" ca="1" si="12"/>
        <v>0</v>
      </c>
    </row>
    <row r="297" spans="1:7" x14ac:dyDescent="0.3">
      <c r="A297" s="4">
        <f t="shared" ca="1" si="13"/>
        <v>0</v>
      </c>
      <c r="G297" s="4">
        <f t="shared" ca="1" si="12"/>
        <v>0</v>
      </c>
    </row>
    <row r="298" spans="1:7" x14ac:dyDescent="0.3">
      <c r="A298" s="4">
        <f t="shared" ca="1" si="13"/>
        <v>0</v>
      </c>
      <c r="G298" s="4">
        <f t="shared" ca="1" si="12"/>
        <v>0</v>
      </c>
    </row>
    <row r="299" spans="1:7" x14ac:dyDescent="0.3">
      <c r="A299" s="4">
        <f t="shared" ca="1" si="13"/>
        <v>0</v>
      </c>
      <c r="G299" s="4">
        <f t="shared" ca="1" si="12"/>
        <v>0</v>
      </c>
    </row>
    <row r="300" spans="1:7" x14ac:dyDescent="0.3">
      <c r="A300" s="4">
        <f t="shared" ca="1" si="13"/>
        <v>0</v>
      </c>
      <c r="G300" s="4">
        <f t="shared" ca="1" si="12"/>
        <v>0</v>
      </c>
    </row>
    <row r="301" spans="1:7" x14ac:dyDescent="0.3">
      <c r="A301" s="4">
        <f t="shared" ca="1" si="13"/>
        <v>0</v>
      </c>
      <c r="G301" s="4">
        <f t="shared" ca="1" si="12"/>
        <v>0</v>
      </c>
    </row>
    <row r="302" spans="1:7" x14ac:dyDescent="0.3">
      <c r="A302" s="4">
        <f t="shared" ca="1" si="13"/>
        <v>0</v>
      </c>
      <c r="G302" s="4">
        <f t="shared" ca="1" si="12"/>
        <v>0</v>
      </c>
    </row>
    <row r="303" spans="1:7" x14ac:dyDescent="0.3">
      <c r="A303" s="4">
        <f t="shared" ca="1" si="13"/>
        <v>0</v>
      </c>
      <c r="G303" s="4">
        <f t="shared" ca="1" si="12"/>
        <v>0</v>
      </c>
    </row>
    <row r="304" spans="1:7" x14ac:dyDescent="0.3">
      <c r="A304" s="4">
        <f t="shared" ca="1" si="13"/>
        <v>0</v>
      </c>
      <c r="G304" s="4">
        <f t="shared" ca="1" si="12"/>
        <v>0</v>
      </c>
    </row>
    <row r="305" spans="1:7" x14ac:dyDescent="0.3">
      <c r="A305" s="4">
        <f t="shared" ca="1" si="13"/>
        <v>0</v>
      </c>
      <c r="G305" s="4">
        <f t="shared" ca="1" si="12"/>
        <v>0</v>
      </c>
    </row>
    <row r="306" spans="1:7" x14ac:dyDescent="0.3">
      <c r="A306" s="4">
        <f t="shared" ca="1" si="13"/>
        <v>0</v>
      </c>
      <c r="G306" s="4">
        <f t="shared" ca="1" si="12"/>
        <v>0</v>
      </c>
    </row>
    <row r="307" spans="1:7" x14ac:dyDescent="0.3">
      <c r="A307" s="4">
        <f t="shared" ca="1" si="13"/>
        <v>0</v>
      </c>
      <c r="G307" s="4">
        <f t="shared" ca="1" si="12"/>
        <v>0</v>
      </c>
    </row>
    <row r="308" spans="1:7" x14ac:dyDescent="0.3">
      <c r="A308" s="4">
        <f t="shared" ca="1" si="13"/>
        <v>0</v>
      </c>
      <c r="G308" s="4">
        <f t="shared" ca="1" si="12"/>
        <v>0</v>
      </c>
    </row>
    <row r="309" spans="1:7" x14ac:dyDescent="0.3">
      <c r="A309" s="4">
        <f t="shared" ca="1" si="13"/>
        <v>0</v>
      </c>
      <c r="G309" s="4">
        <f t="shared" ca="1" si="12"/>
        <v>0</v>
      </c>
    </row>
    <row r="310" spans="1:7" x14ac:dyDescent="0.3">
      <c r="A310" s="4">
        <f t="shared" ca="1" si="13"/>
        <v>0</v>
      </c>
      <c r="G310" s="4">
        <f t="shared" ca="1" si="12"/>
        <v>0</v>
      </c>
    </row>
    <row r="311" spans="1:7" x14ac:dyDescent="0.3">
      <c r="A311" s="4">
        <f t="shared" ca="1" si="13"/>
        <v>0</v>
      </c>
      <c r="G311" s="4">
        <f t="shared" ca="1" si="12"/>
        <v>0</v>
      </c>
    </row>
    <row r="312" spans="1:7" x14ac:dyDescent="0.3">
      <c r="A312" s="4">
        <f t="shared" ca="1" si="13"/>
        <v>0</v>
      </c>
      <c r="G312" s="4">
        <f t="shared" ca="1" si="12"/>
        <v>0</v>
      </c>
    </row>
    <row r="313" spans="1:7" x14ac:dyDescent="0.3">
      <c r="A313" s="4">
        <f t="shared" ca="1" si="13"/>
        <v>0</v>
      </c>
      <c r="G313" s="4">
        <f t="shared" ca="1" si="12"/>
        <v>0</v>
      </c>
    </row>
    <row r="314" spans="1:7" x14ac:dyDescent="0.3">
      <c r="A314" s="4">
        <f t="shared" ca="1" si="13"/>
        <v>0</v>
      </c>
      <c r="G314" s="4">
        <f t="shared" ca="1" si="12"/>
        <v>0</v>
      </c>
    </row>
    <row r="315" spans="1:7" x14ac:dyDescent="0.3">
      <c r="A315" s="4">
        <f t="shared" ca="1" si="13"/>
        <v>0</v>
      </c>
      <c r="G315" s="4">
        <f t="shared" ca="1" si="12"/>
        <v>0</v>
      </c>
    </row>
    <row r="316" spans="1:7" x14ac:dyDescent="0.3">
      <c r="A316" s="4">
        <f t="shared" ca="1" si="13"/>
        <v>0</v>
      </c>
      <c r="G316" s="4">
        <f t="shared" ca="1" si="12"/>
        <v>0</v>
      </c>
    </row>
    <row r="317" spans="1:7" x14ac:dyDescent="0.3">
      <c r="A317" s="4">
        <f t="shared" ca="1" si="13"/>
        <v>0</v>
      </c>
      <c r="G317" s="4">
        <f t="shared" ca="1" si="12"/>
        <v>0</v>
      </c>
    </row>
    <row r="318" spans="1:7" x14ac:dyDescent="0.3">
      <c r="A318" s="4">
        <f t="shared" ca="1" si="13"/>
        <v>0</v>
      </c>
      <c r="G318" s="4">
        <f t="shared" ca="1" si="12"/>
        <v>0</v>
      </c>
    </row>
    <row r="319" spans="1:7" x14ac:dyDescent="0.3">
      <c r="A319" s="4">
        <f t="shared" ca="1" si="13"/>
        <v>0</v>
      </c>
      <c r="G319" s="4">
        <f t="shared" ca="1" si="12"/>
        <v>0</v>
      </c>
    </row>
    <row r="320" spans="1:7" x14ac:dyDescent="0.3">
      <c r="A320" s="4">
        <f t="shared" ca="1" si="13"/>
        <v>0</v>
      </c>
      <c r="G320" s="4">
        <f t="shared" ca="1" si="12"/>
        <v>0</v>
      </c>
    </row>
    <row r="321" spans="1:7" x14ac:dyDescent="0.3">
      <c r="A321" s="4">
        <f t="shared" ca="1" si="13"/>
        <v>0</v>
      </c>
      <c r="G321" s="4">
        <f t="shared" ca="1" si="12"/>
        <v>0</v>
      </c>
    </row>
    <row r="322" spans="1:7" x14ac:dyDescent="0.3">
      <c r="A322" s="4">
        <f t="shared" ca="1" si="13"/>
        <v>0</v>
      </c>
      <c r="G322" s="4">
        <f t="shared" ca="1" si="12"/>
        <v>0</v>
      </c>
    </row>
    <row r="323" spans="1:7" x14ac:dyDescent="0.3">
      <c r="A323" s="4">
        <f t="shared" ca="1" si="13"/>
        <v>0</v>
      </c>
      <c r="G323" s="4">
        <f t="shared" ca="1" si="12"/>
        <v>0</v>
      </c>
    </row>
    <row r="324" spans="1:7" x14ac:dyDescent="0.3">
      <c r="A324" s="4">
        <f t="shared" ca="1" si="13"/>
        <v>0</v>
      </c>
      <c r="G324" s="4">
        <f t="shared" ref="G324:G387" ca="1" si="14">OFFSET($H324,0,LangOffset,1,1)</f>
        <v>0</v>
      </c>
    </row>
    <row r="325" spans="1:7" x14ac:dyDescent="0.3">
      <c r="A325" s="4">
        <f t="shared" ca="1" si="13"/>
        <v>0</v>
      </c>
      <c r="G325" s="4">
        <f t="shared" ca="1" si="14"/>
        <v>0</v>
      </c>
    </row>
    <row r="326" spans="1:7" x14ac:dyDescent="0.3">
      <c r="A326" s="4">
        <f t="shared" ca="1" si="13"/>
        <v>0</v>
      </c>
      <c r="G326" s="4">
        <f t="shared" ca="1" si="14"/>
        <v>0</v>
      </c>
    </row>
    <row r="327" spans="1:7" x14ac:dyDescent="0.3">
      <c r="A327" s="4">
        <f t="shared" ca="1" si="13"/>
        <v>0</v>
      </c>
      <c r="G327" s="4">
        <f t="shared" ca="1" si="14"/>
        <v>0</v>
      </c>
    </row>
    <row r="328" spans="1:7" x14ac:dyDescent="0.3">
      <c r="A328" s="4">
        <f t="shared" ca="1" si="13"/>
        <v>0</v>
      </c>
      <c r="G328" s="4">
        <f t="shared" ca="1" si="14"/>
        <v>0</v>
      </c>
    </row>
    <row r="329" spans="1:7" x14ac:dyDescent="0.3">
      <c r="A329" s="4">
        <f t="shared" ca="1" si="13"/>
        <v>0</v>
      </c>
      <c r="G329" s="4">
        <f t="shared" ca="1" si="14"/>
        <v>0</v>
      </c>
    </row>
    <row r="330" spans="1:7" x14ac:dyDescent="0.3">
      <c r="A330" s="4">
        <f t="shared" ca="1" si="13"/>
        <v>0</v>
      </c>
      <c r="G330" s="4">
        <f t="shared" ca="1" si="14"/>
        <v>0</v>
      </c>
    </row>
    <row r="331" spans="1:7" x14ac:dyDescent="0.3">
      <c r="A331" s="4">
        <f t="shared" ca="1" si="13"/>
        <v>0</v>
      </c>
      <c r="G331" s="4">
        <f t="shared" ca="1" si="14"/>
        <v>0</v>
      </c>
    </row>
    <row r="332" spans="1:7" x14ac:dyDescent="0.3">
      <c r="A332" s="4">
        <f t="shared" ca="1" si="13"/>
        <v>0</v>
      </c>
      <c r="G332" s="4">
        <f t="shared" ca="1" si="14"/>
        <v>0</v>
      </c>
    </row>
    <row r="333" spans="1:7" x14ac:dyDescent="0.3">
      <c r="A333" s="4">
        <f t="shared" ca="1" si="13"/>
        <v>0</v>
      </c>
      <c r="G333" s="4">
        <f t="shared" ca="1" si="14"/>
        <v>0</v>
      </c>
    </row>
    <row r="334" spans="1:7" x14ac:dyDescent="0.3">
      <c r="A334" s="4">
        <f t="shared" ca="1" si="13"/>
        <v>0</v>
      </c>
      <c r="G334" s="4">
        <f t="shared" ca="1" si="14"/>
        <v>0</v>
      </c>
    </row>
    <row r="335" spans="1:7" x14ac:dyDescent="0.3">
      <c r="A335" s="4">
        <f t="shared" ca="1" si="13"/>
        <v>0</v>
      </c>
      <c r="G335" s="4">
        <f t="shared" ca="1" si="14"/>
        <v>0</v>
      </c>
    </row>
    <row r="336" spans="1:7" x14ac:dyDescent="0.3">
      <c r="A336" s="4">
        <f t="shared" ca="1" si="13"/>
        <v>0</v>
      </c>
      <c r="G336" s="4">
        <f t="shared" ca="1" si="14"/>
        <v>0</v>
      </c>
    </row>
    <row r="337" spans="1:7" x14ac:dyDescent="0.3">
      <c r="A337" s="4">
        <f t="shared" ca="1" si="13"/>
        <v>0</v>
      </c>
      <c r="G337" s="4">
        <f t="shared" ca="1" si="14"/>
        <v>0</v>
      </c>
    </row>
    <row r="338" spans="1:7" x14ac:dyDescent="0.3">
      <c r="A338" s="4">
        <f t="shared" ca="1" si="13"/>
        <v>0</v>
      </c>
      <c r="G338" s="4">
        <f t="shared" ca="1" si="14"/>
        <v>0</v>
      </c>
    </row>
    <row r="339" spans="1:7" x14ac:dyDescent="0.3">
      <c r="A339" s="4">
        <f t="shared" ca="1" si="13"/>
        <v>0</v>
      </c>
      <c r="G339" s="4">
        <f t="shared" ca="1" si="14"/>
        <v>0</v>
      </c>
    </row>
    <row r="340" spans="1:7" x14ac:dyDescent="0.3">
      <c r="A340" s="4">
        <f t="shared" ca="1" si="13"/>
        <v>0</v>
      </c>
      <c r="G340" s="4">
        <f t="shared" ca="1" si="14"/>
        <v>0</v>
      </c>
    </row>
    <row r="341" spans="1:7" x14ac:dyDescent="0.3">
      <c r="A341" s="4">
        <f t="shared" ca="1" si="13"/>
        <v>0</v>
      </c>
      <c r="G341" s="4">
        <f t="shared" ca="1" si="14"/>
        <v>0</v>
      </c>
    </row>
    <row r="342" spans="1:7" x14ac:dyDescent="0.3">
      <c r="A342" s="4">
        <f t="shared" ca="1" si="13"/>
        <v>0</v>
      </c>
      <c r="G342" s="4">
        <f t="shared" ca="1" si="14"/>
        <v>0</v>
      </c>
    </row>
    <row r="343" spans="1:7" x14ac:dyDescent="0.3">
      <c r="A343" s="4">
        <f t="shared" ca="1" si="13"/>
        <v>0</v>
      </c>
      <c r="G343" s="4">
        <f t="shared" ca="1" si="14"/>
        <v>0</v>
      </c>
    </row>
    <row r="344" spans="1:7" x14ac:dyDescent="0.3">
      <c r="A344" s="4">
        <f t="shared" ca="1" si="13"/>
        <v>0</v>
      </c>
      <c r="G344" s="4">
        <f t="shared" ca="1" si="14"/>
        <v>0</v>
      </c>
    </row>
    <row r="345" spans="1:7" x14ac:dyDescent="0.3">
      <c r="A345" s="4">
        <f t="shared" ca="1" si="13"/>
        <v>0</v>
      </c>
      <c r="G345" s="4">
        <f t="shared" ca="1" si="14"/>
        <v>0</v>
      </c>
    </row>
    <row r="346" spans="1:7" x14ac:dyDescent="0.3">
      <c r="A346" s="4">
        <f t="shared" ca="1" si="13"/>
        <v>0</v>
      </c>
      <c r="G346" s="4">
        <f t="shared" ca="1" si="14"/>
        <v>0</v>
      </c>
    </row>
    <row r="347" spans="1:7" x14ac:dyDescent="0.3">
      <c r="A347" s="4">
        <f t="shared" ca="1" si="13"/>
        <v>0</v>
      </c>
      <c r="G347" s="4">
        <f t="shared" ca="1" si="14"/>
        <v>0</v>
      </c>
    </row>
    <row r="348" spans="1:7" x14ac:dyDescent="0.3">
      <c r="A348" s="4">
        <f t="shared" ca="1" si="13"/>
        <v>0</v>
      </c>
      <c r="G348" s="4">
        <f t="shared" ca="1" si="14"/>
        <v>0</v>
      </c>
    </row>
    <row r="349" spans="1:7" x14ac:dyDescent="0.3">
      <c r="A349" s="4">
        <f t="shared" ca="1" si="13"/>
        <v>0</v>
      </c>
      <c r="G349" s="4">
        <f t="shared" ca="1" si="14"/>
        <v>0</v>
      </c>
    </row>
    <row r="350" spans="1:7" x14ac:dyDescent="0.3">
      <c r="A350" s="4">
        <f t="shared" ca="1" si="13"/>
        <v>0</v>
      </c>
      <c r="G350" s="4">
        <f t="shared" ca="1" si="14"/>
        <v>0</v>
      </c>
    </row>
    <row r="351" spans="1:7" x14ac:dyDescent="0.3">
      <c r="A351" s="4">
        <f t="shared" ca="1" si="13"/>
        <v>0</v>
      </c>
      <c r="G351" s="4">
        <f t="shared" ca="1" si="14"/>
        <v>0</v>
      </c>
    </row>
    <row r="352" spans="1:7" x14ac:dyDescent="0.3">
      <c r="A352" s="4">
        <f t="shared" ca="1" si="13"/>
        <v>0</v>
      </c>
      <c r="G352" s="4">
        <f t="shared" ca="1" si="14"/>
        <v>0</v>
      </c>
    </row>
    <row r="353" spans="1:7" x14ac:dyDescent="0.3">
      <c r="A353" s="4">
        <f t="shared" ca="1" si="13"/>
        <v>0</v>
      </c>
      <c r="G353" s="4">
        <f t="shared" ca="1" si="14"/>
        <v>0</v>
      </c>
    </row>
    <row r="354" spans="1:7" x14ac:dyDescent="0.3">
      <c r="A354" s="4">
        <f t="shared" ca="1" si="13"/>
        <v>0</v>
      </c>
      <c r="G354" s="4">
        <f t="shared" ca="1" si="14"/>
        <v>0</v>
      </c>
    </row>
    <row r="355" spans="1:7" x14ac:dyDescent="0.3">
      <c r="A355" s="4">
        <f t="shared" ca="1" si="13"/>
        <v>0</v>
      </c>
      <c r="G355" s="4">
        <f t="shared" ca="1" si="14"/>
        <v>0</v>
      </c>
    </row>
    <row r="356" spans="1:7" x14ac:dyDescent="0.3">
      <c r="A356" s="4">
        <f t="shared" ca="1" si="13"/>
        <v>0</v>
      </c>
      <c r="G356" s="4">
        <f t="shared" ca="1" si="14"/>
        <v>0</v>
      </c>
    </row>
    <row r="357" spans="1:7" x14ac:dyDescent="0.3">
      <c r="A357" s="4">
        <f t="shared" ca="1" si="13"/>
        <v>0</v>
      </c>
      <c r="G357" s="4">
        <f t="shared" ca="1" si="14"/>
        <v>0</v>
      </c>
    </row>
    <row r="358" spans="1:7" x14ac:dyDescent="0.3">
      <c r="A358" s="4">
        <f t="shared" ca="1" si="13"/>
        <v>0</v>
      </c>
      <c r="G358" s="4">
        <f t="shared" ca="1" si="14"/>
        <v>0</v>
      </c>
    </row>
    <row r="359" spans="1:7" x14ac:dyDescent="0.3">
      <c r="A359" s="4">
        <f t="shared" ca="1" si="13"/>
        <v>0</v>
      </c>
      <c r="G359" s="4">
        <f t="shared" ca="1" si="14"/>
        <v>0</v>
      </c>
    </row>
    <row r="360" spans="1:7" x14ac:dyDescent="0.3">
      <c r="A360" s="4">
        <f t="shared" ref="A360:A423" ca="1" si="15">OFFSET($B360,0,LangOffset,1,1)</f>
        <v>0</v>
      </c>
      <c r="G360" s="4">
        <f t="shared" ca="1" si="14"/>
        <v>0</v>
      </c>
    </row>
    <row r="361" spans="1:7" x14ac:dyDescent="0.3">
      <c r="A361" s="4">
        <f t="shared" ca="1" si="15"/>
        <v>0</v>
      </c>
      <c r="G361" s="4">
        <f t="shared" ca="1" si="14"/>
        <v>0</v>
      </c>
    </row>
    <row r="362" spans="1:7" x14ac:dyDescent="0.3">
      <c r="A362" s="4">
        <f t="shared" ca="1" si="15"/>
        <v>0</v>
      </c>
      <c r="G362" s="4">
        <f t="shared" ca="1" si="14"/>
        <v>0</v>
      </c>
    </row>
    <row r="363" spans="1:7" x14ac:dyDescent="0.3">
      <c r="A363" s="4">
        <f t="shared" ca="1" si="15"/>
        <v>0</v>
      </c>
      <c r="G363" s="4">
        <f t="shared" ca="1" si="14"/>
        <v>0</v>
      </c>
    </row>
    <row r="364" spans="1:7" x14ac:dyDescent="0.3">
      <c r="A364" s="4">
        <f t="shared" ca="1" si="15"/>
        <v>0</v>
      </c>
      <c r="G364" s="4">
        <f t="shared" ca="1" si="14"/>
        <v>0</v>
      </c>
    </row>
    <row r="365" spans="1:7" x14ac:dyDescent="0.3">
      <c r="A365" s="4">
        <f t="shared" ca="1" si="15"/>
        <v>0</v>
      </c>
      <c r="G365" s="4">
        <f t="shared" ca="1" si="14"/>
        <v>0</v>
      </c>
    </row>
    <row r="366" spans="1:7" x14ac:dyDescent="0.3">
      <c r="A366" s="4">
        <f t="shared" ca="1" si="15"/>
        <v>0</v>
      </c>
      <c r="G366" s="4">
        <f t="shared" ca="1" si="14"/>
        <v>0</v>
      </c>
    </row>
    <row r="367" spans="1:7" x14ac:dyDescent="0.3">
      <c r="A367" s="4">
        <f t="shared" ca="1" si="15"/>
        <v>0</v>
      </c>
      <c r="G367" s="4">
        <f t="shared" ca="1" si="14"/>
        <v>0</v>
      </c>
    </row>
    <row r="368" spans="1:7" x14ac:dyDescent="0.3">
      <c r="A368" s="4">
        <f t="shared" ca="1" si="15"/>
        <v>0</v>
      </c>
      <c r="G368" s="4">
        <f t="shared" ca="1" si="14"/>
        <v>0</v>
      </c>
    </row>
    <row r="369" spans="1:7" x14ac:dyDescent="0.3">
      <c r="A369" s="4">
        <f t="shared" ca="1" si="15"/>
        <v>0</v>
      </c>
      <c r="G369" s="4">
        <f t="shared" ca="1" si="14"/>
        <v>0</v>
      </c>
    </row>
    <row r="370" spans="1:7" x14ac:dyDescent="0.3">
      <c r="A370" s="4">
        <f t="shared" ca="1" si="15"/>
        <v>0</v>
      </c>
      <c r="G370" s="4">
        <f t="shared" ca="1" si="14"/>
        <v>0</v>
      </c>
    </row>
    <row r="371" spans="1:7" x14ac:dyDescent="0.3">
      <c r="A371" s="4">
        <f t="shared" ca="1" si="15"/>
        <v>0</v>
      </c>
      <c r="G371" s="4">
        <f t="shared" ca="1" si="14"/>
        <v>0</v>
      </c>
    </row>
    <row r="372" spans="1:7" x14ac:dyDescent="0.3">
      <c r="A372" s="4">
        <f t="shared" ca="1" si="15"/>
        <v>0</v>
      </c>
      <c r="G372" s="4">
        <f t="shared" ca="1" si="14"/>
        <v>0</v>
      </c>
    </row>
    <row r="373" spans="1:7" x14ac:dyDescent="0.3">
      <c r="A373" s="4">
        <f t="shared" ca="1" si="15"/>
        <v>0</v>
      </c>
      <c r="G373" s="4">
        <f t="shared" ca="1" si="14"/>
        <v>0</v>
      </c>
    </row>
    <row r="374" spans="1:7" x14ac:dyDescent="0.3">
      <c r="A374" s="4">
        <f t="shared" ca="1" si="15"/>
        <v>0</v>
      </c>
      <c r="G374" s="4">
        <f t="shared" ca="1" si="14"/>
        <v>0</v>
      </c>
    </row>
    <row r="375" spans="1:7" x14ac:dyDescent="0.3">
      <c r="A375" s="4">
        <f t="shared" ca="1" si="15"/>
        <v>0</v>
      </c>
      <c r="G375" s="4">
        <f t="shared" ca="1" si="14"/>
        <v>0</v>
      </c>
    </row>
    <row r="376" spans="1:7" x14ac:dyDescent="0.3">
      <c r="A376" s="4">
        <f t="shared" ca="1" si="15"/>
        <v>0</v>
      </c>
      <c r="G376" s="4">
        <f t="shared" ca="1" si="14"/>
        <v>0</v>
      </c>
    </row>
    <row r="377" spans="1:7" x14ac:dyDescent="0.3">
      <c r="A377" s="4">
        <f t="shared" ca="1" si="15"/>
        <v>0</v>
      </c>
      <c r="G377" s="4">
        <f t="shared" ca="1" si="14"/>
        <v>0</v>
      </c>
    </row>
    <row r="378" spans="1:7" x14ac:dyDescent="0.3">
      <c r="A378" s="4">
        <f t="shared" ca="1" si="15"/>
        <v>0</v>
      </c>
      <c r="G378" s="4">
        <f t="shared" ca="1" si="14"/>
        <v>0</v>
      </c>
    </row>
    <row r="379" spans="1:7" x14ac:dyDescent="0.3">
      <c r="A379" s="4">
        <f t="shared" ca="1" si="15"/>
        <v>0</v>
      </c>
      <c r="G379" s="4">
        <f t="shared" ca="1" si="14"/>
        <v>0</v>
      </c>
    </row>
    <row r="380" spans="1:7" x14ac:dyDescent="0.3">
      <c r="A380" s="4">
        <f t="shared" ca="1" si="15"/>
        <v>0</v>
      </c>
      <c r="G380" s="4">
        <f t="shared" ca="1" si="14"/>
        <v>0</v>
      </c>
    </row>
    <row r="381" spans="1:7" x14ac:dyDescent="0.3">
      <c r="A381" s="4">
        <f t="shared" ca="1" si="15"/>
        <v>0</v>
      </c>
      <c r="G381" s="4">
        <f t="shared" ca="1" si="14"/>
        <v>0</v>
      </c>
    </row>
    <row r="382" spans="1:7" x14ac:dyDescent="0.3">
      <c r="A382" s="4">
        <f t="shared" ca="1" si="15"/>
        <v>0</v>
      </c>
      <c r="G382" s="4">
        <f t="shared" ca="1" si="14"/>
        <v>0</v>
      </c>
    </row>
    <row r="383" spans="1:7" x14ac:dyDescent="0.3">
      <c r="A383" s="4">
        <f t="shared" ca="1" si="15"/>
        <v>0</v>
      </c>
      <c r="G383" s="4">
        <f t="shared" ca="1" si="14"/>
        <v>0</v>
      </c>
    </row>
    <row r="384" spans="1:7" x14ac:dyDescent="0.3">
      <c r="A384" s="4">
        <f t="shared" ca="1" si="15"/>
        <v>0</v>
      </c>
      <c r="G384" s="4">
        <f t="shared" ca="1" si="14"/>
        <v>0</v>
      </c>
    </row>
    <row r="385" spans="1:7" x14ac:dyDescent="0.3">
      <c r="A385" s="4">
        <f t="shared" ca="1" si="15"/>
        <v>0</v>
      </c>
      <c r="G385" s="4">
        <f t="shared" ca="1" si="14"/>
        <v>0</v>
      </c>
    </row>
    <row r="386" spans="1:7" x14ac:dyDescent="0.3">
      <c r="A386" s="4">
        <f t="shared" ca="1" si="15"/>
        <v>0</v>
      </c>
      <c r="G386" s="4">
        <f t="shared" ca="1" si="14"/>
        <v>0</v>
      </c>
    </row>
    <row r="387" spans="1:7" x14ac:dyDescent="0.3">
      <c r="A387" s="4">
        <f t="shared" ca="1" si="15"/>
        <v>0</v>
      </c>
      <c r="G387" s="4">
        <f t="shared" ca="1" si="14"/>
        <v>0</v>
      </c>
    </row>
    <row r="388" spans="1:7" x14ac:dyDescent="0.3">
      <c r="A388" s="4">
        <f t="shared" ca="1" si="15"/>
        <v>0</v>
      </c>
      <c r="G388" s="4">
        <f t="shared" ref="G388:G451" ca="1" si="16">OFFSET($H388,0,LangOffset,1,1)</f>
        <v>0</v>
      </c>
    </row>
    <row r="389" spans="1:7" x14ac:dyDescent="0.3">
      <c r="A389" s="4">
        <f t="shared" ca="1" si="15"/>
        <v>0</v>
      </c>
      <c r="G389" s="4">
        <f t="shared" ca="1" si="16"/>
        <v>0</v>
      </c>
    </row>
    <row r="390" spans="1:7" x14ac:dyDescent="0.3">
      <c r="A390" s="4">
        <f t="shared" ca="1" si="15"/>
        <v>0</v>
      </c>
      <c r="G390" s="4">
        <f t="shared" ca="1" si="16"/>
        <v>0</v>
      </c>
    </row>
    <row r="391" spans="1:7" x14ac:dyDescent="0.3">
      <c r="A391" s="4">
        <f t="shared" ca="1" si="15"/>
        <v>0</v>
      </c>
      <c r="G391" s="4">
        <f t="shared" ca="1" si="16"/>
        <v>0</v>
      </c>
    </row>
    <row r="392" spans="1:7" x14ac:dyDescent="0.3">
      <c r="A392" s="4">
        <f t="shared" ca="1" si="15"/>
        <v>0</v>
      </c>
      <c r="G392" s="4">
        <f t="shared" ca="1" si="16"/>
        <v>0</v>
      </c>
    </row>
    <row r="393" spans="1:7" x14ac:dyDescent="0.3">
      <c r="A393" s="4">
        <f t="shared" ca="1" si="15"/>
        <v>0</v>
      </c>
      <c r="G393" s="4">
        <f t="shared" ca="1" si="16"/>
        <v>0</v>
      </c>
    </row>
    <row r="394" spans="1:7" x14ac:dyDescent="0.3">
      <c r="A394" s="4">
        <f t="shared" ca="1" si="15"/>
        <v>0</v>
      </c>
      <c r="G394" s="4">
        <f t="shared" ca="1" si="16"/>
        <v>0</v>
      </c>
    </row>
    <row r="395" spans="1:7" x14ac:dyDescent="0.3">
      <c r="A395" s="4">
        <f t="shared" ca="1" si="15"/>
        <v>0</v>
      </c>
      <c r="G395" s="4">
        <f t="shared" ca="1" si="16"/>
        <v>0</v>
      </c>
    </row>
    <row r="396" spans="1:7" x14ac:dyDescent="0.3">
      <c r="A396" s="4">
        <f t="shared" ca="1" si="15"/>
        <v>0</v>
      </c>
      <c r="G396" s="4">
        <f t="shared" ca="1" si="16"/>
        <v>0</v>
      </c>
    </row>
    <row r="397" spans="1:7" x14ac:dyDescent="0.3">
      <c r="A397" s="4">
        <f t="shared" ca="1" si="15"/>
        <v>0</v>
      </c>
      <c r="G397" s="4">
        <f t="shared" ca="1" si="16"/>
        <v>0</v>
      </c>
    </row>
    <row r="398" spans="1:7" x14ac:dyDescent="0.3">
      <c r="A398" s="4">
        <f t="shared" ca="1" si="15"/>
        <v>0</v>
      </c>
      <c r="G398" s="4">
        <f t="shared" ca="1" si="16"/>
        <v>0</v>
      </c>
    </row>
    <row r="399" spans="1:7" x14ac:dyDescent="0.3">
      <c r="A399" s="4">
        <f t="shared" ca="1" si="15"/>
        <v>0</v>
      </c>
      <c r="G399" s="4">
        <f t="shared" ca="1" si="16"/>
        <v>0</v>
      </c>
    </row>
    <row r="400" spans="1:7" x14ac:dyDescent="0.3">
      <c r="A400" s="4">
        <f t="shared" ca="1" si="15"/>
        <v>0</v>
      </c>
      <c r="G400" s="4">
        <f t="shared" ca="1" si="16"/>
        <v>0</v>
      </c>
    </row>
    <row r="401" spans="1:7" x14ac:dyDescent="0.3">
      <c r="A401" s="4">
        <f t="shared" ca="1" si="15"/>
        <v>0</v>
      </c>
      <c r="G401" s="4">
        <f t="shared" ca="1" si="16"/>
        <v>0</v>
      </c>
    </row>
    <row r="402" spans="1:7" x14ac:dyDescent="0.3">
      <c r="A402" s="4">
        <f t="shared" ca="1" si="15"/>
        <v>0</v>
      </c>
      <c r="G402" s="4">
        <f t="shared" ca="1" si="16"/>
        <v>0</v>
      </c>
    </row>
    <row r="403" spans="1:7" x14ac:dyDescent="0.3">
      <c r="A403" s="4">
        <f t="shared" ca="1" si="15"/>
        <v>0</v>
      </c>
      <c r="G403" s="4">
        <f t="shared" ca="1" si="16"/>
        <v>0</v>
      </c>
    </row>
    <row r="404" spans="1:7" x14ac:dyDescent="0.3">
      <c r="A404" s="4">
        <f t="shared" ca="1" si="15"/>
        <v>0</v>
      </c>
      <c r="G404" s="4">
        <f t="shared" ca="1" si="16"/>
        <v>0</v>
      </c>
    </row>
    <row r="405" spans="1:7" x14ac:dyDescent="0.3">
      <c r="A405" s="4">
        <f t="shared" ca="1" si="15"/>
        <v>0</v>
      </c>
      <c r="G405" s="4">
        <f t="shared" ca="1" si="16"/>
        <v>0</v>
      </c>
    </row>
    <row r="406" spans="1:7" x14ac:dyDescent="0.3">
      <c r="A406" s="4">
        <f t="shared" ca="1" si="15"/>
        <v>0</v>
      </c>
      <c r="G406" s="4">
        <f t="shared" ca="1" si="16"/>
        <v>0</v>
      </c>
    </row>
    <row r="407" spans="1:7" x14ac:dyDescent="0.3">
      <c r="A407" s="4">
        <f t="shared" ca="1" si="15"/>
        <v>0</v>
      </c>
      <c r="G407" s="4">
        <f t="shared" ca="1" si="16"/>
        <v>0</v>
      </c>
    </row>
    <row r="408" spans="1:7" x14ac:dyDescent="0.3">
      <c r="A408" s="4">
        <f t="shared" ca="1" si="15"/>
        <v>0</v>
      </c>
      <c r="G408" s="4">
        <f t="shared" ca="1" si="16"/>
        <v>0</v>
      </c>
    </row>
    <row r="409" spans="1:7" x14ac:dyDescent="0.3">
      <c r="A409" s="4">
        <f t="shared" ca="1" si="15"/>
        <v>0</v>
      </c>
      <c r="G409" s="4">
        <f t="shared" ca="1" si="16"/>
        <v>0</v>
      </c>
    </row>
    <row r="410" spans="1:7" x14ac:dyDescent="0.3">
      <c r="A410" s="4">
        <f t="shared" ca="1" si="15"/>
        <v>0</v>
      </c>
      <c r="G410" s="4">
        <f t="shared" ca="1" si="16"/>
        <v>0</v>
      </c>
    </row>
    <row r="411" spans="1:7" x14ac:dyDescent="0.3">
      <c r="A411" s="4">
        <f t="shared" ca="1" si="15"/>
        <v>0</v>
      </c>
      <c r="G411" s="4">
        <f t="shared" ca="1" si="16"/>
        <v>0</v>
      </c>
    </row>
    <row r="412" spans="1:7" x14ac:dyDescent="0.3">
      <c r="A412" s="4">
        <f t="shared" ca="1" si="15"/>
        <v>0</v>
      </c>
      <c r="G412" s="4">
        <f t="shared" ca="1" si="16"/>
        <v>0</v>
      </c>
    </row>
    <row r="413" spans="1:7" x14ac:dyDescent="0.3">
      <c r="A413" s="4">
        <f t="shared" ca="1" si="15"/>
        <v>0</v>
      </c>
      <c r="G413" s="4">
        <f t="shared" ca="1" si="16"/>
        <v>0</v>
      </c>
    </row>
    <row r="414" spans="1:7" x14ac:dyDescent="0.3">
      <c r="A414" s="4">
        <f t="shared" ca="1" si="15"/>
        <v>0</v>
      </c>
      <c r="G414" s="4">
        <f t="shared" ca="1" si="16"/>
        <v>0</v>
      </c>
    </row>
    <row r="415" spans="1:7" x14ac:dyDescent="0.3">
      <c r="A415" s="4">
        <f t="shared" ca="1" si="15"/>
        <v>0</v>
      </c>
      <c r="G415" s="4">
        <f t="shared" ca="1" si="16"/>
        <v>0</v>
      </c>
    </row>
    <row r="416" spans="1:7" x14ac:dyDescent="0.3">
      <c r="A416" s="4">
        <f t="shared" ca="1" si="15"/>
        <v>0</v>
      </c>
      <c r="G416" s="4">
        <f t="shared" ca="1" si="16"/>
        <v>0</v>
      </c>
    </row>
    <row r="417" spans="1:7" x14ac:dyDescent="0.3">
      <c r="A417" s="4">
        <f t="shared" ca="1" si="15"/>
        <v>0</v>
      </c>
      <c r="G417" s="4">
        <f t="shared" ca="1" si="16"/>
        <v>0</v>
      </c>
    </row>
    <row r="418" spans="1:7" x14ac:dyDescent="0.3">
      <c r="A418" s="4">
        <f t="shared" ca="1" si="15"/>
        <v>0</v>
      </c>
      <c r="G418" s="4">
        <f t="shared" ca="1" si="16"/>
        <v>0</v>
      </c>
    </row>
    <row r="419" spans="1:7" x14ac:dyDescent="0.3">
      <c r="A419" s="4">
        <f t="shared" ca="1" si="15"/>
        <v>0</v>
      </c>
      <c r="G419" s="4">
        <f t="shared" ca="1" si="16"/>
        <v>0</v>
      </c>
    </row>
    <row r="420" spans="1:7" x14ac:dyDescent="0.3">
      <c r="A420" s="4">
        <f t="shared" ca="1" si="15"/>
        <v>0</v>
      </c>
      <c r="G420" s="4">
        <f t="shared" ca="1" si="16"/>
        <v>0</v>
      </c>
    </row>
    <row r="421" spans="1:7" x14ac:dyDescent="0.3">
      <c r="A421" s="4">
        <f t="shared" ca="1" si="15"/>
        <v>0</v>
      </c>
      <c r="G421" s="4">
        <f t="shared" ca="1" si="16"/>
        <v>0</v>
      </c>
    </row>
    <row r="422" spans="1:7" x14ac:dyDescent="0.3">
      <c r="A422" s="4">
        <f t="shared" ca="1" si="15"/>
        <v>0</v>
      </c>
      <c r="G422" s="4">
        <f t="shared" ca="1" si="16"/>
        <v>0</v>
      </c>
    </row>
    <row r="423" spans="1:7" x14ac:dyDescent="0.3">
      <c r="A423" s="4">
        <f t="shared" ca="1" si="15"/>
        <v>0</v>
      </c>
      <c r="G423" s="4">
        <f t="shared" ca="1" si="16"/>
        <v>0</v>
      </c>
    </row>
    <row r="424" spans="1:7" x14ac:dyDescent="0.3">
      <c r="A424" s="4">
        <f t="shared" ref="A424:A487" ca="1" si="17">OFFSET($B424,0,LangOffset,1,1)</f>
        <v>0</v>
      </c>
      <c r="G424" s="4">
        <f t="shared" ca="1" si="16"/>
        <v>0</v>
      </c>
    </row>
    <row r="425" spans="1:7" x14ac:dyDescent="0.3">
      <c r="A425" s="4">
        <f t="shared" ca="1" si="17"/>
        <v>0</v>
      </c>
      <c r="G425" s="4">
        <f t="shared" ca="1" si="16"/>
        <v>0</v>
      </c>
    </row>
    <row r="426" spans="1:7" x14ac:dyDescent="0.3">
      <c r="A426" s="4">
        <f t="shared" ca="1" si="17"/>
        <v>0</v>
      </c>
      <c r="G426" s="4">
        <f t="shared" ca="1" si="16"/>
        <v>0</v>
      </c>
    </row>
    <row r="427" spans="1:7" x14ac:dyDescent="0.3">
      <c r="A427" s="4">
        <f t="shared" ca="1" si="17"/>
        <v>0</v>
      </c>
      <c r="G427" s="4">
        <f t="shared" ca="1" si="16"/>
        <v>0</v>
      </c>
    </row>
    <row r="428" spans="1:7" x14ac:dyDescent="0.3">
      <c r="A428" s="4">
        <f t="shared" ca="1" si="17"/>
        <v>0</v>
      </c>
      <c r="G428" s="4">
        <f t="shared" ca="1" si="16"/>
        <v>0</v>
      </c>
    </row>
    <row r="429" spans="1:7" x14ac:dyDescent="0.3">
      <c r="A429" s="4">
        <f t="shared" ca="1" si="17"/>
        <v>0</v>
      </c>
      <c r="G429" s="4">
        <f t="shared" ca="1" si="16"/>
        <v>0</v>
      </c>
    </row>
    <row r="430" spans="1:7" x14ac:dyDescent="0.3">
      <c r="A430" s="4">
        <f t="shared" ca="1" si="17"/>
        <v>0</v>
      </c>
      <c r="G430" s="4">
        <f t="shared" ca="1" si="16"/>
        <v>0</v>
      </c>
    </row>
    <row r="431" spans="1:7" x14ac:dyDescent="0.3">
      <c r="A431" s="4">
        <f t="shared" ca="1" si="17"/>
        <v>0</v>
      </c>
      <c r="G431" s="4">
        <f t="shared" ca="1" si="16"/>
        <v>0</v>
      </c>
    </row>
    <row r="432" spans="1:7" x14ac:dyDescent="0.3">
      <c r="A432" s="4">
        <f t="shared" ca="1" si="17"/>
        <v>0</v>
      </c>
      <c r="G432" s="4">
        <f t="shared" ca="1" si="16"/>
        <v>0</v>
      </c>
    </row>
    <row r="433" spans="1:7" x14ac:dyDescent="0.3">
      <c r="A433" s="4">
        <f t="shared" ca="1" si="17"/>
        <v>0</v>
      </c>
      <c r="G433" s="4">
        <f t="shared" ca="1" si="16"/>
        <v>0</v>
      </c>
    </row>
    <row r="434" spans="1:7" x14ac:dyDescent="0.3">
      <c r="A434" s="4">
        <f t="shared" ca="1" si="17"/>
        <v>0</v>
      </c>
      <c r="G434" s="4">
        <f t="shared" ca="1" si="16"/>
        <v>0</v>
      </c>
    </row>
    <row r="435" spans="1:7" x14ac:dyDescent="0.3">
      <c r="A435" s="4">
        <f t="shared" ca="1" si="17"/>
        <v>0</v>
      </c>
      <c r="G435" s="4">
        <f t="shared" ca="1" si="16"/>
        <v>0</v>
      </c>
    </row>
    <row r="436" spans="1:7" x14ac:dyDescent="0.3">
      <c r="A436" s="4">
        <f t="shared" ca="1" si="17"/>
        <v>0</v>
      </c>
      <c r="G436" s="4">
        <f t="shared" ca="1" si="16"/>
        <v>0</v>
      </c>
    </row>
    <row r="437" spans="1:7" x14ac:dyDescent="0.3">
      <c r="A437" s="4">
        <f t="shared" ca="1" si="17"/>
        <v>0</v>
      </c>
      <c r="G437" s="4">
        <f t="shared" ca="1" si="16"/>
        <v>0</v>
      </c>
    </row>
    <row r="438" spans="1:7" x14ac:dyDescent="0.3">
      <c r="A438" s="4">
        <f t="shared" ca="1" si="17"/>
        <v>0</v>
      </c>
      <c r="G438" s="4">
        <f t="shared" ca="1" si="16"/>
        <v>0</v>
      </c>
    </row>
    <row r="439" spans="1:7" x14ac:dyDescent="0.3">
      <c r="A439" s="4">
        <f t="shared" ca="1" si="17"/>
        <v>0</v>
      </c>
      <c r="G439" s="4">
        <f t="shared" ca="1" si="16"/>
        <v>0</v>
      </c>
    </row>
    <row r="440" spans="1:7" x14ac:dyDescent="0.3">
      <c r="A440" s="4">
        <f t="shared" ca="1" si="17"/>
        <v>0</v>
      </c>
      <c r="G440" s="4">
        <f t="shared" ca="1" si="16"/>
        <v>0</v>
      </c>
    </row>
    <row r="441" spans="1:7" x14ac:dyDescent="0.3">
      <c r="A441" s="4">
        <f t="shared" ca="1" si="17"/>
        <v>0</v>
      </c>
      <c r="G441" s="4">
        <f t="shared" ca="1" si="16"/>
        <v>0</v>
      </c>
    </row>
    <row r="442" spans="1:7" x14ac:dyDescent="0.3">
      <c r="A442" s="4">
        <f t="shared" ca="1" si="17"/>
        <v>0</v>
      </c>
      <c r="G442" s="4">
        <f t="shared" ca="1" si="16"/>
        <v>0</v>
      </c>
    </row>
    <row r="443" spans="1:7" x14ac:dyDescent="0.3">
      <c r="A443" s="4">
        <f t="shared" ca="1" si="17"/>
        <v>0</v>
      </c>
      <c r="G443" s="4">
        <f t="shared" ca="1" si="16"/>
        <v>0</v>
      </c>
    </row>
    <row r="444" spans="1:7" x14ac:dyDescent="0.3">
      <c r="A444" s="4">
        <f t="shared" ca="1" si="17"/>
        <v>0</v>
      </c>
      <c r="G444" s="4">
        <f t="shared" ca="1" si="16"/>
        <v>0</v>
      </c>
    </row>
    <row r="445" spans="1:7" x14ac:dyDescent="0.3">
      <c r="A445" s="4">
        <f t="shared" ca="1" si="17"/>
        <v>0</v>
      </c>
      <c r="G445" s="4">
        <f t="shared" ca="1" si="16"/>
        <v>0</v>
      </c>
    </row>
    <row r="446" spans="1:7" x14ac:dyDescent="0.3">
      <c r="A446" s="4">
        <f t="shared" ca="1" si="17"/>
        <v>0</v>
      </c>
      <c r="G446" s="4">
        <f t="shared" ca="1" si="16"/>
        <v>0</v>
      </c>
    </row>
    <row r="447" spans="1:7" x14ac:dyDescent="0.3">
      <c r="A447" s="4">
        <f t="shared" ca="1" si="17"/>
        <v>0</v>
      </c>
      <c r="G447" s="4">
        <f t="shared" ca="1" si="16"/>
        <v>0</v>
      </c>
    </row>
    <row r="448" spans="1:7" x14ac:dyDescent="0.3">
      <c r="A448" s="4">
        <f t="shared" ca="1" si="17"/>
        <v>0</v>
      </c>
      <c r="G448" s="4">
        <f t="shared" ca="1" si="16"/>
        <v>0</v>
      </c>
    </row>
    <row r="449" spans="1:7" x14ac:dyDescent="0.3">
      <c r="A449" s="4">
        <f t="shared" ca="1" si="17"/>
        <v>0</v>
      </c>
      <c r="G449" s="4">
        <f t="shared" ca="1" si="16"/>
        <v>0</v>
      </c>
    </row>
    <row r="450" spans="1:7" x14ac:dyDescent="0.3">
      <c r="A450" s="4">
        <f t="shared" ca="1" si="17"/>
        <v>0</v>
      </c>
      <c r="G450" s="4">
        <f t="shared" ca="1" si="16"/>
        <v>0</v>
      </c>
    </row>
    <row r="451" spans="1:7" x14ac:dyDescent="0.3">
      <c r="A451" s="4">
        <f t="shared" ca="1" si="17"/>
        <v>0</v>
      </c>
      <c r="G451" s="4">
        <f t="shared" ca="1" si="16"/>
        <v>0</v>
      </c>
    </row>
    <row r="452" spans="1:7" x14ac:dyDescent="0.3">
      <c r="A452" s="4">
        <f t="shared" ca="1" si="17"/>
        <v>0</v>
      </c>
      <c r="G452" s="4">
        <f t="shared" ref="G452:G501" ca="1" si="18">OFFSET($H452,0,LangOffset,1,1)</f>
        <v>0</v>
      </c>
    </row>
    <row r="453" spans="1:7" x14ac:dyDescent="0.3">
      <c r="A453" s="4">
        <f t="shared" ca="1" si="17"/>
        <v>0</v>
      </c>
      <c r="G453" s="4">
        <f t="shared" ca="1" si="18"/>
        <v>0</v>
      </c>
    </row>
    <row r="454" spans="1:7" x14ac:dyDescent="0.3">
      <c r="A454" s="4">
        <f t="shared" ca="1" si="17"/>
        <v>0</v>
      </c>
      <c r="G454" s="4">
        <f t="shared" ca="1" si="18"/>
        <v>0</v>
      </c>
    </row>
    <row r="455" spans="1:7" x14ac:dyDescent="0.3">
      <c r="A455" s="4">
        <f t="shared" ca="1" si="17"/>
        <v>0</v>
      </c>
      <c r="G455" s="4">
        <f t="shared" ca="1" si="18"/>
        <v>0</v>
      </c>
    </row>
    <row r="456" spans="1:7" x14ac:dyDescent="0.3">
      <c r="A456" s="4">
        <f t="shared" ca="1" si="17"/>
        <v>0</v>
      </c>
      <c r="G456" s="4">
        <f t="shared" ca="1" si="18"/>
        <v>0</v>
      </c>
    </row>
    <row r="457" spans="1:7" x14ac:dyDescent="0.3">
      <c r="A457" s="4">
        <f t="shared" ca="1" si="17"/>
        <v>0</v>
      </c>
      <c r="G457" s="4">
        <f t="shared" ca="1" si="18"/>
        <v>0</v>
      </c>
    </row>
    <row r="458" spans="1:7" x14ac:dyDescent="0.3">
      <c r="A458" s="4">
        <f t="shared" ca="1" si="17"/>
        <v>0</v>
      </c>
      <c r="G458" s="4">
        <f t="shared" ca="1" si="18"/>
        <v>0</v>
      </c>
    </row>
    <row r="459" spans="1:7" x14ac:dyDescent="0.3">
      <c r="A459" s="4">
        <f t="shared" ca="1" si="17"/>
        <v>0</v>
      </c>
      <c r="G459" s="4">
        <f t="shared" ca="1" si="18"/>
        <v>0</v>
      </c>
    </row>
    <row r="460" spans="1:7" x14ac:dyDescent="0.3">
      <c r="A460" s="4">
        <f t="shared" ca="1" si="17"/>
        <v>0</v>
      </c>
      <c r="G460" s="4">
        <f t="shared" ca="1" si="18"/>
        <v>0</v>
      </c>
    </row>
    <row r="461" spans="1:7" x14ac:dyDescent="0.3">
      <c r="A461" s="4">
        <f t="shared" ca="1" si="17"/>
        <v>0</v>
      </c>
      <c r="G461" s="4">
        <f t="shared" ca="1" si="18"/>
        <v>0</v>
      </c>
    </row>
    <row r="462" spans="1:7" x14ac:dyDescent="0.3">
      <c r="A462" s="4">
        <f t="shared" ca="1" si="17"/>
        <v>0</v>
      </c>
      <c r="G462" s="4">
        <f t="shared" ca="1" si="18"/>
        <v>0</v>
      </c>
    </row>
    <row r="463" spans="1:7" x14ac:dyDescent="0.3">
      <c r="A463" s="4">
        <f t="shared" ca="1" si="17"/>
        <v>0</v>
      </c>
      <c r="G463" s="4">
        <f t="shared" ca="1" si="18"/>
        <v>0</v>
      </c>
    </row>
    <row r="464" spans="1:7" x14ac:dyDescent="0.3">
      <c r="A464" s="4">
        <f t="shared" ca="1" si="17"/>
        <v>0</v>
      </c>
      <c r="G464" s="4">
        <f t="shared" ca="1" si="18"/>
        <v>0</v>
      </c>
    </row>
    <row r="465" spans="1:7" x14ac:dyDescent="0.3">
      <c r="A465" s="4">
        <f t="shared" ca="1" si="17"/>
        <v>0</v>
      </c>
      <c r="G465" s="4">
        <f t="shared" ca="1" si="18"/>
        <v>0</v>
      </c>
    </row>
    <row r="466" spans="1:7" x14ac:dyDescent="0.3">
      <c r="A466" s="4">
        <f t="shared" ca="1" si="17"/>
        <v>0</v>
      </c>
      <c r="G466" s="4">
        <f t="shared" ca="1" si="18"/>
        <v>0</v>
      </c>
    </row>
    <row r="467" spans="1:7" x14ac:dyDescent="0.3">
      <c r="A467" s="4">
        <f t="shared" ca="1" si="17"/>
        <v>0</v>
      </c>
      <c r="G467" s="4">
        <f t="shared" ca="1" si="18"/>
        <v>0</v>
      </c>
    </row>
    <row r="468" spans="1:7" x14ac:dyDescent="0.3">
      <c r="A468" s="4">
        <f t="shared" ca="1" si="17"/>
        <v>0</v>
      </c>
      <c r="G468" s="4">
        <f t="shared" ca="1" si="18"/>
        <v>0</v>
      </c>
    </row>
    <row r="469" spans="1:7" x14ac:dyDescent="0.3">
      <c r="A469" s="4">
        <f t="shared" ca="1" si="17"/>
        <v>0</v>
      </c>
      <c r="G469" s="4">
        <f t="shared" ca="1" si="18"/>
        <v>0</v>
      </c>
    </row>
    <row r="470" spans="1:7" x14ac:dyDescent="0.3">
      <c r="A470" s="4">
        <f t="shared" ca="1" si="17"/>
        <v>0</v>
      </c>
      <c r="G470" s="4">
        <f t="shared" ca="1" si="18"/>
        <v>0</v>
      </c>
    </row>
    <row r="471" spans="1:7" x14ac:dyDescent="0.3">
      <c r="A471" s="4">
        <f t="shared" ca="1" si="17"/>
        <v>0</v>
      </c>
      <c r="G471" s="4">
        <f t="shared" ca="1" si="18"/>
        <v>0</v>
      </c>
    </row>
    <row r="472" spans="1:7" x14ac:dyDescent="0.3">
      <c r="A472" s="4">
        <f t="shared" ca="1" si="17"/>
        <v>0</v>
      </c>
      <c r="G472" s="4">
        <f t="shared" ca="1" si="18"/>
        <v>0</v>
      </c>
    </row>
    <row r="473" spans="1:7" x14ac:dyDescent="0.3">
      <c r="A473" s="4">
        <f t="shared" ca="1" si="17"/>
        <v>0</v>
      </c>
      <c r="G473" s="4">
        <f t="shared" ca="1" si="18"/>
        <v>0</v>
      </c>
    </row>
    <row r="474" spans="1:7" x14ac:dyDescent="0.3">
      <c r="A474" s="4">
        <f t="shared" ca="1" si="17"/>
        <v>0</v>
      </c>
      <c r="G474" s="4">
        <f t="shared" ca="1" si="18"/>
        <v>0</v>
      </c>
    </row>
    <row r="475" spans="1:7" x14ac:dyDescent="0.3">
      <c r="A475" s="4">
        <f t="shared" ca="1" si="17"/>
        <v>0</v>
      </c>
      <c r="G475" s="4">
        <f t="shared" ca="1" si="18"/>
        <v>0</v>
      </c>
    </row>
    <row r="476" spans="1:7" x14ac:dyDescent="0.3">
      <c r="A476" s="4">
        <f t="shared" ca="1" si="17"/>
        <v>0</v>
      </c>
      <c r="G476" s="4">
        <f t="shared" ca="1" si="18"/>
        <v>0</v>
      </c>
    </row>
    <row r="477" spans="1:7" x14ac:dyDescent="0.3">
      <c r="A477" s="4">
        <f t="shared" ca="1" si="17"/>
        <v>0</v>
      </c>
      <c r="G477" s="4">
        <f t="shared" ca="1" si="18"/>
        <v>0</v>
      </c>
    </row>
    <row r="478" spans="1:7" x14ac:dyDescent="0.3">
      <c r="A478" s="4">
        <f t="shared" ca="1" si="17"/>
        <v>0</v>
      </c>
      <c r="G478" s="4">
        <f t="shared" ca="1" si="18"/>
        <v>0</v>
      </c>
    </row>
    <row r="479" spans="1:7" x14ac:dyDescent="0.3">
      <c r="A479" s="4">
        <f t="shared" ca="1" si="17"/>
        <v>0</v>
      </c>
      <c r="G479" s="4">
        <f t="shared" ca="1" si="18"/>
        <v>0</v>
      </c>
    </row>
    <row r="480" spans="1:7" x14ac:dyDescent="0.3">
      <c r="A480" s="4">
        <f t="shared" ca="1" si="17"/>
        <v>0</v>
      </c>
      <c r="G480" s="4">
        <f t="shared" ca="1" si="18"/>
        <v>0</v>
      </c>
    </row>
    <row r="481" spans="1:7" x14ac:dyDescent="0.3">
      <c r="A481" s="4">
        <f t="shared" ca="1" si="17"/>
        <v>0</v>
      </c>
      <c r="G481" s="4">
        <f t="shared" ca="1" si="18"/>
        <v>0</v>
      </c>
    </row>
    <row r="482" spans="1:7" x14ac:dyDescent="0.3">
      <c r="A482" s="4">
        <f t="shared" ca="1" si="17"/>
        <v>0</v>
      </c>
      <c r="G482" s="4">
        <f t="shared" ca="1" si="18"/>
        <v>0</v>
      </c>
    </row>
    <row r="483" spans="1:7" x14ac:dyDescent="0.3">
      <c r="A483" s="4">
        <f t="shared" ca="1" si="17"/>
        <v>0</v>
      </c>
      <c r="G483" s="4">
        <f t="shared" ca="1" si="18"/>
        <v>0</v>
      </c>
    </row>
    <row r="484" spans="1:7" x14ac:dyDescent="0.3">
      <c r="A484" s="4">
        <f t="shared" ca="1" si="17"/>
        <v>0</v>
      </c>
      <c r="G484" s="4">
        <f t="shared" ca="1" si="18"/>
        <v>0</v>
      </c>
    </row>
    <row r="485" spans="1:7" x14ac:dyDescent="0.3">
      <c r="A485" s="4">
        <f t="shared" ca="1" si="17"/>
        <v>0</v>
      </c>
      <c r="G485" s="4">
        <f t="shared" ca="1" si="18"/>
        <v>0</v>
      </c>
    </row>
    <row r="486" spans="1:7" x14ac:dyDescent="0.3">
      <c r="A486" s="4">
        <f t="shared" ca="1" si="17"/>
        <v>0</v>
      </c>
      <c r="G486" s="4">
        <f t="shared" ca="1" si="18"/>
        <v>0</v>
      </c>
    </row>
    <row r="487" spans="1:7" x14ac:dyDescent="0.3">
      <c r="A487" s="4">
        <f t="shared" ca="1" si="17"/>
        <v>0</v>
      </c>
      <c r="G487" s="4">
        <f t="shared" ca="1" si="18"/>
        <v>0</v>
      </c>
    </row>
    <row r="488" spans="1:7" x14ac:dyDescent="0.3">
      <c r="A488" s="4">
        <f t="shared" ref="A488:A502" ca="1" si="19">OFFSET($B488,0,LangOffset,1,1)</f>
        <v>0</v>
      </c>
      <c r="G488" s="4">
        <f t="shared" ca="1" si="18"/>
        <v>0</v>
      </c>
    </row>
    <row r="489" spans="1:7" x14ac:dyDescent="0.3">
      <c r="A489" s="4">
        <f t="shared" ca="1" si="19"/>
        <v>0</v>
      </c>
      <c r="G489" s="4">
        <f t="shared" ca="1" si="18"/>
        <v>0</v>
      </c>
    </row>
    <row r="490" spans="1:7" x14ac:dyDescent="0.3">
      <c r="A490" s="4">
        <f t="shared" ca="1" si="19"/>
        <v>0</v>
      </c>
      <c r="G490" s="4">
        <f t="shared" ca="1" si="18"/>
        <v>0</v>
      </c>
    </row>
    <row r="491" spans="1:7" x14ac:dyDescent="0.3">
      <c r="A491" s="4">
        <f t="shared" ca="1" si="19"/>
        <v>0</v>
      </c>
      <c r="G491" s="4">
        <f t="shared" ca="1" si="18"/>
        <v>0</v>
      </c>
    </row>
    <row r="492" spans="1:7" x14ac:dyDescent="0.3">
      <c r="A492" s="4">
        <f t="shared" ca="1" si="19"/>
        <v>0</v>
      </c>
      <c r="G492" s="4">
        <f t="shared" ca="1" si="18"/>
        <v>0</v>
      </c>
    </row>
    <row r="493" spans="1:7" x14ac:dyDescent="0.3">
      <c r="A493" s="4">
        <f t="shared" ca="1" si="19"/>
        <v>0</v>
      </c>
      <c r="G493" s="4">
        <f t="shared" ca="1" si="18"/>
        <v>0</v>
      </c>
    </row>
    <row r="494" spans="1:7" x14ac:dyDescent="0.3">
      <c r="A494" s="4">
        <f t="shared" ca="1" si="19"/>
        <v>0</v>
      </c>
      <c r="G494" s="4">
        <f t="shared" ca="1" si="18"/>
        <v>0</v>
      </c>
    </row>
    <row r="495" spans="1:7" x14ac:dyDescent="0.3">
      <c r="A495" s="4">
        <f t="shared" ca="1" si="19"/>
        <v>0</v>
      </c>
      <c r="G495" s="4">
        <f t="shared" ca="1" si="18"/>
        <v>0</v>
      </c>
    </row>
    <row r="496" spans="1:7" x14ac:dyDescent="0.3">
      <c r="A496" s="4">
        <f t="shared" ca="1" si="19"/>
        <v>0</v>
      </c>
      <c r="G496" s="4">
        <f t="shared" ca="1" si="18"/>
        <v>0</v>
      </c>
    </row>
    <row r="497" spans="1:7" x14ac:dyDescent="0.3">
      <c r="A497" s="4">
        <f t="shared" ca="1" si="19"/>
        <v>0</v>
      </c>
      <c r="G497" s="4">
        <f t="shared" ca="1" si="18"/>
        <v>0</v>
      </c>
    </row>
    <row r="498" spans="1:7" x14ac:dyDescent="0.3">
      <c r="A498" s="4">
        <f t="shared" ca="1" si="19"/>
        <v>0</v>
      </c>
      <c r="G498" s="4">
        <f t="shared" ca="1" si="18"/>
        <v>0</v>
      </c>
    </row>
    <row r="499" spans="1:7" x14ac:dyDescent="0.3">
      <c r="A499" s="4">
        <f t="shared" ca="1" si="19"/>
        <v>0</v>
      </c>
      <c r="G499" s="4">
        <f t="shared" ca="1" si="18"/>
        <v>0</v>
      </c>
    </row>
    <row r="500" spans="1:7" x14ac:dyDescent="0.3">
      <c r="A500" s="4">
        <f t="shared" ca="1" si="19"/>
        <v>0</v>
      </c>
      <c r="G500" s="4">
        <f t="shared" ca="1" si="18"/>
        <v>0</v>
      </c>
    </row>
    <row r="501" spans="1:7" x14ac:dyDescent="0.3">
      <c r="A501" s="4">
        <f t="shared" ca="1" si="19"/>
        <v>0</v>
      </c>
      <c r="G501" s="4">
        <f t="shared" ca="1" si="18"/>
        <v>0</v>
      </c>
    </row>
    <row r="502" spans="1:7" x14ac:dyDescent="0.3">
      <c r="A502" s="4">
        <f t="shared" ca="1" si="19"/>
        <v>0</v>
      </c>
    </row>
  </sheetData>
  <sheetProtection algorithmName="SHA-512" hashValue="4EWjiKuR7GY5AbXOcBZHBr3lwcBio2krwjKKTKdjP2QlRsDGmjDOW5XVSgP7eDXpv9BfZ2XUBTyqTRKcu1BGDw==" saltValue="zRn1Q7123IHzoEzFttfLPA==" spinCount="100000" sheet="1" objects="1" scenarios="1"/>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2">
    <tabColor rgb="FFFFC000"/>
  </sheetPr>
  <dimension ref="A1:V243"/>
  <sheetViews>
    <sheetView zoomScale="60" zoomScaleNormal="60" workbookViewId="0">
      <selection activeCell="G7" sqref="G7:I8"/>
    </sheetView>
  </sheetViews>
  <sheetFormatPr defaultColWidth="9" defaultRowHeight="14.5" x14ac:dyDescent="0.35"/>
  <cols>
    <col min="1" max="1" width="13.5" style="48" customWidth="1"/>
    <col min="2" max="2" width="17.58203125" style="48" customWidth="1"/>
    <col min="3" max="3" width="66.08203125" style="48" customWidth="1"/>
    <col min="4" max="5" width="32.25" style="48" customWidth="1"/>
    <col min="6" max="6" width="9" style="48"/>
    <col min="7" max="7" width="45.58203125" style="48" customWidth="1"/>
    <col min="8" max="9" width="40.08203125" style="48" customWidth="1"/>
    <col min="10" max="10" width="9" style="48"/>
    <col min="16" max="17" width="9" style="48"/>
    <col min="23" max="16384" width="9" style="48"/>
  </cols>
  <sheetData>
    <row r="1" spans="1:22" x14ac:dyDescent="0.35">
      <c r="A1" s="156"/>
      <c r="B1" s="156"/>
      <c r="C1" s="16" t="s">
        <v>511</v>
      </c>
      <c r="D1" s="156"/>
      <c r="E1" s="156"/>
      <c r="F1" s="156"/>
      <c r="G1" s="156"/>
      <c r="H1" s="156"/>
      <c r="I1" s="156"/>
      <c r="J1" s="156"/>
      <c r="L1" s="16" t="s">
        <v>512</v>
      </c>
      <c r="P1" s="156"/>
      <c r="Q1" s="156"/>
      <c r="S1" s="16" t="s">
        <v>363</v>
      </c>
    </row>
    <row r="2" spans="1:22" x14ac:dyDescent="0.35">
      <c r="A2" s="29" t="s">
        <v>12</v>
      </c>
      <c r="B2" s="29" t="s">
        <v>12</v>
      </c>
      <c r="C2" s="29" t="s">
        <v>7</v>
      </c>
      <c r="D2" s="29" t="s">
        <v>13</v>
      </c>
      <c r="E2" s="29" t="s">
        <v>14</v>
      </c>
      <c r="F2" s="56"/>
      <c r="G2" s="29" t="s">
        <v>7</v>
      </c>
      <c r="H2" s="29" t="s">
        <v>13</v>
      </c>
      <c r="I2" s="29" t="s">
        <v>14</v>
      </c>
      <c r="J2" s="156"/>
      <c r="K2" s="29" t="s">
        <v>12</v>
      </c>
      <c r="L2" s="29" t="s">
        <v>7</v>
      </c>
      <c r="M2" s="29" t="s">
        <v>13</v>
      </c>
      <c r="N2" s="29" t="s">
        <v>14</v>
      </c>
      <c r="O2" s="30"/>
      <c r="P2" s="156"/>
      <c r="Q2" s="156"/>
      <c r="R2" s="29" t="s">
        <v>12</v>
      </c>
      <c r="S2" s="29" t="s">
        <v>7</v>
      </c>
      <c r="T2" s="29" t="s">
        <v>13</v>
      </c>
      <c r="U2" s="29" t="s">
        <v>14</v>
      </c>
      <c r="V2" s="30"/>
    </row>
    <row r="3" spans="1:22" x14ac:dyDescent="0.35">
      <c r="A3" s="157" t="str">
        <f t="shared" ref="A3:A14" ca="1" si="0">OFFSET(C3,0,LangOffset,1,1)</f>
        <v>Please select…</v>
      </c>
      <c r="B3" s="157" t="str">
        <f t="shared" ref="B3:B10" ca="1" si="1">OFFSET(G3,0,LangOffset,1,1)</f>
        <v>Please select…</v>
      </c>
      <c r="C3" s="156" t="s">
        <v>2</v>
      </c>
      <c r="D3" s="59" t="s">
        <v>513</v>
      </c>
      <c r="E3" s="58" t="s">
        <v>514</v>
      </c>
      <c r="F3" s="58"/>
      <c r="G3" s="156" t="s">
        <v>2</v>
      </c>
      <c r="H3" s="59" t="s">
        <v>513</v>
      </c>
      <c r="I3" s="58" t="s">
        <v>514</v>
      </c>
      <c r="J3" s="156"/>
      <c r="K3" t="str">
        <f t="shared" ref="K3:K66" ca="1" si="2">OFFSET($L3,0,LangOffset,1,1)</f>
        <v>Please select your geography…</v>
      </c>
      <c r="L3" t="s">
        <v>1</v>
      </c>
      <c r="M3" s="42" t="s">
        <v>516</v>
      </c>
      <c r="N3" s="42" t="s">
        <v>517</v>
      </c>
      <c r="O3" s="42"/>
      <c r="P3" s="156"/>
      <c r="Q3" s="156"/>
      <c r="R3" t="str">
        <f ca="1">OFFSET($S3,0,LangOffset,1,1)</f>
        <v>Please select…</v>
      </c>
      <c r="S3" t="s">
        <v>2</v>
      </c>
      <c r="T3" s="42" t="s">
        <v>518</v>
      </c>
      <c r="U3" s="42" t="s">
        <v>514</v>
      </c>
      <c r="V3" s="42"/>
    </row>
    <row r="4" spans="1:22" x14ac:dyDescent="0.35">
      <c r="A4" s="157" t="str">
        <f t="shared" ca="1" si="0"/>
        <v>TB diagnosis, treatment and care – TB screening and diagnosis</v>
      </c>
      <c r="B4" s="157" t="str">
        <f t="shared" ca="1" si="1"/>
        <v>Number of patients with of all forms of TB notified (i.e.,
bacteriologically confirmed + clinically diagnosed); *includes only those with new and relapse TB</v>
      </c>
      <c r="C4" s="158" t="s">
        <v>410</v>
      </c>
      <c r="D4" s="287" t="s">
        <v>1471</v>
      </c>
      <c r="E4" s="61" t="s">
        <v>1483</v>
      </c>
      <c r="F4" s="54"/>
      <c r="G4" s="294" t="s">
        <v>1511</v>
      </c>
      <c r="H4" s="291" t="s">
        <v>1487</v>
      </c>
      <c r="I4" s="291" t="s">
        <v>1488</v>
      </c>
      <c r="J4" s="156"/>
      <c r="K4" t="str">
        <f t="shared" ca="1" si="2"/>
        <v>Afghanistan</v>
      </c>
      <c r="L4" t="s">
        <v>519</v>
      </c>
      <c r="M4" t="s">
        <v>519</v>
      </c>
      <c r="N4" t="s">
        <v>520</v>
      </c>
      <c r="P4" s="156"/>
      <c r="Q4" s="156"/>
      <c r="R4" t="str">
        <f ca="1">OFFSET($S4,0,LangOffset,1,1)</f>
        <v>CCM</v>
      </c>
      <c r="S4" t="s">
        <v>521</v>
      </c>
      <c r="T4" s="42" t="s">
        <v>522</v>
      </c>
      <c r="U4" s="42" t="s">
        <v>523</v>
      </c>
      <c r="V4" s="42"/>
    </row>
    <row r="5" spans="1:22" x14ac:dyDescent="0.35">
      <c r="A5" s="157" t="str">
        <f t="shared" ca="1" si="0"/>
        <v xml:space="preserve">DR-TB diagnosis, treatment and care – DR-TB diagnosis/DST </v>
      </c>
      <c r="B5" s="157" t="str">
        <f t="shared" ca="1" si="1"/>
        <v>Number of people with confirmed RR-TB and/or MDR-TB notified</v>
      </c>
      <c r="C5" s="158" t="s">
        <v>524</v>
      </c>
      <c r="D5" s="287" t="s">
        <v>1472</v>
      </c>
      <c r="E5" s="59" t="s">
        <v>525</v>
      </c>
      <c r="F5" s="59"/>
      <c r="G5" s="294" t="s">
        <v>1512</v>
      </c>
      <c r="H5" s="61" t="s">
        <v>1497</v>
      </c>
      <c r="I5" s="61" t="s">
        <v>1498</v>
      </c>
      <c r="J5" s="156"/>
      <c r="K5" t="str">
        <f t="shared" ca="1" si="2"/>
        <v>Albania</v>
      </c>
      <c r="L5" t="s">
        <v>526</v>
      </c>
      <c r="M5" t="s">
        <v>527</v>
      </c>
      <c r="N5" t="s">
        <v>526</v>
      </c>
      <c r="P5" s="156"/>
      <c r="Q5" s="156"/>
      <c r="R5" t="str">
        <f ca="1">OFFSET($S5,0,LangOffset,1,1)</f>
        <v>non-CCM</v>
      </c>
      <c r="S5" t="s">
        <v>528</v>
      </c>
      <c r="T5" s="42" t="s">
        <v>529</v>
      </c>
      <c r="U5" s="42" t="s">
        <v>530</v>
      </c>
      <c r="V5" s="42"/>
    </row>
    <row r="6" spans="1:22" x14ac:dyDescent="0.35">
      <c r="A6" s="157" t="str">
        <f t="shared" ca="1" si="0"/>
        <v>DR-TB diagnosis, treatment and care – DR-TB Treatment, care and support</v>
      </c>
      <c r="B6" s="157" t="str">
        <f t="shared" ca="1" si="1"/>
        <v>Number of bacteriologically confirmed RR-TB and/or MDR-TB cases registered and started on a prescribed RR-TB and/or MDR-TB treatment regimen</v>
      </c>
      <c r="C6" s="158" t="s">
        <v>531</v>
      </c>
      <c r="D6" s="61" t="s">
        <v>1473</v>
      </c>
      <c r="E6" s="61" t="s">
        <v>1474</v>
      </c>
      <c r="F6" s="59"/>
      <c r="G6" s="293" t="s">
        <v>1505</v>
      </c>
      <c r="H6" s="59" t="s">
        <v>1517</v>
      </c>
      <c r="I6" s="59" t="s">
        <v>532</v>
      </c>
      <c r="J6" s="156"/>
      <c r="K6" t="str">
        <f t="shared" ca="1" si="2"/>
        <v>Algeria</v>
      </c>
      <c r="L6" t="s">
        <v>533</v>
      </c>
      <c r="M6" t="s">
        <v>534</v>
      </c>
      <c r="N6" t="s">
        <v>535</v>
      </c>
      <c r="P6" s="156"/>
      <c r="Q6" s="156"/>
    </row>
    <row r="7" spans="1:22" x14ac:dyDescent="0.35">
      <c r="A7" s="157" t="str">
        <f t="shared" ca="1" si="0"/>
        <v>TB/DR-TB prevention - Screening/testing for TB infection</v>
      </c>
      <c r="B7" s="157" t="str">
        <f t="shared" ca="1" si="1"/>
        <v>Contact investigation coverage: Proportion of contacts of people with bacteriologically-confirmed TB evaluated for TB among those eligible</v>
      </c>
      <c r="C7" s="158" t="s">
        <v>546</v>
      </c>
      <c r="D7" s="156" t="s">
        <v>547</v>
      </c>
      <c r="E7" s="298" t="s">
        <v>1540</v>
      </c>
      <c r="F7" s="59"/>
      <c r="G7" s="357" t="s">
        <v>1509</v>
      </c>
      <c r="H7" s="358" t="s">
        <v>1493</v>
      </c>
      <c r="I7" s="358" t="s">
        <v>1480</v>
      </c>
      <c r="J7" s="156"/>
      <c r="K7" t="str">
        <f t="shared" ca="1" si="2"/>
        <v>Andorra</v>
      </c>
      <c r="L7" t="s">
        <v>536</v>
      </c>
      <c r="M7" t="s">
        <v>537</v>
      </c>
      <c r="N7" t="s">
        <v>536</v>
      </c>
      <c r="P7" s="156"/>
      <c r="Q7" s="156"/>
    </row>
    <row r="8" spans="1:22" x14ac:dyDescent="0.35">
      <c r="A8" s="157" t="str">
        <f t="shared" ca="1" si="0"/>
        <v>TB/DR-TB prevention - Preventive treatment (eligible contacts)</v>
      </c>
      <c r="B8" s="157" t="str">
        <f t="shared" ca="1" si="1"/>
        <v>Number of people in contact with TB patients who began preventive therapy</v>
      </c>
      <c r="C8" s="158" t="s">
        <v>550</v>
      </c>
      <c r="D8" s="156" t="s">
        <v>462</v>
      </c>
      <c r="E8" s="290" t="s">
        <v>1484</v>
      </c>
      <c r="F8" s="59"/>
      <c r="G8" s="357" t="s">
        <v>1510</v>
      </c>
      <c r="H8" s="358" t="s">
        <v>1492</v>
      </c>
      <c r="I8" s="358" t="s">
        <v>1501</v>
      </c>
      <c r="J8" s="156"/>
      <c r="K8" t="str">
        <f t="shared" ca="1" si="2"/>
        <v>Angola</v>
      </c>
      <c r="L8" t="s">
        <v>539</v>
      </c>
      <c r="M8" t="s">
        <v>539</v>
      </c>
      <c r="N8" t="s">
        <v>539</v>
      </c>
      <c r="P8" s="156"/>
      <c r="Q8" s="156"/>
    </row>
    <row r="9" spans="1:22" x14ac:dyDescent="0.35">
      <c r="A9" s="157" t="str">
        <f t="shared" ca="1" si="0"/>
        <v>OPTIONAL: Collaboration with other providers and sectors - Private provider engagement in TB/DR-TB care</v>
      </c>
      <c r="B9" s="157" t="str">
        <f t="shared" ca="1" si="1"/>
        <v>Percentage of HIV-positive TB patients (new and relapse) on ART during TB treatment</v>
      </c>
      <c r="C9" s="158" t="s">
        <v>552</v>
      </c>
      <c r="D9" s="296" t="s">
        <v>1538</v>
      </c>
      <c r="E9" s="156" t="s">
        <v>553</v>
      </c>
      <c r="F9" s="59"/>
      <c r="G9" s="293" t="s">
        <v>1507</v>
      </c>
      <c r="H9" s="61" t="s">
        <v>1495</v>
      </c>
      <c r="I9" s="61" t="s">
        <v>1499</v>
      </c>
      <c r="J9" s="156"/>
      <c r="K9" t="str">
        <f t="shared" ca="1" si="2"/>
        <v>Antigua and Barbuda</v>
      </c>
      <c r="L9" t="s">
        <v>541</v>
      </c>
      <c r="M9" t="s">
        <v>542</v>
      </c>
      <c r="N9" t="s">
        <v>543</v>
      </c>
      <c r="P9" s="156"/>
      <c r="Q9" s="156"/>
    </row>
    <row r="10" spans="1:22" x14ac:dyDescent="0.35">
      <c r="A10" s="157" t="str">
        <f t="shared" ca="1" si="0"/>
        <v>OPTIONAL: Collaboration with other providers and sectors - Community-based TB/DR-TB care</v>
      </c>
      <c r="B10" s="157" t="str">
        <f t="shared" ca="1" si="1"/>
        <v>Percentage of PLHIV currently enrolled on ART who started TB preventive therapy during the reporting period</v>
      </c>
      <c r="C10" s="158" t="s">
        <v>556</v>
      </c>
      <c r="D10" s="296" t="s">
        <v>1539</v>
      </c>
      <c r="E10" s="156" t="s">
        <v>557</v>
      </c>
      <c r="F10"/>
      <c r="G10" s="293" t="s">
        <v>1508</v>
      </c>
      <c r="H10" s="61" t="s">
        <v>1494</v>
      </c>
      <c r="I10" s="61" t="s">
        <v>1500</v>
      </c>
      <c r="J10" s="156"/>
      <c r="K10" t="str">
        <f t="shared" ca="1" si="2"/>
        <v>Argentina</v>
      </c>
      <c r="L10" t="s">
        <v>544</v>
      </c>
      <c r="M10" t="s">
        <v>545</v>
      </c>
      <c r="N10" t="s">
        <v>544</v>
      </c>
      <c r="P10" s="156"/>
      <c r="Q10" s="156"/>
    </row>
    <row r="11" spans="1:22" x14ac:dyDescent="0.35">
      <c r="A11" s="157" t="str">
        <f t="shared" ca="1" si="0"/>
        <v>TB/HIV - TB screening, testing and diagnosis among HIV patients</v>
      </c>
      <c r="B11" s="157" t="str">
        <f t="shared" ref="B11:B14" ca="1" si="3">OFFSET(G11,0,LangOffset,1,1)</f>
        <v>Contact investigation coverage: Proportion of contacts of people with bacteriologically-confirmed TB evaluated for TB among those eligible</v>
      </c>
      <c r="C11" s="95" t="s">
        <v>184</v>
      </c>
      <c r="D11" s="292" t="s">
        <v>1514</v>
      </c>
      <c r="E11" s="291" t="s">
        <v>1486</v>
      </c>
      <c r="F11" s="156"/>
      <c r="G11" s="293" t="s">
        <v>1509</v>
      </c>
      <c r="H11" s="61" t="s">
        <v>1493</v>
      </c>
      <c r="I11" s="61" t="s">
        <v>1480</v>
      </c>
      <c r="J11" s="156"/>
      <c r="K11" t="str">
        <f t="shared" ca="1" si="2"/>
        <v>Armenia</v>
      </c>
      <c r="L11" t="s">
        <v>548</v>
      </c>
      <c r="M11" t="s">
        <v>549</v>
      </c>
      <c r="N11" t="s">
        <v>548</v>
      </c>
      <c r="P11" s="156"/>
      <c r="Q11" s="156"/>
    </row>
    <row r="12" spans="1:22" x14ac:dyDescent="0.35">
      <c r="A12" s="157" t="str">
        <f t="shared" ca="1" si="0"/>
        <v>TB/HIV - TB patients with known HIV status</v>
      </c>
      <c r="B12" s="157" t="str">
        <f t="shared" ca="1" si="3"/>
        <v>Number of people in contact with TB patients who began preventive therapy</v>
      </c>
      <c r="C12" s="158" t="s">
        <v>214</v>
      </c>
      <c r="D12" s="60" t="s">
        <v>1513</v>
      </c>
      <c r="E12" s="59" t="s">
        <v>538</v>
      </c>
      <c r="F12" s="156"/>
      <c r="G12" s="293" t="s">
        <v>1510</v>
      </c>
      <c r="H12" s="61" t="s">
        <v>1492</v>
      </c>
      <c r="I12" s="61" t="s">
        <v>1501</v>
      </c>
      <c r="J12" s="156"/>
      <c r="K12" t="str">
        <f t="shared" ca="1" si="2"/>
        <v>Aruba</v>
      </c>
      <c r="L12" t="s">
        <v>551</v>
      </c>
      <c r="M12" t="s">
        <v>551</v>
      </c>
      <c r="N12" t="s">
        <v>551</v>
      </c>
      <c r="P12" s="156"/>
      <c r="Q12" s="156"/>
    </row>
    <row r="13" spans="1:22" x14ac:dyDescent="0.35">
      <c r="A13" s="157" t="str">
        <f t="shared" ca="1" si="0"/>
        <v>TB/HIV - TB/HIV Treatment and care</v>
      </c>
      <c r="B13" s="157" t="str">
        <f t="shared" ca="1" si="3"/>
        <v>Percentage of notified patients with all forms of TB (i.e.,
bacteriologically confirmed + clinically diagnosed) contributed by non-national TB program providers- private/non-governmental facilities; *includes only those with new and relapse TB</v>
      </c>
      <c r="C13" s="158" t="s">
        <v>540</v>
      </c>
      <c r="D13" s="287" t="s">
        <v>1475</v>
      </c>
      <c r="E13" s="59" t="s">
        <v>1476</v>
      </c>
      <c r="F13" s="156"/>
      <c r="G13" s="294" t="s">
        <v>1502</v>
      </c>
      <c r="H13" s="61" t="s">
        <v>1491</v>
      </c>
      <c r="I13" s="291" t="s">
        <v>1489</v>
      </c>
      <c r="J13" s="156"/>
      <c r="K13" t="str">
        <f t="shared" ca="1" si="2"/>
        <v>Australia</v>
      </c>
      <c r="L13" t="s">
        <v>554</v>
      </c>
      <c r="M13" t="s">
        <v>555</v>
      </c>
      <c r="N13" t="s">
        <v>554</v>
      </c>
      <c r="P13" s="156"/>
      <c r="Q13" s="156"/>
    </row>
    <row r="14" spans="1:22" x14ac:dyDescent="0.35">
      <c r="A14" s="157" t="str">
        <f t="shared" ca="1" si="0"/>
        <v>TB/HIV - TB/HIV prevention (only for PLHIVs)</v>
      </c>
      <c r="B14" s="157" t="str">
        <f t="shared" ca="1" si="3"/>
        <v>Percentage of notified patients with all forms of TB (i.e.,
bacteriologically confirmed + clinically diagnosed) contributed by non-national TB program providers- community referrals; *includes only those with new and relapse TB</v>
      </c>
      <c r="C14" s="158" t="s">
        <v>258</v>
      </c>
      <c r="D14" s="294" t="s">
        <v>1515</v>
      </c>
      <c r="E14" s="294" t="s">
        <v>1485</v>
      </c>
      <c r="F14" s="156"/>
      <c r="G14" s="294" t="s">
        <v>1503</v>
      </c>
      <c r="H14" s="61" t="s">
        <v>1481</v>
      </c>
      <c r="I14" s="291" t="s">
        <v>1490</v>
      </c>
      <c r="J14" s="156"/>
      <c r="K14" t="str">
        <f t="shared" ca="1" si="2"/>
        <v>Austria</v>
      </c>
      <c r="L14" t="s">
        <v>558</v>
      </c>
      <c r="M14" t="s">
        <v>559</v>
      </c>
      <c r="N14" t="s">
        <v>558</v>
      </c>
      <c r="P14" s="156"/>
      <c r="Q14" s="156"/>
    </row>
    <row r="15" spans="1:22" x14ac:dyDescent="0.35">
      <c r="A15" s="156"/>
      <c r="B15" s="156"/>
      <c r="C15" s="156"/>
      <c r="D15" s="156"/>
      <c r="E15" s="156"/>
      <c r="F15" s="156"/>
      <c r="G15" s="156"/>
      <c r="H15" s="156"/>
      <c r="I15" s="156"/>
      <c r="J15" s="156"/>
      <c r="K15" t="str">
        <f t="shared" ca="1" si="2"/>
        <v>Azerbaijan</v>
      </c>
      <c r="L15" t="s">
        <v>560</v>
      </c>
      <c r="M15" t="s">
        <v>561</v>
      </c>
      <c r="N15" t="s">
        <v>562</v>
      </c>
      <c r="P15" s="156"/>
      <c r="Q15" s="156"/>
    </row>
    <row r="16" spans="1:22" x14ac:dyDescent="0.35">
      <c r="A16" s="156"/>
      <c r="B16" s="156"/>
      <c r="C16" s="156"/>
      <c r="D16" s="156"/>
      <c r="E16" s="156"/>
      <c r="F16" s="156"/>
      <c r="G16" s="156"/>
      <c r="H16" s="156"/>
      <c r="I16" s="156"/>
      <c r="J16" s="156"/>
      <c r="K16" t="str">
        <f t="shared" ca="1" si="2"/>
        <v>Bahamas</v>
      </c>
      <c r="L16" t="s">
        <v>563</v>
      </c>
      <c r="M16" t="s">
        <v>563</v>
      </c>
      <c r="N16" t="s">
        <v>564</v>
      </c>
      <c r="P16" s="156"/>
      <c r="Q16" s="156"/>
    </row>
    <row r="17" spans="1:14" x14ac:dyDescent="0.35">
      <c r="A17" s="29" t="s">
        <v>12</v>
      </c>
      <c r="B17" s="29" t="s">
        <v>12</v>
      </c>
      <c r="C17" s="29" t="s">
        <v>7</v>
      </c>
      <c r="D17" s="29" t="s">
        <v>13</v>
      </c>
      <c r="E17" s="29" t="s">
        <v>14</v>
      </c>
      <c r="F17" s="56"/>
      <c r="G17" s="29" t="s">
        <v>7</v>
      </c>
      <c r="H17" s="29" t="s">
        <v>13</v>
      </c>
      <c r="I17" s="29" t="s">
        <v>14</v>
      </c>
      <c r="J17" s="156"/>
      <c r="K17" t="str">
        <f t="shared" ca="1" si="2"/>
        <v>Bahrain</v>
      </c>
      <c r="L17" t="s">
        <v>565</v>
      </c>
      <c r="M17" t="s">
        <v>566</v>
      </c>
      <c r="N17" t="s">
        <v>567</v>
      </c>
    </row>
    <row r="18" spans="1:14" x14ac:dyDescent="0.35">
      <c r="A18" s="157" t="str">
        <f t="shared" ref="A18" ca="1" si="4">OFFSET(C18,0,LangOffset,1,1)</f>
        <v>Please select…</v>
      </c>
      <c r="B18" s="157" t="str">
        <f t="shared" ref="B18" ca="1" si="5">OFFSET(G18,0,LangOffset,1,1)</f>
        <v>Please select…</v>
      </c>
      <c r="C18" s="156" t="s">
        <v>2</v>
      </c>
      <c r="D18" s="59" t="s">
        <v>513</v>
      </c>
      <c r="E18" s="58" t="s">
        <v>514</v>
      </c>
      <c r="F18" s="156"/>
      <c r="G18" s="156" t="s">
        <v>2</v>
      </c>
      <c r="H18" s="59" t="s">
        <v>513</v>
      </c>
      <c r="I18" s="58" t="s">
        <v>514</v>
      </c>
      <c r="J18" s="156"/>
      <c r="K18" t="str">
        <f t="shared" ca="1" si="2"/>
        <v>Bangladesh</v>
      </c>
      <c r="L18" t="s">
        <v>568</v>
      </c>
      <c r="M18" t="s">
        <v>568</v>
      </c>
      <c r="N18" t="s">
        <v>568</v>
      </c>
    </row>
    <row r="19" spans="1:14" x14ac:dyDescent="0.35">
      <c r="A19" s="157" t="str">
        <f t="shared" ref="A19" ca="1" si="6">OFFSET(C19,0,LangOffset,1,1)</f>
        <v>TB/HIV - TB screening, testing and diagnosis among HIV patients</v>
      </c>
      <c r="B19" s="157" t="str">
        <f t="shared" ref="B19" ca="1" si="7">OFFSET(G19,0,LangOffset,1,1)</f>
        <v>Percentage of people living with HIV newly initiated on ART who were screened for TB</v>
      </c>
      <c r="C19" s="95" t="s">
        <v>184</v>
      </c>
      <c r="D19" s="292" t="s">
        <v>1514</v>
      </c>
      <c r="E19" s="291" t="s">
        <v>1486</v>
      </c>
      <c r="F19" s="156"/>
      <c r="G19" s="295" t="s">
        <v>1504</v>
      </c>
      <c r="H19" s="287" t="s">
        <v>1477</v>
      </c>
      <c r="I19" s="61" t="s">
        <v>1465</v>
      </c>
      <c r="J19" s="156"/>
      <c r="K19" t="str">
        <f t="shared" ca="1" si="2"/>
        <v>Barbados</v>
      </c>
      <c r="L19" t="s">
        <v>571</v>
      </c>
      <c r="M19" t="s">
        <v>572</v>
      </c>
      <c r="N19" t="s">
        <v>571</v>
      </c>
    </row>
    <row r="20" spans="1:14" x14ac:dyDescent="0.35">
      <c r="A20" s="157" t="str">
        <f t="shared" ref="A20:A22" ca="1" si="8">OFFSET(C20,0,LangOffset,1,1)</f>
        <v>TB/HIV - TB patients with known HIV status</v>
      </c>
      <c r="B20" s="157" t="str">
        <f t="shared" ref="B20:B22" ca="1" si="9">OFFSET(G20,0,LangOffset,1,1)</f>
        <v>Percentage of registered new and relapse TB patients with documented HIV status</v>
      </c>
      <c r="C20" s="158" t="s">
        <v>214</v>
      </c>
      <c r="D20" s="60" t="s">
        <v>1482</v>
      </c>
      <c r="E20" s="59" t="s">
        <v>538</v>
      </c>
      <c r="F20" s="156"/>
      <c r="G20" s="295" t="s">
        <v>1506</v>
      </c>
      <c r="H20" s="287" t="s">
        <v>1478</v>
      </c>
      <c r="I20" s="61" t="s">
        <v>1479</v>
      </c>
      <c r="J20" s="156"/>
      <c r="K20" t="str">
        <f t="shared" ca="1" si="2"/>
        <v>Belarus</v>
      </c>
      <c r="L20" t="s">
        <v>574</v>
      </c>
      <c r="M20" t="s">
        <v>575</v>
      </c>
      <c r="N20" t="s">
        <v>576</v>
      </c>
    </row>
    <row r="21" spans="1:14" x14ac:dyDescent="0.35">
      <c r="A21" s="157" t="str">
        <f t="shared" ca="1" si="8"/>
        <v>TB/HIV - TB/HIV Treatment and care</v>
      </c>
      <c r="B21" s="157" t="str">
        <f t="shared" ca="1" si="9"/>
        <v>Percentage of HIV-positive TB patients (new and relapse) on ART during TB treatment</v>
      </c>
      <c r="C21" s="158" t="s">
        <v>540</v>
      </c>
      <c r="D21" s="287" t="s">
        <v>1475</v>
      </c>
      <c r="E21" s="59" t="s">
        <v>1476</v>
      </c>
      <c r="F21" s="156"/>
      <c r="G21" s="295" t="s">
        <v>1507</v>
      </c>
      <c r="H21" s="287" t="s">
        <v>1467</v>
      </c>
      <c r="I21" s="61" t="s">
        <v>1468</v>
      </c>
      <c r="J21" s="156"/>
      <c r="K21" t="str">
        <f t="shared" ca="1" si="2"/>
        <v>Belgium</v>
      </c>
      <c r="L21" t="s">
        <v>578</v>
      </c>
      <c r="M21" t="s">
        <v>579</v>
      </c>
      <c r="N21" t="s">
        <v>580</v>
      </c>
    </row>
    <row r="22" spans="1:14" x14ac:dyDescent="0.35">
      <c r="A22" s="157" t="str">
        <f t="shared" ca="1" si="8"/>
        <v>TB/HIV - TB/HIV prevention (only for PLHIVs)</v>
      </c>
      <c r="B22" s="157" t="str">
        <f t="shared" ca="1" si="9"/>
        <v>Percentage of PLHIV currently enrolled in ART who started TB preventive therapy during the reporting period</v>
      </c>
      <c r="C22" s="158" t="s">
        <v>258</v>
      </c>
      <c r="D22" s="294" t="s">
        <v>1515</v>
      </c>
      <c r="E22" s="294" t="s">
        <v>1485</v>
      </c>
      <c r="F22" s="156"/>
      <c r="G22" s="295" t="s">
        <v>1516</v>
      </c>
      <c r="H22" s="286" t="s">
        <v>1469</v>
      </c>
      <c r="I22" s="286" t="s">
        <v>1470</v>
      </c>
      <c r="J22" s="156"/>
      <c r="K22" t="str">
        <f t="shared" ca="1" si="2"/>
        <v>Belize</v>
      </c>
      <c r="L22" t="s">
        <v>583</v>
      </c>
      <c r="M22" t="s">
        <v>583</v>
      </c>
      <c r="N22" t="s">
        <v>584</v>
      </c>
    </row>
    <row r="23" spans="1:14" x14ac:dyDescent="0.35">
      <c r="A23" s="156"/>
      <c r="B23" s="156"/>
      <c r="C23" s="156"/>
      <c r="D23" s="156"/>
      <c r="E23" s="156"/>
      <c r="F23" s="156"/>
      <c r="G23" s="156"/>
      <c r="H23" s="156"/>
      <c r="I23" s="156"/>
      <c r="J23" s="156"/>
      <c r="K23" t="str">
        <f t="shared" ca="1" si="2"/>
        <v>Benin</v>
      </c>
      <c r="L23" t="s">
        <v>585</v>
      </c>
      <c r="M23" t="s">
        <v>586</v>
      </c>
      <c r="N23" t="s">
        <v>585</v>
      </c>
    </row>
    <row r="24" spans="1:14" x14ac:dyDescent="0.35">
      <c r="A24" s="156"/>
      <c r="B24" s="156"/>
      <c r="C24" s="156"/>
      <c r="D24" s="156"/>
      <c r="E24" s="156"/>
      <c r="F24" s="156"/>
      <c r="G24" s="156"/>
      <c r="H24" s="156"/>
      <c r="I24" s="156"/>
      <c r="J24" s="156"/>
      <c r="K24" t="str">
        <f t="shared" ca="1" si="2"/>
        <v>Bhutan</v>
      </c>
      <c r="L24" t="s">
        <v>587</v>
      </c>
      <c r="M24" t="s">
        <v>588</v>
      </c>
      <c r="N24" t="s">
        <v>589</v>
      </c>
    </row>
    <row r="25" spans="1:14" x14ac:dyDescent="0.35">
      <c r="A25" s="156"/>
      <c r="B25" s="156"/>
      <c r="C25" s="156"/>
      <c r="D25" s="156"/>
      <c r="E25" s="156"/>
      <c r="F25" s="156"/>
      <c r="G25" s="156"/>
      <c r="H25" s="156"/>
      <c r="I25" s="156"/>
      <c r="J25" s="156"/>
      <c r="K25" t="str">
        <f t="shared" ca="1" si="2"/>
        <v>Bolivia (Plurinational State)</v>
      </c>
      <c r="L25" t="s">
        <v>590</v>
      </c>
      <c r="M25" t="s">
        <v>591</v>
      </c>
      <c r="N25" t="s">
        <v>592</v>
      </c>
    </row>
    <row r="26" spans="1:14" x14ac:dyDescent="0.35">
      <c r="A26" s="156"/>
      <c r="B26" s="156"/>
      <c r="C26" s="156"/>
      <c r="D26" s="156"/>
      <c r="E26" s="156"/>
      <c r="F26" s="156"/>
      <c r="G26" s="156"/>
      <c r="H26" s="156"/>
      <c r="I26" s="156"/>
      <c r="J26" s="156"/>
      <c r="K26" t="str">
        <f t="shared" ca="1" si="2"/>
        <v>Bosnia and Herzegovina</v>
      </c>
      <c r="L26" t="s">
        <v>593</v>
      </c>
      <c r="M26" t="s">
        <v>594</v>
      </c>
      <c r="N26" t="s">
        <v>595</v>
      </c>
    </row>
    <row r="27" spans="1:14" x14ac:dyDescent="0.35">
      <c r="A27" s="156"/>
      <c r="B27" s="156"/>
      <c r="C27" s="156"/>
      <c r="D27" s="156"/>
      <c r="E27" s="156"/>
      <c r="F27" s="156"/>
      <c r="G27" s="156"/>
      <c r="H27" s="156"/>
      <c r="I27" s="156"/>
      <c r="J27" s="156"/>
      <c r="K27" t="str">
        <f t="shared" ca="1" si="2"/>
        <v>Botswana</v>
      </c>
      <c r="L27" t="s">
        <v>596</v>
      </c>
      <c r="M27" t="s">
        <v>596</v>
      </c>
      <c r="N27" t="s">
        <v>596</v>
      </c>
    </row>
    <row r="28" spans="1:14" x14ac:dyDescent="0.35">
      <c r="A28" s="156"/>
      <c r="B28" s="156"/>
      <c r="F28" s="156"/>
      <c r="G28" s="156"/>
      <c r="H28" s="156"/>
      <c r="I28" s="156"/>
      <c r="J28" s="156"/>
      <c r="K28" t="str">
        <f t="shared" ca="1" si="2"/>
        <v>Brazil</v>
      </c>
      <c r="L28" t="s">
        <v>597</v>
      </c>
      <c r="M28" t="s">
        <v>598</v>
      </c>
      <c r="N28" t="s">
        <v>599</v>
      </c>
    </row>
    <row r="29" spans="1:14" x14ac:dyDescent="0.35">
      <c r="A29" s="156"/>
      <c r="B29" s="156"/>
      <c r="F29" s="156"/>
      <c r="G29" s="156"/>
      <c r="H29" s="156"/>
      <c r="I29" s="156"/>
      <c r="J29" s="156"/>
      <c r="K29" t="str">
        <f t="shared" ca="1" si="2"/>
        <v>Brunei Darussalam</v>
      </c>
      <c r="L29" t="s">
        <v>600</v>
      </c>
      <c r="M29" t="s">
        <v>601</v>
      </c>
      <c r="N29" t="s">
        <v>600</v>
      </c>
    </row>
    <row r="30" spans="1:14" x14ac:dyDescent="0.35">
      <c r="A30" s="156"/>
      <c r="B30" s="156"/>
      <c r="F30" s="156"/>
      <c r="G30" s="156"/>
      <c r="H30" s="156"/>
      <c r="I30" s="156"/>
      <c r="J30" s="156"/>
      <c r="K30" t="str">
        <f t="shared" ca="1" si="2"/>
        <v>Bulgaria</v>
      </c>
      <c r="L30" t="s">
        <v>602</v>
      </c>
      <c r="M30" t="s">
        <v>603</v>
      </c>
      <c r="N30" t="s">
        <v>602</v>
      </c>
    </row>
    <row r="31" spans="1:14" x14ac:dyDescent="0.35">
      <c r="A31" s="156"/>
      <c r="B31" s="156"/>
      <c r="H31" s="156"/>
      <c r="I31" s="156"/>
      <c r="J31" s="156"/>
      <c r="K31" t="str">
        <f t="shared" ca="1" si="2"/>
        <v>Burkina Faso</v>
      </c>
      <c r="L31" t="s">
        <v>604</v>
      </c>
      <c r="M31" t="s">
        <v>604</v>
      </c>
      <c r="N31" t="s">
        <v>604</v>
      </c>
    </row>
    <row r="32" spans="1:14" x14ac:dyDescent="0.35">
      <c r="A32" s="156"/>
      <c r="B32" s="156"/>
      <c r="H32" s="156"/>
      <c r="I32" s="156"/>
      <c r="J32" s="156"/>
      <c r="K32" t="str">
        <f t="shared" ca="1" si="2"/>
        <v>Burundi</v>
      </c>
      <c r="L32" t="s">
        <v>605</v>
      </c>
      <c r="M32" t="s">
        <v>605</v>
      </c>
      <c r="N32" t="s">
        <v>605</v>
      </c>
    </row>
    <row r="33" spans="6:14" x14ac:dyDescent="0.35">
      <c r="K33" t="str">
        <f t="shared" ca="1" si="2"/>
        <v>Cabo Verde</v>
      </c>
      <c r="L33" t="s">
        <v>606</v>
      </c>
      <c r="M33" t="s">
        <v>606</v>
      </c>
      <c r="N33" t="s">
        <v>606</v>
      </c>
    </row>
    <row r="34" spans="6:14" x14ac:dyDescent="0.35">
      <c r="K34" t="str">
        <f t="shared" ca="1" si="2"/>
        <v>Cambodia</v>
      </c>
      <c r="L34" t="s">
        <v>607</v>
      </c>
      <c r="M34" t="s">
        <v>608</v>
      </c>
      <c r="N34" t="s">
        <v>609</v>
      </c>
    </row>
    <row r="35" spans="6:14" x14ac:dyDescent="0.35">
      <c r="F35" s="156"/>
      <c r="G35" s="156"/>
      <c r="K35" t="str">
        <f t="shared" ca="1" si="2"/>
        <v>Cameroon</v>
      </c>
      <c r="L35" t="s">
        <v>610</v>
      </c>
      <c r="M35" t="s">
        <v>611</v>
      </c>
      <c r="N35" t="s">
        <v>612</v>
      </c>
    </row>
    <row r="36" spans="6:14" x14ac:dyDescent="0.35">
      <c r="F36" s="156"/>
      <c r="G36" s="156"/>
      <c r="K36" t="str">
        <f t="shared" ca="1" si="2"/>
        <v>Canada</v>
      </c>
      <c r="L36" t="s">
        <v>613</v>
      </c>
      <c r="M36" t="s">
        <v>613</v>
      </c>
      <c r="N36" t="s">
        <v>614</v>
      </c>
    </row>
    <row r="37" spans="6:14" x14ac:dyDescent="0.35">
      <c r="K37" t="str">
        <f t="shared" ca="1" si="2"/>
        <v>Central African Republic</v>
      </c>
      <c r="L37" t="s">
        <v>615</v>
      </c>
      <c r="M37" t="s">
        <v>616</v>
      </c>
      <c r="N37" t="s">
        <v>617</v>
      </c>
    </row>
    <row r="38" spans="6:14" x14ac:dyDescent="0.35">
      <c r="K38" t="str">
        <f t="shared" ca="1" si="2"/>
        <v>Chad</v>
      </c>
      <c r="L38" t="s">
        <v>618</v>
      </c>
      <c r="M38" t="s">
        <v>619</v>
      </c>
      <c r="N38" t="s">
        <v>618</v>
      </c>
    </row>
    <row r="39" spans="6:14" x14ac:dyDescent="0.35">
      <c r="K39" t="str">
        <f t="shared" ca="1" si="2"/>
        <v>Chile</v>
      </c>
      <c r="L39" t="s">
        <v>620</v>
      </c>
      <c r="M39" t="s">
        <v>621</v>
      </c>
      <c r="N39" t="s">
        <v>620</v>
      </c>
    </row>
    <row r="40" spans="6:14" x14ac:dyDescent="0.35">
      <c r="K40" t="str">
        <f t="shared" ca="1" si="2"/>
        <v>China</v>
      </c>
      <c r="L40" t="s">
        <v>622</v>
      </c>
      <c r="M40" t="s">
        <v>623</v>
      </c>
      <c r="N40" t="s">
        <v>622</v>
      </c>
    </row>
    <row r="41" spans="6:14" x14ac:dyDescent="0.35">
      <c r="K41" t="str">
        <f t="shared" ca="1" si="2"/>
        <v>Colombia</v>
      </c>
      <c r="L41" t="s">
        <v>624</v>
      </c>
      <c r="M41" t="s">
        <v>625</v>
      </c>
      <c r="N41" t="s">
        <v>624</v>
      </c>
    </row>
    <row r="42" spans="6:14" x14ac:dyDescent="0.35">
      <c r="K42" t="str">
        <f t="shared" ca="1" si="2"/>
        <v>Comoros</v>
      </c>
      <c r="L42" t="s">
        <v>626</v>
      </c>
      <c r="M42" t="s">
        <v>627</v>
      </c>
      <c r="N42" t="s">
        <v>628</v>
      </c>
    </row>
    <row r="43" spans="6:14" x14ac:dyDescent="0.35">
      <c r="K43" t="str">
        <f t="shared" ca="1" si="2"/>
        <v>Congo</v>
      </c>
      <c r="L43" t="s">
        <v>629</v>
      </c>
      <c r="M43" t="s">
        <v>629</v>
      </c>
      <c r="N43" t="s">
        <v>629</v>
      </c>
    </row>
    <row r="44" spans="6:14" x14ac:dyDescent="0.35">
      <c r="K44" t="str">
        <f t="shared" ca="1" si="2"/>
        <v>Congo (Democratic Republic)</v>
      </c>
      <c r="L44" t="s">
        <v>630</v>
      </c>
      <c r="M44" t="s">
        <v>631</v>
      </c>
      <c r="N44" t="s">
        <v>632</v>
      </c>
    </row>
    <row r="45" spans="6:14" x14ac:dyDescent="0.35">
      <c r="K45" t="str">
        <f t="shared" ca="1" si="2"/>
        <v>Cook Islands</v>
      </c>
      <c r="L45" t="s">
        <v>633</v>
      </c>
      <c r="M45" t="s">
        <v>634</v>
      </c>
      <c r="N45" t="s">
        <v>635</v>
      </c>
    </row>
    <row r="46" spans="6:14" x14ac:dyDescent="0.35">
      <c r="K46" t="str">
        <f t="shared" ca="1" si="2"/>
        <v>Costa Rica</v>
      </c>
      <c r="L46" t="s">
        <v>636</v>
      </c>
      <c r="M46" t="s">
        <v>636</v>
      </c>
      <c r="N46" t="s">
        <v>636</v>
      </c>
    </row>
    <row r="47" spans="6:14" x14ac:dyDescent="0.35">
      <c r="K47" t="str">
        <f t="shared" ca="1" si="2"/>
        <v>Côte d'Ivoire</v>
      </c>
      <c r="L47" t="s">
        <v>637</v>
      </c>
      <c r="M47" t="s">
        <v>637</v>
      </c>
      <c r="N47" t="s">
        <v>637</v>
      </c>
    </row>
    <row r="48" spans="6:14" x14ac:dyDescent="0.35">
      <c r="K48" t="str">
        <f t="shared" ca="1" si="2"/>
        <v>Croatia</v>
      </c>
      <c r="L48" t="s">
        <v>638</v>
      </c>
      <c r="M48" t="s">
        <v>639</v>
      </c>
      <c r="N48" t="s">
        <v>640</v>
      </c>
    </row>
    <row r="49" spans="11:14" x14ac:dyDescent="0.35">
      <c r="K49" t="str">
        <f t="shared" ca="1" si="2"/>
        <v>Cuba</v>
      </c>
      <c r="L49" t="s">
        <v>641</v>
      </c>
      <c r="M49" t="s">
        <v>641</v>
      </c>
      <c r="N49" t="s">
        <v>641</v>
      </c>
    </row>
    <row r="50" spans="11:14" x14ac:dyDescent="0.35">
      <c r="K50" t="str">
        <f t="shared" ca="1" si="2"/>
        <v>Curacao</v>
      </c>
      <c r="L50" t="s">
        <v>642</v>
      </c>
      <c r="M50" t="s">
        <v>643</v>
      </c>
      <c r="N50" t="s">
        <v>643</v>
      </c>
    </row>
    <row r="51" spans="11:14" x14ac:dyDescent="0.35">
      <c r="K51" t="str">
        <f t="shared" ca="1" si="2"/>
        <v>Cyprus</v>
      </c>
      <c r="L51" t="s">
        <v>644</v>
      </c>
      <c r="M51" t="s">
        <v>645</v>
      </c>
      <c r="N51" t="s">
        <v>646</v>
      </c>
    </row>
    <row r="52" spans="11:14" x14ac:dyDescent="0.35">
      <c r="K52" t="str">
        <f t="shared" ca="1" si="2"/>
        <v>Czechia</v>
      </c>
      <c r="L52" t="s">
        <v>647</v>
      </c>
      <c r="M52" t="s">
        <v>648</v>
      </c>
      <c r="N52" t="s">
        <v>649</v>
      </c>
    </row>
    <row r="53" spans="11:14" x14ac:dyDescent="0.35">
      <c r="K53" t="str">
        <f t="shared" ca="1" si="2"/>
        <v>Denmark</v>
      </c>
      <c r="L53" t="s">
        <v>650</v>
      </c>
      <c r="M53" t="s">
        <v>651</v>
      </c>
      <c r="N53" t="s">
        <v>652</v>
      </c>
    </row>
    <row r="54" spans="11:14" x14ac:dyDescent="0.35">
      <c r="K54" t="str">
        <f t="shared" ca="1" si="2"/>
        <v>Djibouti</v>
      </c>
      <c r="L54" t="s">
        <v>653</v>
      </c>
      <c r="M54" t="s">
        <v>653</v>
      </c>
      <c r="N54" t="s">
        <v>653</v>
      </c>
    </row>
    <row r="55" spans="11:14" x14ac:dyDescent="0.35">
      <c r="K55" t="str">
        <f t="shared" ca="1" si="2"/>
        <v>Dominica</v>
      </c>
      <c r="L55" t="s">
        <v>654</v>
      </c>
      <c r="M55" t="s">
        <v>655</v>
      </c>
      <c r="N55" t="s">
        <v>654</v>
      </c>
    </row>
    <row r="56" spans="11:14" x14ac:dyDescent="0.35">
      <c r="K56" t="str">
        <f t="shared" ca="1" si="2"/>
        <v>Dominican Republic</v>
      </c>
      <c r="L56" t="s">
        <v>656</v>
      </c>
      <c r="M56" t="s">
        <v>657</v>
      </c>
      <c r="N56" t="s">
        <v>658</v>
      </c>
    </row>
    <row r="57" spans="11:14" x14ac:dyDescent="0.35">
      <c r="K57" t="str">
        <f t="shared" ca="1" si="2"/>
        <v>Ecuador</v>
      </c>
      <c r="L57" t="s">
        <v>659</v>
      </c>
      <c r="M57" t="s">
        <v>660</v>
      </c>
      <c r="N57" t="s">
        <v>659</v>
      </c>
    </row>
    <row r="58" spans="11:14" x14ac:dyDescent="0.35">
      <c r="K58" t="str">
        <f t="shared" ca="1" si="2"/>
        <v>Egypt</v>
      </c>
      <c r="L58" t="s">
        <v>661</v>
      </c>
      <c r="M58" t="s">
        <v>662</v>
      </c>
      <c r="N58" t="s">
        <v>663</v>
      </c>
    </row>
    <row r="59" spans="11:14" x14ac:dyDescent="0.35">
      <c r="K59" t="str">
        <f t="shared" ca="1" si="2"/>
        <v>El Salvador</v>
      </c>
      <c r="L59" t="s">
        <v>664</v>
      </c>
      <c r="M59" t="s">
        <v>665</v>
      </c>
      <c r="N59" t="s">
        <v>664</v>
      </c>
    </row>
    <row r="60" spans="11:14" x14ac:dyDescent="0.35">
      <c r="K60" t="str">
        <f t="shared" ca="1" si="2"/>
        <v>Equatorial Guinea</v>
      </c>
      <c r="L60" t="s">
        <v>666</v>
      </c>
      <c r="M60" t="s">
        <v>667</v>
      </c>
      <c r="N60" t="s">
        <v>668</v>
      </c>
    </row>
    <row r="61" spans="11:14" x14ac:dyDescent="0.35">
      <c r="K61" t="str">
        <f t="shared" ca="1" si="2"/>
        <v>Eritrea</v>
      </c>
      <c r="L61" t="s">
        <v>669</v>
      </c>
      <c r="M61" t="s">
        <v>670</v>
      </c>
      <c r="N61" t="s">
        <v>669</v>
      </c>
    </row>
    <row r="62" spans="11:14" x14ac:dyDescent="0.35">
      <c r="K62" t="str">
        <f t="shared" ca="1" si="2"/>
        <v>Estonia</v>
      </c>
      <c r="L62" t="s">
        <v>671</v>
      </c>
      <c r="M62" t="s">
        <v>672</v>
      </c>
      <c r="N62" t="s">
        <v>671</v>
      </c>
    </row>
    <row r="63" spans="11:14" x14ac:dyDescent="0.35">
      <c r="K63" t="str">
        <f t="shared" ca="1" si="2"/>
        <v>Eswatini</v>
      </c>
      <c r="L63" t="s">
        <v>673</v>
      </c>
      <c r="M63" t="s">
        <v>673</v>
      </c>
      <c r="N63" t="s">
        <v>673</v>
      </c>
    </row>
    <row r="64" spans="11:14" x14ac:dyDescent="0.35">
      <c r="K64" t="str">
        <f t="shared" ca="1" si="2"/>
        <v>Ethiopia</v>
      </c>
      <c r="L64" t="s">
        <v>674</v>
      </c>
      <c r="M64" t="s">
        <v>675</v>
      </c>
      <c r="N64" t="s">
        <v>676</v>
      </c>
    </row>
    <row r="65" spans="11:14" x14ac:dyDescent="0.35">
      <c r="K65" t="str">
        <f t="shared" ca="1" si="2"/>
        <v>Faeroe Islands</v>
      </c>
      <c r="L65" t="s">
        <v>677</v>
      </c>
      <c r="M65" t="s">
        <v>678</v>
      </c>
      <c r="N65" t="s">
        <v>679</v>
      </c>
    </row>
    <row r="66" spans="11:14" x14ac:dyDescent="0.35">
      <c r="K66" t="str">
        <f t="shared" ca="1" si="2"/>
        <v>Fiji</v>
      </c>
      <c r="L66" t="s">
        <v>680</v>
      </c>
      <c r="M66" t="s">
        <v>681</v>
      </c>
      <c r="N66" t="s">
        <v>680</v>
      </c>
    </row>
    <row r="67" spans="11:14" x14ac:dyDescent="0.35">
      <c r="K67" t="str">
        <f t="shared" ref="K67:K130" ca="1" si="10">OFFSET($L67,0,LangOffset,1,1)</f>
        <v>Finland</v>
      </c>
      <c r="L67" t="s">
        <v>682</v>
      </c>
      <c r="M67" t="s">
        <v>683</v>
      </c>
      <c r="N67" t="s">
        <v>684</v>
      </c>
    </row>
    <row r="68" spans="11:14" x14ac:dyDescent="0.35">
      <c r="K68" t="str">
        <f t="shared" ca="1" si="10"/>
        <v>France</v>
      </c>
      <c r="L68" t="s">
        <v>685</v>
      </c>
      <c r="M68" t="s">
        <v>685</v>
      </c>
      <c r="N68" t="s">
        <v>686</v>
      </c>
    </row>
    <row r="69" spans="11:14" x14ac:dyDescent="0.35">
      <c r="K69" t="str">
        <f t="shared" ca="1" si="10"/>
        <v>Gabon</v>
      </c>
      <c r="L69" t="s">
        <v>687</v>
      </c>
      <c r="M69" t="s">
        <v>687</v>
      </c>
      <c r="N69" t="s">
        <v>688</v>
      </c>
    </row>
    <row r="70" spans="11:14" x14ac:dyDescent="0.35">
      <c r="K70" t="str">
        <f t="shared" ca="1" si="10"/>
        <v>Gambia</v>
      </c>
      <c r="L70" t="s">
        <v>689</v>
      </c>
      <c r="M70" t="s">
        <v>690</v>
      </c>
      <c r="N70" t="s">
        <v>689</v>
      </c>
    </row>
    <row r="71" spans="11:14" x14ac:dyDescent="0.35">
      <c r="K71" t="str">
        <f t="shared" ca="1" si="10"/>
        <v>Georgia</v>
      </c>
      <c r="L71" t="s">
        <v>691</v>
      </c>
      <c r="M71" t="s">
        <v>692</v>
      </c>
      <c r="N71" t="s">
        <v>691</v>
      </c>
    </row>
    <row r="72" spans="11:14" x14ac:dyDescent="0.35">
      <c r="K72" t="str">
        <f t="shared" ca="1" si="10"/>
        <v>Germany</v>
      </c>
      <c r="L72" t="s">
        <v>693</v>
      </c>
      <c r="M72" t="s">
        <v>694</v>
      </c>
      <c r="N72" t="s">
        <v>695</v>
      </c>
    </row>
    <row r="73" spans="11:14" x14ac:dyDescent="0.35">
      <c r="K73" t="str">
        <f t="shared" ca="1" si="10"/>
        <v>Ghana</v>
      </c>
      <c r="L73" t="s">
        <v>696</v>
      </c>
      <c r="M73" t="s">
        <v>696</v>
      </c>
      <c r="N73" t="s">
        <v>696</v>
      </c>
    </row>
    <row r="74" spans="11:14" x14ac:dyDescent="0.35">
      <c r="K74" t="str">
        <f t="shared" ca="1" si="10"/>
        <v>Greece</v>
      </c>
      <c r="L74" t="s">
        <v>697</v>
      </c>
      <c r="M74" t="s">
        <v>698</v>
      </c>
      <c r="N74" t="s">
        <v>699</v>
      </c>
    </row>
    <row r="75" spans="11:14" x14ac:dyDescent="0.35">
      <c r="K75" t="str">
        <f t="shared" ca="1" si="10"/>
        <v>Greenland</v>
      </c>
      <c r="L75" t="s">
        <v>700</v>
      </c>
      <c r="M75" t="s">
        <v>701</v>
      </c>
      <c r="N75" t="s">
        <v>702</v>
      </c>
    </row>
    <row r="76" spans="11:14" x14ac:dyDescent="0.35">
      <c r="K76" t="str">
        <f t="shared" ca="1" si="10"/>
        <v>Grenada</v>
      </c>
      <c r="L76" t="s">
        <v>703</v>
      </c>
      <c r="M76" t="s">
        <v>704</v>
      </c>
      <c r="N76" t="s">
        <v>705</v>
      </c>
    </row>
    <row r="77" spans="11:14" x14ac:dyDescent="0.35">
      <c r="K77" t="str">
        <f t="shared" ca="1" si="10"/>
        <v>Guatemala</v>
      </c>
      <c r="L77" t="s">
        <v>706</v>
      </c>
      <c r="M77" t="s">
        <v>706</v>
      </c>
      <c r="N77" t="s">
        <v>706</v>
      </c>
    </row>
    <row r="78" spans="11:14" x14ac:dyDescent="0.35">
      <c r="K78" t="str">
        <f t="shared" ca="1" si="10"/>
        <v>Guinea</v>
      </c>
      <c r="L78" t="s">
        <v>707</v>
      </c>
      <c r="M78" t="s">
        <v>708</v>
      </c>
      <c r="N78" t="s">
        <v>707</v>
      </c>
    </row>
    <row r="79" spans="11:14" x14ac:dyDescent="0.35">
      <c r="K79" t="str">
        <f t="shared" ca="1" si="10"/>
        <v>Guinea-Bissau</v>
      </c>
      <c r="L79" t="s">
        <v>709</v>
      </c>
      <c r="M79" t="s">
        <v>710</v>
      </c>
      <c r="N79" t="s">
        <v>711</v>
      </c>
    </row>
    <row r="80" spans="11:14" x14ac:dyDescent="0.35">
      <c r="K80" t="str">
        <f t="shared" ca="1" si="10"/>
        <v>Guyana</v>
      </c>
      <c r="L80" t="s">
        <v>712</v>
      </c>
      <c r="M80" t="s">
        <v>712</v>
      </c>
      <c r="N80" t="s">
        <v>712</v>
      </c>
    </row>
    <row r="81" spans="11:14" x14ac:dyDescent="0.35">
      <c r="K81" t="str">
        <f t="shared" ca="1" si="10"/>
        <v>Haiti</v>
      </c>
      <c r="L81" t="s">
        <v>713</v>
      </c>
      <c r="M81" t="s">
        <v>714</v>
      </c>
      <c r="N81" t="s">
        <v>715</v>
      </c>
    </row>
    <row r="82" spans="11:14" x14ac:dyDescent="0.35">
      <c r="K82" t="str">
        <f t="shared" ca="1" si="10"/>
        <v>Holy See</v>
      </c>
      <c r="L82" t="s">
        <v>716</v>
      </c>
      <c r="M82" t="s">
        <v>717</v>
      </c>
      <c r="N82" t="s">
        <v>718</v>
      </c>
    </row>
    <row r="83" spans="11:14" x14ac:dyDescent="0.35">
      <c r="K83" t="str">
        <f t="shared" ca="1" si="10"/>
        <v>Honduras</v>
      </c>
      <c r="L83" t="s">
        <v>719</v>
      </c>
      <c r="M83" t="s">
        <v>719</v>
      </c>
      <c r="N83" t="s">
        <v>719</v>
      </c>
    </row>
    <row r="84" spans="11:14" x14ac:dyDescent="0.35">
      <c r="K84" t="str">
        <f t="shared" ca="1" si="10"/>
        <v>Hungary</v>
      </c>
      <c r="L84" t="s">
        <v>720</v>
      </c>
      <c r="M84" t="s">
        <v>721</v>
      </c>
      <c r="N84" t="s">
        <v>722</v>
      </c>
    </row>
    <row r="85" spans="11:14" x14ac:dyDescent="0.35">
      <c r="K85" t="str">
        <f t="shared" ca="1" si="10"/>
        <v>Iceland</v>
      </c>
      <c r="L85" t="s">
        <v>723</v>
      </c>
      <c r="M85" t="s">
        <v>724</v>
      </c>
      <c r="N85" t="s">
        <v>725</v>
      </c>
    </row>
    <row r="86" spans="11:14" x14ac:dyDescent="0.35">
      <c r="K86" t="str">
        <f t="shared" ca="1" si="10"/>
        <v>India</v>
      </c>
      <c r="L86" t="s">
        <v>726</v>
      </c>
      <c r="M86" t="s">
        <v>727</v>
      </c>
      <c r="N86" t="s">
        <v>726</v>
      </c>
    </row>
    <row r="87" spans="11:14" x14ac:dyDescent="0.35">
      <c r="K87" t="str">
        <f t="shared" ca="1" si="10"/>
        <v>Indonesia</v>
      </c>
      <c r="L87" t="s">
        <v>728</v>
      </c>
      <c r="M87" t="s">
        <v>729</v>
      </c>
      <c r="N87" t="s">
        <v>728</v>
      </c>
    </row>
    <row r="88" spans="11:14" x14ac:dyDescent="0.35">
      <c r="K88" t="str">
        <f t="shared" ca="1" si="10"/>
        <v>Iran (Islamic Republic)</v>
      </c>
      <c r="L88" t="s">
        <v>730</v>
      </c>
      <c r="M88" t="s">
        <v>731</v>
      </c>
      <c r="N88" t="s">
        <v>732</v>
      </c>
    </row>
    <row r="89" spans="11:14" x14ac:dyDescent="0.35">
      <c r="K89" t="str">
        <f t="shared" ca="1" si="10"/>
        <v>Iraq</v>
      </c>
      <c r="L89" t="s">
        <v>733</v>
      </c>
      <c r="M89" t="s">
        <v>734</v>
      </c>
      <c r="N89" t="s">
        <v>733</v>
      </c>
    </row>
    <row r="90" spans="11:14" x14ac:dyDescent="0.35">
      <c r="K90" t="str">
        <f t="shared" ca="1" si="10"/>
        <v>Ireland</v>
      </c>
      <c r="L90" t="s">
        <v>735</v>
      </c>
      <c r="M90" t="s">
        <v>736</v>
      </c>
      <c r="N90" t="s">
        <v>737</v>
      </c>
    </row>
    <row r="91" spans="11:14" x14ac:dyDescent="0.35">
      <c r="K91" t="str">
        <f t="shared" ca="1" si="10"/>
        <v>Israel</v>
      </c>
      <c r="L91" t="s">
        <v>738</v>
      </c>
      <c r="M91" t="s">
        <v>739</v>
      </c>
      <c r="N91" t="s">
        <v>738</v>
      </c>
    </row>
    <row r="92" spans="11:14" x14ac:dyDescent="0.35">
      <c r="K92" t="str">
        <f t="shared" ca="1" si="10"/>
        <v>Italy</v>
      </c>
      <c r="L92" t="s">
        <v>740</v>
      </c>
      <c r="M92" t="s">
        <v>741</v>
      </c>
      <c r="N92" t="s">
        <v>742</v>
      </c>
    </row>
    <row r="93" spans="11:14" x14ac:dyDescent="0.35">
      <c r="K93" t="str">
        <f t="shared" ca="1" si="10"/>
        <v>Jamaica</v>
      </c>
      <c r="L93" t="s">
        <v>743</v>
      </c>
      <c r="M93" t="s">
        <v>744</v>
      </c>
      <c r="N93" t="s">
        <v>743</v>
      </c>
    </row>
    <row r="94" spans="11:14" x14ac:dyDescent="0.35">
      <c r="K94" t="str">
        <f t="shared" ca="1" si="10"/>
        <v>Japan</v>
      </c>
      <c r="L94" t="s">
        <v>745</v>
      </c>
      <c r="M94" t="s">
        <v>746</v>
      </c>
      <c r="N94" t="s">
        <v>747</v>
      </c>
    </row>
    <row r="95" spans="11:14" x14ac:dyDescent="0.35">
      <c r="K95" t="str">
        <f t="shared" ca="1" si="10"/>
        <v>Jordan</v>
      </c>
      <c r="L95" t="s">
        <v>748</v>
      </c>
      <c r="M95" t="s">
        <v>749</v>
      </c>
      <c r="N95" t="s">
        <v>750</v>
      </c>
    </row>
    <row r="96" spans="11:14" x14ac:dyDescent="0.35">
      <c r="K96" t="str">
        <f t="shared" ca="1" si="10"/>
        <v>Kazakhstan</v>
      </c>
      <c r="L96" t="s">
        <v>751</v>
      </c>
      <c r="M96" t="s">
        <v>751</v>
      </c>
      <c r="N96" t="s">
        <v>752</v>
      </c>
    </row>
    <row r="97" spans="11:14" x14ac:dyDescent="0.35">
      <c r="K97" t="str">
        <f t="shared" ca="1" si="10"/>
        <v>Kenya</v>
      </c>
      <c r="L97" t="s">
        <v>753</v>
      </c>
      <c r="M97" t="s">
        <v>753</v>
      </c>
      <c r="N97" t="s">
        <v>753</v>
      </c>
    </row>
    <row r="98" spans="11:14" x14ac:dyDescent="0.35">
      <c r="K98" t="str">
        <f t="shared" ca="1" si="10"/>
        <v>Kiribati</v>
      </c>
      <c r="L98" t="s">
        <v>754</v>
      </c>
      <c r="M98" t="s">
        <v>754</v>
      </c>
      <c r="N98" t="s">
        <v>754</v>
      </c>
    </row>
    <row r="99" spans="11:14" x14ac:dyDescent="0.35">
      <c r="K99" t="str">
        <f t="shared" ca="1" si="10"/>
        <v>Korea (Democratic Peoples Republic)</v>
      </c>
      <c r="L99" t="s">
        <v>755</v>
      </c>
      <c r="M99" t="s">
        <v>756</v>
      </c>
      <c r="N99" t="s">
        <v>757</v>
      </c>
    </row>
    <row r="100" spans="11:14" x14ac:dyDescent="0.35">
      <c r="K100" t="str">
        <f t="shared" ca="1" si="10"/>
        <v>Korea (Republic)</v>
      </c>
      <c r="L100" t="s">
        <v>758</v>
      </c>
      <c r="M100" t="s">
        <v>759</v>
      </c>
      <c r="N100" t="s">
        <v>760</v>
      </c>
    </row>
    <row r="101" spans="11:14" x14ac:dyDescent="0.35">
      <c r="K101" t="str">
        <f t="shared" ca="1" si="10"/>
        <v>Kosovo</v>
      </c>
      <c r="L101" t="s">
        <v>761</v>
      </c>
      <c r="M101" t="s">
        <v>761</v>
      </c>
      <c r="N101" t="s">
        <v>761</v>
      </c>
    </row>
    <row r="102" spans="11:14" x14ac:dyDescent="0.35">
      <c r="K102" t="str">
        <f t="shared" ca="1" si="10"/>
        <v>Kuwait</v>
      </c>
      <c r="L102" t="s">
        <v>762</v>
      </c>
      <c r="M102" t="s">
        <v>763</v>
      </c>
      <c r="N102" t="s">
        <v>762</v>
      </c>
    </row>
    <row r="103" spans="11:14" x14ac:dyDescent="0.35">
      <c r="K103" t="str">
        <f t="shared" ca="1" si="10"/>
        <v>Kyrgyzstan</v>
      </c>
      <c r="L103" t="s">
        <v>764</v>
      </c>
      <c r="M103" t="s">
        <v>765</v>
      </c>
      <c r="N103" t="s">
        <v>766</v>
      </c>
    </row>
    <row r="104" spans="11:14" x14ac:dyDescent="0.35">
      <c r="K104" t="str">
        <f t="shared" ca="1" si="10"/>
        <v>Lao (Peoples Democratic Republic)</v>
      </c>
      <c r="L104" t="s">
        <v>767</v>
      </c>
      <c r="M104" t="s">
        <v>768</v>
      </c>
      <c r="N104" t="s">
        <v>769</v>
      </c>
    </row>
    <row r="105" spans="11:14" x14ac:dyDescent="0.35">
      <c r="K105" t="str">
        <f t="shared" ca="1" si="10"/>
        <v>Latvia</v>
      </c>
      <c r="L105" t="s">
        <v>770</v>
      </c>
      <c r="M105" t="s">
        <v>771</v>
      </c>
      <c r="N105" t="s">
        <v>772</v>
      </c>
    </row>
    <row r="106" spans="11:14" x14ac:dyDescent="0.35">
      <c r="K106" t="str">
        <f t="shared" ca="1" si="10"/>
        <v>Lebanon</v>
      </c>
      <c r="L106" t="s">
        <v>773</v>
      </c>
      <c r="M106" t="s">
        <v>774</v>
      </c>
      <c r="N106" t="s">
        <v>775</v>
      </c>
    </row>
    <row r="107" spans="11:14" x14ac:dyDescent="0.35">
      <c r="K107" t="str">
        <f t="shared" ca="1" si="10"/>
        <v>Lesotho</v>
      </c>
      <c r="L107" t="s">
        <v>776</v>
      </c>
      <c r="M107" t="s">
        <v>776</v>
      </c>
      <c r="N107" t="s">
        <v>776</v>
      </c>
    </row>
    <row r="108" spans="11:14" x14ac:dyDescent="0.35">
      <c r="K108" t="str">
        <f t="shared" ca="1" si="10"/>
        <v>Liberia</v>
      </c>
      <c r="L108" t="s">
        <v>777</v>
      </c>
      <c r="M108" t="s">
        <v>777</v>
      </c>
      <c r="N108" t="s">
        <v>777</v>
      </c>
    </row>
    <row r="109" spans="11:14" x14ac:dyDescent="0.35">
      <c r="K109" t="str">
        <f t="shared" ca="1" si="10"/>
        <v>Libya</v>
      </c>
      <c r="L109" t="s">
        <v>778</v>
      </c>
      <c r="M109" t="s">
        <v>779</v>
      </c>
      <c r="N109" t="s">
        <v>780</v>
      </c>
    </row>
    <row r="110" spans="11:14" x14ac:dyDescent="0.35">
      <c r="K110" t="str">
        <f t="shared" ca="1" si="10"/>
        <v>Liechtenstein</v>
      </c>
      <c r="L110" t="s">
        <v>781</v>
      </c>
      <c r="M110" t="s">
        <v>781</v>
      </c>
      <c r="N110" t="s">
        <v>781</v>
      </c>
    </row>
    <row r="111" spans="11:14" x14ac:dyDescent="0.35">
      <c r="K111" t="str">
        <f t="shared" ca="1" si="10"/>
        <v>Lithuania</v>
      </c>
      <c r="L111" t="s">
        <v>782</v>
      </c>
      <c r="M111" t="s">
        <v>783</v>
      </c>
      <c r="N111" t="s">
        <v>784</v>
      </c>
    </row>
    <row r="112" spans="11:14" x14ac:dyDescent="0.35">
      <c r="K112" t="str">
        <f t="shared" ca="1" si="10"/>
        <v>Luxembourg</v>
      </c>
      <c r="L112" t="s">
        <v>785</v>
      </c>
      <c r="M112" t="s">
        <v>785</v>
      </c>
      <c r="N112" t="s">
        <v>786</v>
      </c>
    </row>
    <row r="113" spans="11:14" x14ac:dyDescent="0.35">
      <c r="K113" t="str">
        <f t="shared" ca="1" si="10"/>
        <v>Madagascar</v>
      </c>
      <c r="L113" t="s">
        <v>787</v>
      </c>
      <c r="M113" t="s">
        <v>787</v>
      </c>
      <c r="N113" t="s">
        <v>787</v>
      </c>
    </row>
    <row r="114" spans="11:14" x14ac:dyDescent="0.35">
      <c r="K114" t="str">
        <f t="shared" ca="1" si="10"/>
        <v>Malawi</v>
      </c>
      <c r="L114" t="s">
        <v>788</v>
      </c>
      <c r="M114" t="s">
        <v>788</v>
      </c>
      <c r="N114" t="s">
        <v>788</v>
      </c>
    </row>
    <row r="115" spans="11:14" x14ac:dyDescent="0.35">
      <c r="K115" t="str">
        <f t="shared" ca="1" si="10"/>
        <v>Malaysia</v>
      </c>
      <c r="L115" t="s">
        <v>789</v>
      </c>
      <c r="M115" t="s">
        <v>790</v>
      </c>
      <c r="N115" t="s">
        <v>791</v>
      </c>
    </row>
    <row r="116" spans="11:14" x14ac:dyDescent="0.35">
      <c r="K116" t="str">
        <f t="shared" ca="1" si="10"/>
        <v>Maldives</v>
      </c>
      <c r="L116" t="s">
        <v>792</v>
      </c>
      <c r="M116" t="s">
        <v>792</v>
      </c>
      <c r="N116" t="s">
        <v>793</v>
      </c>
    </row>
    <row r="117" spans="11:14" x14ac:dyDescent="0.35">
      <c r="K117" t="str">
        <f t="shared" ca="1" si="10"/>
        <v>Mali</v>
      </c>
      <c r="L117" t="s">
        <v>794</v>
      </c>
      <c r="M117" t="s">
        <v>794</v>
      </c>
      <c r="N117" t="s">
        <v>795</v>
      </c>
    </row>
    <row r="118" spans="11:14" x14ac:dyDescent="0.35">
      <c r="K118" t="str">
        <f t="shared" ca="1" si="10"/>
        <v>Malta</v>
      </c>
      <c r="L118" t="s">
        <v>796</v>
      </c>
      <c r="M118" t="s">
        <v>797</v>
      </c>
      <c r="N118" t="s">
        <v>796</v>
      </c>
    </row>
    <row r="119" spans="11:14" x14ac:dyDescent="0.35">
      <c r="K119" t="str">
        <f t="shared" ca="1" si="10"/>
        <v>Marshall Islands</v>
      </c>
      <c r="L119" t="s">
        <v>798</v>
      </c>
      <c r="M119" t="s">
        <v>799</v>
      </c>
      <c r="N119" t="s">
        <v>800</v>
      </c>
    </row>
    <row r="120" spans="11:14" x14ac:dyDescent="0.35">
      <c r="K120" t="str">
        <f t="shared" ca="1" si="10"/>
        <v>Mauritania</v>
      </c>
      <c r="L120" t="s">
        <v>801</v>
      </c>
      <c r="M120" t="s">
        <v>802</v>
      </c>
      <c r="N120" t="s">
        <v>801</v>
      </c>
    </row>
    <row r="121" spans="11:14" x14ac:dyDescent="0.35">
      <c r="K121" t="str">
        <f t="shared" ca="1" si="10"/>
        <v>Mauritius</v>
      </c>
      <c r="L121" t="s">
        <v>803</v>
      </c>
      <c r="M121" t="s">
        <v>804</v>
      </c>
      <c r="N121" t="s">
        <v>805</v>
      </c>
    </row>
    <row r="122" spans="11:14" x14ac:dyDescent="0.35">
      <c r="K122" t="str">
        <f t="shared" ca="1" si="10"/>
        <v>Mexico</v>
      </c>
      <c r="L122" t="s">
        <v>806</v>
      </c>
      <c r="M122" t="s">
        <v>807</v>
      </c>
      <c r="N122" t="s">
        <v>808</v>
      </c>
    </row>
    <row r="123" spans="11:14" x14ac:dyDescent="0.35">
      <c r="K123" t="str">
        <f t="shared" ca="1" si="10"/>
        <v>Micronesia (Federated States)</v>
      </c>
      <c r="L123" t="s">
        <v>809</v>
      </c>
      <c r="M123" t="s">
        <v>810</v>
      </c>
      <c r="N123" t="s">
        <v>811</v>
      </c>
    </row>
    <row r="124" spans="11:14" x14ac:dyDescent="0.35">
      <c r="K124" t="str">
        <f t="shared" ca="1" si="10"/>
        <v>Moldova</v>
      </c>
      <c r="L124" t="s">
        <v>812</v>
      </c>
      <c r="M124" t="s">
        <v>813</v>
      </c>
      <c r="N124" t="s">
        <v>814</v>
      </c>
    </row>
    <row r="125" spans="11:14" x14ac:dyDescent="0.35">
      <c r="K125" t="str">
        <f t="shared" ca="1" si="10"/>
        <v>Monaco</v>
      </c>
      <c r="L125" t="s">
        <v>815</v>
      </c>
      <c r="M125" t="s">
        <v>815</v>
      </c>
      <c r="N125" t="s">
        <v>816</v>
      </c>
    </row>
    <row r="126" spans="11:14" x14ac:dyDescent="0.35">
      <c r="K126" t="str">
        <f t="shared" ca="1" si="10"/>
        <v>Mongolia</v>
      </c>
      <c r="L126" t="s">
        <v>817</v>
      </c>
      <c r="M126" t="s">
        <v>818</v>
      </c>
      <c r="N126" t="s">
        <v>817</v>
      </c>
    </row>
    <row r="127" spans="11:14" x14ac:dyDescent="0.35">
      <c r="K127" t="str">
        <f t="shared" ca="1" si="10"/>
        <v>Montenegro</v>
      </c>
      <c r="L127" t="s">
        <v>819</v>
      </c>
      <c r="M127" t="s">
        <v>820</v>
      </c>
      <c r="N127" t="s">
        <v>819</v>
      </c>
    </row>
    <row r="128" spans="11:14" x14ac:dyDescent="0.35">
      <c r="K128" t="str">
        <f t="shared" ca="1" si="10"/>
        <v>Morocco</v>
      </c>
      <c r="L128" t="s">
        <v>821</v>
      </c>
      <c r="M128" t="s">
        <v>822</v>
      </c>
      <c r="N128" t="s">
        <v>823</v>
      </c>
    </row>
    <row r="129" spans="11:14" x14ac:dyDescent="0.35">
      <c r="K129" t="str">
        <f t="shared" ca="1" si="10"/>
        <v>Mozambique</v>
      </c>
      <c r="L129" t="s">
        <v>824</v>
      </c>
      <c r="M129" t="s">
        <v>824</v>
      </c>
      <c r="N129" t="s">
        <v>824</v>
      </c>
    </row>
    <row r="130" spans="11:14" x14ac:dyDescent="0.35">
      <c r="K130" t="str">
        <f t="shared" ca="1" si="10"/>
        <v>Myanmar</v>
      </c>
      <c r="L130" t="s">
        <v>825</v>
      </c>
      <c r="M130" t="s">
        <v>826</v>
      </c>
      <c r="N130" t="s">
        <v>825</v>
      </c>
    </row>
    <row r="131" spans="11:14" x14ac:dyDescent="0.35">
      <c r="K131" t="str">
        <f t="shared" ref="K131:K194" ca="1" si="11">OFFSET($L131,0,LangOffset,1,1)</f>
        <v>Namibia</v>
      </c>
      <c r="L131" t="s">
        <v>827</v>
      </c>
      <c r="M131" t="s">
        <v>828</v>
      </c>
      <c r="N131" t="s">
        <v>827</v>
      </c>
    </row>
    <row r="132" spans="11:14" x14ac:dyDescent="0.35">
      <c r="K132" t="str">
        <f t="shared" ca="1" si="11"/>
        <v>Nauru</v>
      </c>
      <c r="L132" t="s">
        <v>829</v>
      </c>
      <c r="M132" t="s">
        <v>829</v>
      </c>
      <c r="N132" t="s">
        <v>829</v>
      </c>
    </row>
    <row r="133" spans="11:14" x14ac:dyDescent="0.35">
      <c r="K133" t="str">
        <f t="shared" ca="1" si="11"/>
        <v>Nepal</v>
      </c>
      <c r="L133" t="s">
        <v>830</v>
      </c>
      <c r="M133" t="s">
        <v>831</v>
      </c>
      <c r="N133" t="s">
        <v>830</v>
      </c>
    </row>
    <row r="134" spans="11:14" x14ac:dyDescent="0.35">
      <c r="K134" t="str">
        <f t="shared" ca="1" si="11"/>
        <v>Netherlands</v>
      </c>
      <c r="L134" t="s">
        <v>832</v>
      </c>
      <c r="M134" t="s">
        <v>833</v>
      </c>
      <c r="N134" t="s">
        <v>834</v>
      </c>
    </row>
    <row r="135" spans="11:14" x14ac:dyDescent="0.35">
      <c r="K135" t="str">
        <f t="shared" ca="1" si="11"/>
        <v>New Zealand</v>
      </c>
      <c r="L135" t="s">
        <v>835</v>
      </c>
      <c r="M135" t="s">
        <v>836</v>
      </c>
      <c r="N135" t="s">
        <v>837</v>
      </c>
    </row>
    <row r="136" spans="11:14" x14ac:dyDescent="0.35">
      <c r="K136" t="str">
        <f t="shared" ca="1" si="11"/>
        <v>Nicaragua</v>
      </c>
      <c r="L136" t="s">
        <v>838</v>
      </c>
      <c r="M136" t="s">
        <v>838</v>
      </c>
      <c r="N136" t="s">
        <v>838</v>
      </c>
    </row>
    <row r="137" spans="11:14" x14ac:dyDescent="0.35">
      <c r="K137" t="str">
        <f t="shared" ca="1" si="11"/>
        <v>Niger</v>
      </c>
      <c r="L137" t="s">
        <v>839</v>
      </c>
      <c r="M137" t="s">
        <v>839</v>
      </c>
      <c r="N137" t="s">
        <v>840</v>
      </c>
    </row>
    <row r="138" spans="11:14" x14ac:dyDescent="0.35">
      <c r="K138" t="str">
        <f t="shared" ca="1" si="11"/>
        <v>Nigeria</v>
      </c>
      <c r="L138" t="s">
        <v>841</v>
      </c>
      <c r="M138" t="s">
        <v>841</v>
      </c>
      <c r="N138" t="s">
        <v>841</v>
      </c>
    </row>
    <row r="139" spans="11:14" x14ac:dyDescent="0.35">
      <c r="K139" t="str">
        <f t="shared" ca="1" si="11"/>
        <v>Niue</v>
      </c>
      <c r="L139" t="s">
        <v>842</v>
      </c>
      <c r="M139" t="s">
        <v>842</v>
      </c>
      <c r="N139" t="s">
        <v>842</v>
      </c>
    </row>
    <row r="140" spans="11:14" x14ac:dyDescent="0.35">
      <c r="K140" t="str">
        <f t="shared" ca="1" si="11"/>
        <v>North Macedonia</v>
      </c>
      <c r="L140" t="s">
        <v>843</v>
      </c>
      <c r="M140" t="s">
        <v>844</v>
      </c>
      <c r="N140" t="s">
        <v>845</v>
      </c>
    </row>
    <row r="141" spans="11:14" x14ac:dyDescent="0.35">
      <c r="K141" t="str">
        <f t="shared" ca="1" si="11"/>
        <v>Norway</v>
      </c>
      <c r="L141" t="s">
        <v>846</v>
      </c>
      <c r="M141" t="s">
        <v>847</v>
      </c>
      <c r="N141" t="s">
        <v>848</v>
      </c>
    </row>
    <row r="142" spans="11:14" x14ac:dyDescent="0.35">
      <c r="K142" t="str">
        <f t="shared" ca="1" si="11"/>
        <v>Oman</v>
      </c>
      <c r="L142" t="s">
        <v>849</v>
      </c>
      <c r="M142" t="s">
        <v>849</v>
      </c>
      <c r="N142" t="s">
        <v>850</v>
      </c>
    </row>
    <row r="143" spans="11:14" x14ac:dyDescent="0.35">
      <c r="K143" t="str">
        <f t="shared" ca="1" si="11"/>
        <v>Pakistan</v>
      </c>
      <c r="L143" t="s">
        <v>851</v>
      </c>
      <c r="M143" t="s">
        <v>851</v>
      </c>
      <c r="N143" t="s">
        <v>852</v>
      </c>
    </row>
    <row r="144" spans="11:14" x14ac:dyDescent="0.35">
      <c r="K144" t="str">
        <f t="shared" ca="1" si="11"/>
        <v>Palau</v>
      </c>
      <c r="L144" t="s">
        <v>853</v>
      </c>
      <c r="M144" t="s">
        <v>854</v>
      </c>
      <c r="N144" t="s">
        <v>853</v>
      </c>
    </row>
    <row r="145" spans="11:14" x14ac:dyDescent="0.35">
      <c r="K145" t="str">
        <f t="shared" ca="1" si="11"/>
        <v>Palestine</v>
      </c>
      <c r="L145" t="s">
        <v>855</v>
      </c>
      <c r="M145" t="s">
        <v>855</v>
      </c>
      <c r="N145" t="s">
        <v>856</v>
      </c>
    </row>
    <row r="146" spans="11:14" x14ac:dyDescent="0.35">
      <c r="K146" t="str">
        <f t="shared" ca="1" si="11"/>
        <v>Panama</v>
      </c>
      <c r="L146" t="s">
        <v>857</v>
      </c>
      <c r="M146" t="s">
        <v>857</v>
      </c>
      <c r="N146" t="s">
        <v>858</v>
      </c>
    </row>
    <row r="147" spans="11:14" x14ac:dyDescent="0.35">
      <c r="K147" t="str">
        <f t="shared" ca="1" si="11"/>
        <v>Papua New Guinea</v>
      </c>
      <c r="L147" t="s">
        <v>859</v>
      </c>
      <c r="M147" t="s">
        <v>860</v>
      </c>
      <c r="N147" t="s">
        <v>861</v>
      </c>
    </row>
    <row r="148" spans="11:14" x14ac:dyDescent="0.35">
      <c r="K148" t="str">
        <f t="shared" ca="1" si="11"/>
        <v>Paraguay</v>
      </c>
      <c r="L148" t="s">
        <v>862</v>
      </c>
      <c r="M148" t="s">
        <v>862</v>
      </c>
      <c r="N148" t="s">
        <v>862</v>
      </c>
    </row>
    <row r="149" spans="11:14" x14ac:dyDescent="0.35">
      <c r="K149" t="str">
        <f t="shared" ca="1" si="11"/>
        <v>Peru</v>
      </c>
      <c r="L149" t="s">
        <v>863</v>
      </c>
      <c r="M149" t="s">
        <v>864</v>
      </c>
      <c r="N149" t="s">
        <v>865</v>
      </c>
    </row>
    <row r="150" spans="11:14" x14ac:dyDescent="0.35">
      <c r="K150" t="str">
        <f t="shared" ca="1" si="11"/>
        <v>Philippines</v>
      </c>
      <c r="L150" t="s">
        <v>866</v>
      </c>
      <c r="M150" t="s">
        <v>866</v>
      </c>
      <c r="N150" t="s">
        <v>867</v>
      </c>
    </row>
    <row r="151" spans="11:14" x14ac:dyDescent="0.35">
      <c r="K151" t="str">
        <f t="shared" ca="1" si="11"/>
        <v>Poland</v>
      </c>
      <c r="L151" t="s">
        <v>868</v>
      </c>
      <c r="M151" t="s">
        <v>869</v>
      </c>
      <c r="N151" t="s">
        <v>870</v>
      </c>
    </row>
    <row r="152" spans="11:14" x14ac:dyDescent="0.35">
      <c r="K152" t="str">
        <f t="shared" ca="1" si="11"/>
        <v>Portugal</v>
      </c>
      <c r="L152" t="s">
        <v>871</v>
      </c>
      <c r="M152" t="s">
        <v>871</v>
      </c>
      <c r="N152" t="s">
        <v>871</v>
      </c>
    </row>
    <row r="153" spans="11:14" x14ac:dyDescent="0.35">
      <c r="K153" t="str">
        <f t="shared" ca="1" si="11"/>
        <v>Qatar</v>
      </c>
      <c r="L153" t="s">
        <v>872</v>
      </c>
      <c r="M153" t="s">
        <v>872</v>
      </c>
      <c r="N153" t="s">
        <v>872</v>
      </c>
    </row>
    <row r="154" spans="11:14" x14ac:dyDescent="0.35">
      <c r="K154" t="str">
        <f t="shared" ca="1" si="11"/>
        <v>Romania</v>
      </c>
      <c r="L154" t="s">
        <v>873</v>
      </c>
      <c r="M154" t="s">
        <v>874</v>
      </c>
      <c r="N154" t="s">
        <v>875</v>
      </c>
    </row>
    <row r="155" spans="11:14" x14ac:dyDescent="0.35">
      <c r="K155" t="str">
        <f t="shared" ca="1" si="11"/>
        <v>Russian Federation</v>
      </c>
      <c r="L155" t="s">
        <v>876</v>
      </c>
      <c r="M155" t="s">
        <v>877</v>
      </c>
      <c r="N155" t="s">
        <v>878</v>
      </c>
    </row>
    <row r="156" spans="11:14" x14ac:dyDescent="0.35">
      <c r="K156" t="str">
        <f t="shared" ca="1" si="11"/>
        <v>Rwanda</v>
      </c>
      <c r="L156" t="s">
        <v>879</v>
      </c>
      <c r="M156" t="s">
        <v>879</v>
      </c>
      <c r="N156" t="s">
        <v>879</v>
      </c>
    </row>
    <row r="157" spans="11:14" x14ac:dyDescent="0.35">
      <c r="K157" t="str">
        <f t="shared" ca="1" si="11"/>
        <v>Saint Kitts and Nevis</v>
      </c>
      <c r="L157" t="s">
        <v>880</v>
      </c>
      <c r="M157" t="s">
        <v>881</v>
      </c>
      <c r="N157" t="s">
        <v>882</v>
      </c>
    </row>
    <row r="158" spans="11:14" x14ac:dyDescent="0.35">
      <c r="K158" t="str">
        <f t="shared" ca="1" si="11"/>
        <v>Saint Lucia</v>
      </c>
      <c r="L158" t="s">
        <v>883</v>
      </c>
      <c r="M158" t="s">
        <v>884</v>
      </c>
      <c r="N158" t="s">
        <v>885</v>
      </c>
    </row>
    <row r="159" spans="11:14" x14ac:dyDescent="0.35">
      <c r="K159" t="str">
        <f t="shared" ca="1" si="11"/>
        <v>Saint Vincent and Grenadines</v>
      </c>
      <c r="L159" t="s">
        <v>886</v>
      </c>
      <c r="M159" t="s">
        <v>887</v>
      </c>
      <c r="N159" t="s">
        <v>888</v>
      </c>
    </row>
    <row r="160" spans="11:14" x14ac:dyDescent="0.35">
      <c r="K160" t="str">
        <f t="shared" ca="1" si="11"/>
        <v>Samoa</v>
      </c>
      <c r="L160" t="s">
        <v>889</v>
      </c>
      <c r="M160" t="s">
        <v>889</v>
      </c>
      <c r="N160" t="s">
        <v>889</v>
      </c>
    </row>
    <row r="161" spans="11:14" x14ac:dyDescent="0.35">
      <c r="K161" t="str">
        <f t="shared" ca="1" si="11"/>
        <v>San Marino</v>
      </c>
      <c r="L161" t="s">
        <v>890</v>
      </c>
      <c r="M161" t="s">
        <v>891</v>
      </c>
      <c r="N161" t="s">
        <v>890</v>
      </c>
    </row>
    <row r="162" spans="11:14" x14ac:dyDescent="0.35">
      <c r="K162" t="str">
        <f t="shared" ca="1" si="11"/>
        <v>Sao Tome and Principe</v>
      </c>
      <c r="L162" t="s">
        <v>892</v>
      </c>
      <c r="M162" t="s">
        <v>893</v>
      </c>
      <c r="N162" t="s">
        <v>894</v>
      </c>
    </row>
    <row r="163" spans="11:14" x14ac:dyDescent="0.35">
      <c r="K163" t="str">
        <f t="shared" ca="1" si="11"/>
        <v>Saudi Arabia</v>
      </c>
      <c r="L163" t="s">
        <v>895</v>
      </c>
      <c r="M163" t="s">
        <v>896</v>
      </c>
      <c r="N163" t="s">
        <v>897</v>
      </c>
    </row>
    <row r="164" spans="11:14" x14ac:dyDescent="0.35">
      <c r="K164" t="str">
        <f t="shared" ca="1" si="11"/>
        <v>Senegal</v>
      </c>
      <c r="L164" t="s">
        <v>898</v>
      </c>
      <c r="M164" t="s">
        <v>899</v>
      </c>
      <c r="N164" t="s">
        <v>898</v>
      </c>
    </row>
    <row r="165" spans="11:14" x14ac:dyDescent="0.35">
      <c r="K165" t="str">
        <f t="shared" ca="1" si="11"/>
        <v>Serbia</v>
      </c>
      <c r="L165" t="s">
        <v>900</v>
      </c>
      <c r="M165" t="s">
        <v>901</v>
      </c>
      <c r="N165" t="s">
        <v>900</v>
      </c>
    </row>
    <row r="166" spans="11:14" x14ac:dyDescent="0.35">
      <c r="K166" t="str">
        <f t="shared" ca="1" si="11"/>
        <v>Seychelles</v>
      </c>
      <c r="L166" t="s">
        <v>902</v>
      </c>
      <c r="M166" t="s">
        <v>902</v>
      </c>
      <c r="N166" t="s">
        <v>902</v>
      </c>
    </row>
    <row r="167" spans="11:14" x14ac:dyDescent="0.35">
      <c r="K167" t="str">
        <f t="shared" ca="1" si="11"/>
        <v>Sierra Leone</v>
      </c>
      <c r="L167" t="s">
        <v>903</v>
      </c>
      <c r="M167" t="s">
        <v>903</v>
      </c>
      <c r="N167" t="s">
        <v>904</v>
      </c>
    </row>
    <row r="168" spans="11:14" x14ac:dyDescent="0.35">
      <c r="K168" t="str">
        <f t="shared" ca="1" si="11"/>
        <v>Singapore</v>
      </c>
      <c r="L168" t="s">
        <v>905</v>
      </c>
      <c r="M168" t="s">
        <v>906</v>
      </c>
      <c r="N168" t="s">
        <v>907</v>
      </c>
    </row>
    <row r="169" spans="11:14" x14ac:dyDescent="0.35">
      <c r="K169" t="str">
        <f t="shared" ca="1" si="11"/>
        <v>Sint Maarten (Dutch part)</v>
      </c>
      <c r="L169" t="s">
        <v>908</v>
      </c>
      <c r="M169" t="s">
        <v>909</v>
      </c>
      <c r="N169" t="s">
        <v>910</v>
      </c>
    </row>
    <row r="170" spans="11:14" x14ac:dyDescent="0.35">
      <c r="K170" t="str">
        <f t="shared" ca="1" si="11"/>
        <v>Slovakia</v>
      </c>
      <c r="L170" t="s">
        <v>911</v>
      </c>
      <c r="M170" t="s">
        <v>912</v>
      </c>
      <c r="N170" t="s">
        <v>913</v>
      </c>
    </row>
    <row r="171" spans="11:14" x14ac:dyDescent="0.35">
      <c r="K171" t="str">
        <f t="shared" ca="1" si="11"/>
        <v>Slovenia</v>
      </c>
      <c r="L171" t="s">
        <v>914</v>
      </c>
      <c r="M171" t="s">
        <v>915</v>
      </c>
      <c r="N171" t="s">
        <v>916</v>
      </c>
    </row>
    <row r="172" spans="11:14" x14ac:dyDescent="0.35">
      <c r="K172" t="str">
        <f t="shared" ca="1" si="11"/>
        <v>Solomon Islands</v>
      </c>
      <c r="L172" t="s">
        <v>917</v>
      </c>
      <c r="M172" t="s">
        <v>918</v>
      </c>
      <c r="N172" t="s">
        <v>919</v>
      </c>
    </row>
    <row r="173" spans="11:14" x14ac:dyDescent="0.35">
      <c r="K173" t="str">
        <f t="shared" ca="1" si="11"/>
        <v>Somalia</v>
      </c>
      <c r="L173" t="s">
        <v>920</v>
      </c>
      <c r="M173" t="s">
        <v>921</v>
      </c>
      <c r="N173" t="s">
        <v>920</v>
      </c>
    </row>
    <row r="174" spans="11:14" x14ac:dyDescent="0.35">
      <c r="K174" t="str">
        <f t="shared" ca="1" si="11"/>
        <v>South Africa</v>
      </c>
      <c r="L174" t="s">
        <v>922</v>
      </c>
      <c r="M174" t="s">
        <v>923</v>
      </c>
      <c r="N174" t="s">
        <v>924</v>
      </c>
    </row>
    <row r="175" spans="11:14" x14ac:dyDescent="0.35">
      <c r="K175" t="str">
        <f t="shared" ca="1" si="11"/>
        <v>South Sudan</v>
      </c>
      <c r="L175" t="s">
        <v>925</v>
      </c>
      <c r="M175" t="s">
        <v>926</v>
      </c>
      <c r="N175" t="s">
        <v>927</v>
      </c>
    </row>
    <row r="176" spans="11:14" x14ac:dyDescent="0.35">
      <c r="K176" t="str">
        <f t="shared" ca="1" si="11"/>
        <v>Spain</v>
      </c>
      <c r="L176" t="s">
        <v>928</v>
      </c>
      <c r="M176" t="s">
        <v>929</v>
      </c>
      <c r="N176" t="s">
        <v>930</v>
      </c>
    </row>
    <row r="177" spans="11:14" x14ac:dyDescent="0.35">
      <c r="K177" t="str">
        <f t="shared" ca="1" si="11"/>
        <v>Sri Lanka</v>
      </c>
      <c r="L177" t="s">
        <v>931</v>
      </c>
      <c r="M177" t="s">
        <v>931</v>
      </c>
      <c r="N177" t="s">
        <v>931</v>
      </c>
    </row>
    <row r="178" spans="11:14" x14ac:dyDescent="0.35">
      <c r="K178" t="str">
        <f t="shared" ca="1" si="11"/>
        <v>Sudan</v>
      </c>
      <c r="L178" t="s">
        <v>932</v>
      </c>
      <c r="M178" t="s">
        <v>933</v>
      </c>
      <c r="N178" t="s">
        <v>934</v>
      </c>
    </row>
    <row r="179" spans="11:14" x14ac:dyDescent="0.35">
      <c r="K179" t="str">
        <f t="shared" ca="1" si="11"/>
        <v>Suriname</v>
      </c>
      <c r="L179" t="s">
        <v>935</v>
      </c>
      <c r="M179" t="s">
        <v>935</v>
      </c>
      <c r="N179" t="s">
        <v>935</v>
      </c>
    </row>
    <row r="180" spans="11:14" x14ac:dyDescent="0.35">
      <c r="K180" t="str">
        <f t="shared" ca="1" si="11"/>
        <v>Sweden</v>
      </c>
      <c r="L180" t="s">
        <v>936</v>
      </c>
      <c r="M180" t="s">
        <v>937</v>
      </c>
      <c r="N180" t="s">
        <v>938</v>
      </c>
    </row>
    <row r="181" spans="11:14" x14ac:dyDescent="0.35">
      <c r="K181" t="str">
        <f t="shared" ca="1" si="11"/>
        <v>Switzerland</v>
      </c>
      <c r="L181" t="s">
        <v>939</v>
      </c>
      <c r="M181" t="s">
        <v>940</v>
      </c>
      <c r="N181" t="s">
        <v>941</v>
      </c>
    </row>
    <row r="182" spans="11:14" x14ac:dyDescent="0.35">
      <c r="K182" t="str">
        <f t="shared" ca="1" si="11"/>
        <v>Syrian Arab Republic</v>
      </c>
      <c r="L182" t="s">
        <v>942</v>
      </c>
      <c r="M182" t="s">
        <v>943</v>
      </c>
      <c r="N182" t="s">
        <v>944</v>
      </c>
    </row>
    <row r="183" spans="11:14" x14ac:dyDescent="0.35">
      <c r="K183" t="str">
        <f t="shared" ca="1" si="11"/>
        <v>Taiwan</v>
      </c>
      <c r="L183" t="s">
        <v>945</v>
      </c>
      <c r="M183" t="s">
        <v>946</v>
      </c>
      <c r="N183" t="s">
        <v>947</v>
      </c>
    </row>
    <row r="184" spans="11:14" x14ac:dyDescent="0.35">
      <c r="K184" t="str">
        <f t="shared" ca="1" si="11"/>
        <v>Tajikistan</v>
      </c>
      <c r="L184" t="s">
        <v>948</v>
      </c>
      <c r="M184" t="s">
        <v>949</v>
      </c>
      <c r="N184" t="s">
        <v>950</v>
      </c>
    </row>
    <row r="185" spans="11:14" x14ac:dyDescent="0.35">
      <c r="K185" t="str">
        <f t="shared" ca="1" si="11"/>
        <v>Tanzania (United Republic)</v>
      </c>
      <c r="L185" t="s">
        <v>951</v>
      </c>
      <c r="M185" t="s">
        <v>952</v>
      </c>
      <c r="N185" t="s">
        <v>953</v>
      </c>
    </row>
    <row r="186" spans="11:14" x14ac:dyDescent="0.35">
      <c r="K186" t="str">
        <f t="shared" ca="1" si="11"/>
        <v>Thailand</v>
      </c>
      <c r="L186" t="s">
        <v>954</v>
      </c>
      <c r="M186" t="s">
        <v>955</v>
      </c>
      <c r="N186" t="s">
        <v>956</v>
      </c>
    </row>
    <row r="187" spans="11:14" x14ac:dyDescent="0.35">
      <c r="K187" t="str">
        <f t="shared" ca="1" si="11"/>
        <v>Timor-Leste</v>
      </c>
      <c r="L187" t="s">
        <v>957</v>
      </c>
      <c r="M187" t="s">
        <v>958</v>
      </c>
      <c r="N187" t="s">
        <v>957</v>
      </c>
    </row>
    <row r="188" spans="11:14" x14ac:dyDescent="0.35">
      <c r="K188" t="str">
        <f t="shared" ca="1" si="11"/>
        <v>Togo</v>
      </c>
      <c r="L188" t="s">
        <v>959</v>
      </c>
      <c r="M188" t="s">
        <v>959</v>
      </c>
      <c r="N188" t="s">
        <v>959</v>
      </c>
    </row>
    <row r="189" spans="11:14" x14ac:dyDescent="0.35">
      <c r="K189" t="str">
        <f t="shared" ca="1" si="11"/>
        <v>Tokelau</v>
      </c>
      <c r="L189" t="s">
        <v>960</v>
      </c>
      <c r="M189" t="s">
        <v>960</v>
      </c>
      <c r="N189" t="s">
        <v>960</v>
      </c>
    </row>
    <row r="190" spans="11:14" x14ac:dyDescent="0.35">
      <c r="K190" t="str">
        <f t="shared" ca="1" si="11"/>
        <v>Tonga</v>
      </c>
      <c r="L190" t="s">
        <v>961</v>
      </c>
      <c r="M190" t="s">
        <v>961</v>
      </c>
      <c r="N190" t="s">
        <v>961</v>
      </c>
    </row>
    <row r="191" spans="11:14" x14ac:dyDescent="0.35">
      <c r="K191" t="str">
        <f t="shared" ca="1" si="11"/>
        <v>Trinidad and Tobago</v>
      </c>
      <c r="L191" t="s">
        <v>962</v>
      </c>
      <c r="M191" t="s">
        <v>963</v>
      </c>
      <c r="N191" t="s">
        <v>964</v>
      </c>
    </row>
    <row r="192" spans="11:14" x14ac:dyDescent="0.35">
      <c r="K192" t="str">
        <f t="shared" ca="1" si="11"/>
        <v>Tunisia</v>
      </c>
      <c r="L192" t="s">
        <v>965</v>
      </c>
      <c r="M192" t="s">
        <v>966</v>
      </c>
      <c r="N192" t="s">
        <v>967</v>
      </c>
    </row>
    <row r="193" spans="11:14" x14ac:dyDescent="0.35">
      <c r="K193" t="str">
        <f t="shared" ca="1" si="11"/>
        <v>Turkey</v>
      </c>
      <c r="L193" t="s">
        <v>968</v>
      </c>
      <c r="M193" t="s">
        <v>969</v>
      </c>
      <c r="N193" t="s">
        <v>970</v>
      </c>
    </row>
    <row r="194" spans="11:14" x14ac:dyDescent="0.35">
      <c r="K194" t="str">
        <f t="shared" ca="1" si="11"/>
        <v>Turkmenistan</v>
      </c>
      <c r="L194" t="s">
        <v>971</v>
      </c>
      <c r="M194" t="s">
        <v>972</v>
      </c>
      <c r="N194" t="s">
        <v>973</v>
      </c>
    </row>
    <row r="195" spans="11:14" x14ac:dyDescent="0.35">
      <c r="K195" t="str">
        <f t="shared" ref="K195:K243" ca="1" si="12">OFFSET($L195,0,LangOffset,1,1)</f>
        <v>Tuvalu</v>
      </c>
      <c r="L195" t="s">
        <v>974</v>
      </c>
      <c r="M195" t="s">
        <v>974</v>
      </c>
      <c r="N195" t="s">
        <v>974</v>
      </c>
    </row>
    <row r="196" spans="11:14" x14ac:dyDescent="0.35">
      <c r="K196" t="str">
        <f t="shared" ca="1" si="12"/>
        <v>Uganda</v>
      </c>
      <c r="L196" t="s">
        <v>975</v>
      </c>
      <c r="M196" t="s">
        <v>976</v>
      </c>
      <c r="N196" t="s">
        <v>975</v>
      </c>
    </row>
    <row r="197" spans="11:14" x14ac:dyDescent="0.35">
      <c r="K197" t="str">
        <f t="shared" ca="1" si="12"/>
        <v>Ukraine</v>
      </c>
      <c r="L197" t="s">
        <v>977</v>
      </c>
      <c r="M197" t="s">
        <v>977</v>
      </c>
      <c r="N197" t="s">
        <v>978</v>
      </c>
    </row>
    <row r="198" spans="11:14" x14ac:dyDescent="0.35">
      <c r="K198" t="str">
        <f t="shared" ca="1" si="12"/>
        <v>United Arab Emirates</v>
      </c>
      <c r="L198" t="s">
        <v>979</v>
      </c>
      <c r="M198" t="s">
        <v>980</v>
      </c>
      <c r="N198" t="s">
        <v>981</v>
      </c>
    </row>
    <row r="199" spans="11:14" x14ac:dyDescent="0.35">
      <c r="K199" t="str">
        <f t="shared" ca="1" si="12"/>
        <v>United Kingdom</v>
      </c>
      <c r="L199" t="s">
        <v>982</v>
      </c>
      <c r="M199" t="s">
        <v>983</v>
      </c>
      <c r="N199" t="s">
        <v>984</v>
      </c>
    </row>
    <row r="200" spans="11:14" x14ac:dyDescent="0.35">
      <c r="K200" t="str">
        <f t="shared" ca="1" si="12"/>
        <v>United States</v>
      </c>
      <c r="L200" t="s">
        <v>985</v>
      </c>
      <c r="M200" t="s">
        <v>986</v>
      </c>
      <c r="N200" t="s">
        <v>987</v>
      </c>
    </row>
    <row r="201" spans="11:14" x14ac:dyDescent="0.35">
      <c r="K201" t="str">
        <f t="shared" ca="1" si="12"/>
        <v>Uruguay</v>
      </c>
      <c r="L201" t="s">
        <v>988</v>
      </c>
      <c r="M201" t="s">
        <v>988</v>
      </c>
      <c r="N201" t="s">
        <v>988</v>
      </c>
    </row>
    <row r="202" spans="11:14" x14ac:dyDescent="0.35">
      <c r="K202" t="str">
        <f t="shared" ca="1" si="12"/>
        <v>Uzbekistan</v>
      </c>
      <c r="L202" t="s">
        <v>989</v>
      </c>
      <c r="M202" t="s">
        <v>990</v>
      </c>
      <c r="N202" t="s">
        <v>991</v>
      </c>
    </row>
    <row r="203" spans="11:14" x14ac:dyDescent="0.35">
      <c r="K203" t="str">
        <f t="shared" ca="1" si="12"/>
        <v>Vanuatu</v>
      </c>
      <c r="L203" t="s">
        <v>992</v>
      </c>
      <c r="M203" t="s">
        <v>992</v>
      </c>
      <c r="N203" t="s">
        <v>992</v>
      </c>
    </row>
    <row r="204" spans="11:14" x14ac:dyDescent="0.35">
      <c r="K204" t="str">
        <f t="shared" ca="1" si="12"/>
        <v>Venezuela</v>
      </c>
      <c r="L204" t="s">
        <v>993</v>
      </c>
      <c r="M204" t="s">
        <v>993</v>
      </c>
      <c r="N204" t="s">
        <v>993</v>
      </c>
    </row>
    <row r="205" spans="11:14" x14ac:dyDescent="0.35">
      <c r="K205" t="str">
        <f t="shared" ca="1" si="12"/>
        <v>Viet Nam</v>
      </c>
      <c r="L205" t="s">
        <v>994</v>
      </c>
      <c r="M205" t="s">
        <v>995</v>
      </c>
      <c r="N205" t="s">
        <v>994</v>
      </c>
    </row>
    <row r="206" spans="11:14" x14ac:dyDescent="0.35">
      <c r="K206" t="str">
        <f t="shared" ca="1" si="12"/>
        <v>Western Sahara</v>
      </c>
      <c r="L206" t="s">
        <v>996</v>
      </c>
      <c r="M206" t="s">
        <v>997</v>
      </c>
      <c r="N206" t="s">
        <v>998</v>
      </c>
    </row>
    <row r="207" spans="11:14" x14ac:dyDescent="0.35">
      <c r="K207" t="str">
        <f t="shared" ca="1" si="12"/>
        <v>Yemen</v>
      </c>
      <c r="L207" t="s">
        <v>999</v>
      </c>
      <c r="M207" t="s">
        <v>1000</v>
      </c>
      <c r="N207" t="s">
        <v>999</v>
      </c>
    </row>
    <row r="208" spans="11:14" x14ac:dyDescent="0.35">
      <c r="K208" t="str">
        <f t="shared" ca="1" si="12"/>
        <v>Zambia</v>
      </c>
      <c r="L208" t="s">
        <v>1001</v>
      </c>
      <c r="M208" t="s">
        <v>1002</v>
      </c>
      <c r="N208" t="s">
        <v>1001</v>
      </c>
    </row>
    <row r="209" spans="11:14" x14ac:dyDescent="0.35">
      <c r="K209" t="str">
        <f t="shared" ca="1" si="12"/>
        <v>Zimbabwe</v>
      </c>
      <c r="L209" t="s">
        <v>1003</v>
      </c>
      <c r="M209" t="s">
        <v>1003</v>
      </c>
      <c r="N209" t="s">
        <v>1003</v>
      </c>
    </row>
    <row r="210" spans="11:14" x14ac:dyDescent="0.35">
      <c r="K210" t="str">
        <f t="shared" ca="1" si="12"/>
        <v>Zanzibar</v>
      </c>
      <c r="L210" t="s">
        <v>1004</v>
      </c>
      <c r="M210" t="s">
        <v>1004</v>
      </c>
      <c r="N210" t="s">
        <v>1004</v>
      </c>
    </row>
    <row r="237" spans="11:12" x14ac:dyDescent="0.35">
      <c r="K237" t="str">
        <f t="shared" ca="1" si="12"/>
        <v>Viet Nam</v>
      </c>
      <c r="L237" t="s">
        <v>994</v>
      </c>
    </row>
    <row r="238" spans="11:12" x14ac:dyDescent="0.35">
      <c r="K238" t="str">
        <f t="shared" ca="1" si="12"/>
        <v>Wallis and Futuna Islands</v>
      </c>
      <c r="L238" t="s">
        <v>1005</v>
      </c>
    </row>
    <row r="239" spans="11:12" x14ac:dyDescent="0.35">
      <c r="K239" t="str">
        <f t="shared" ca="1" si="12"/>
        <v>Western Sahara</v>
      </c>
      <c r="L239" t="s">
        <v>996</v>
      </c>
    </row>
    <row r="240" spans="11:12" x14ac:dyDescent="0.35">
      <c r="K240" t="str">
        <f t="shared" ca="1" si="12"/>
        <v>Yemen</v>
      </c>
      <c r="L240" t="s">
        <v>999</v>
      </c>
    </row>
    <row r="241" spans="11:12" x14ac:dyDescent="0.35">
      <c r="K241" t="str">
        <f t="shared" ca="1" si="12"/>
        <v>Zambia</v>
      </c>
      <c r="L241" t="s">
        <v>1001</v>
      </c>
    </row>
    <row r="242" spans="11:12" x14ac:dyDescent="0.35">
      <c r="K242" t="str">
        <f t="shared" ca="1" si="12"/>
        <v>Zanzibar</v>
      </c>
      <c r="L242" t="s">
        <v>1004</v>
      </c>
    </row>
    <row r="243" spans="11:12" x14ac:dyDescent="0.35">
      <c r="K243" t="str">
        <f t="shared" ca="1" si="12"/>
        <v>Zimbabwe</v>
      </c>
      <c r="L243" t="s">
        <v>1003</v>
      </c>
    </row>
  </sheetData>
  <sheetProtection algorithmName="SHA-512" hashValue="e3KHvWIwtfvC43nutf6kjaZA97gmPJf4HQkaXK7F5jaxtqJZ18O2aQaFoLY7YKmAWzihL2WVc4X8ZGyMkLGGWQ==" saltValue="BlKRN3kyaPIHE9Pb9ZG70Q==" spinCount="100000" sheet="1" objects="1" scenarios="1"/>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8">
    <tabColor rgb="FFFFC000"/>
  </sheetPr>
  <dimension ref="A1:AB272"/>
  <sheetViews>
    <sheetView zoomScale="70" zoomScaleNormal="70" workbookViewId="0">
      <selection activeCell="B4" sqref="B4"/>
    </sheetView>
  </sheetViews>
  <sheetFormatPr defaultColWidth="9" defaultRowHeight="14.5" x14ac:dyDescent="0.35"/>
  <cols>
    <col min="1" max="1" width="38.08203125" style="13" customWidth="1"/>
    <col min="2" max="5" width="47" style="13" customWidth="1"/>
    <col min="6" max="6" width="9" style="13"/>
    <col min="7" max="7" width="38.83203125" style="13" customWidth="1"/>
    <col min="8" max="11" width="42.75" style="13" customWidth="1"/>
    <col min="12" max="16" width="9" style="13"/>
    <col min="22" max="16384" width="9" style="13"/>
  </cols>
  <sheetData>
    <row r="1" spans="1:28" x14ac:dyDescent="0.35">
      <c r="A1" s="31"/>
      <c r="B1" s="156"/>
      <c r="C1" s="156"/>
      <c r="D1" s="156"/>
      <c r="E1" s="156"/>
      <c r="F1" s="156"/>
      <c r="G1" s="156"/>
      <c r="H1" s="156"/>
      <c r="I1" s="156"/>
      <c r="J1" s="156"/>
      <c r="K1" s="156"/>
      <c r="L1" s="156"/>
      <c r="M1" s="156"/>
      <c r="N1" s="156"/>
      <c r="O1" s="156"/>
      <c r="P1" s="156"/>
      <c r="R1" s="16" t="s">
        <v>512</v>
      </c>
      <c r="V1" s="156"/>
      <c r="W1" s="156"/>
      <c r="X1"/>
      <c r="Y1" s="16" t="s">
        <v>363</v>
      </c>
      <c r="Z1"/>
      <c r="AA1"/>
      <c r="AB1"/>
    </row>
    <row r="2" spans="1:28" x14ac:dyDescent="0.35">
      <c r="A2" s="31"/>
      <c r="B2" s="156"/>
      <c r="C2" s="156"/>
      <c r="D2" s="156"/>
      <c r="E2" s="156"/>
      <c r="F2" s="156"/>
      <c r="G2" s="156"/>
      <c r="H2" s="156"/>
      <c r="I2" s="156"/>
      <c r="J2" s="156"/>
      <c r="K2" s="156"/>
      <c r="L2" s="156"/>
      <c r="M2" s="156"/>
      <c r="N2" s="156"/>
      <c r="O2" s="156"/>
      <c r="P2" s="156"/>
      <c r="Q2" s="29" t="s">
        <v>12</v>
      </c>
      <c r="R2" s="29" t="s">
        <v>7</v>
      </c>
      <c r="S2" s="29" t="s">
        <v>13</v>
      </c>
      <c r="T2" s="29" t="s">
        <v>14</v>
      </c>
      <c r="U2" s="30"/>
      <c r="V2" s="156"/>
      <c r="W2" s="156"/>
      <c r="X2" s="29" t="s">
        <v>12</v>
      </c>
      <c r="Y2" s="29" t="s">
        <v>7</v>
      </c>
      <c r="Z2" s="29" t="s">
        <v>13</v>
      </c>
      <c r="AA2" s="29" t="s">
        <v>14</v>
      </c>
      <c r="AB2" s="30"/>
    </row>
    <row r="3" spans="1:28" x14ac:dyDescent="0.35">
      <c r="A3" s="156"/>
      <c r="B3" s="156"/>
      <c r="C3" s="156"/>
      <c r="D3" s="156"/>
      <c r="E3" s="156"/>
      <c r="F3" s="156"/>
      <c r="G3" s="156"/>
      <c r="H3" s="156"/>
      <c r="I3" s="156"/>
      <c r="J3" s="156"/>
      <c r="K3" s="156"/>
      <c r="L3" s="156"/>
      <c r="M3" s="156"/>
      <c r="N3" s="156"/>
      <c r="O3" s="156"/>
      <c r="P3" s="156"/>
      <c r="Q3" t="str">
        <f t="shared" ref="Q3:Q67" ca="1" si="0">OFFSET($R3,0,LangOffset,1,1)</f>
        <v>Please select your geography…</v>
      </c>
      <c r="R3" t="s">
        <v>1</v>
      </c>
      <c r="S3" s="41" t="s">
        <v>516</v>
      </c>
      <c r="T3" s="42" t="s">
        <v>1006</v>
      </c>
      <c r="U3" s="42"/>
      <c r="V3" s="156"/>
      <c r="W3" s="156"/>
      <c r="X3" t="str">
        <f ca="1">OFFSET($Y3,0,LangOffset,1,1)</f>
        <v>Please select…</v>
      </c>
      <c r="Y3" t="s">
        <v>2</v>
      </c>
      <c r="Z3" s="42" t="s">
        <v>518</v>
      </c>
      <c r="AA3" s="42" t="s">
        <v>514</v>
      </c>
      <c r="AB3" s="42"/>
    </row>
    <row r="4" spans="1:28" x14ac:dyDescent="0.35">
      <c r="A4" s="16" t="s">
        <v>511</v>
      </c>
      <c r="B4" s="156"/>
      <c r="C4" s="156"/>
      <c r="D4" s="156"/>
      <c r="E4" s="156"/>
      <c r="F4" s="156"/>
      <c r="G4" s="156"/>
      <c r="H4" s="156"/>
      <c r="I4" s="156"/>
      <c r="J4" s="156"/>
      <c r="K4" s="156"/>
      <c r="L4" s="156"/>
      <c r="M4" s="156"/>
      <c r="N4" s="156"/>
      <c r="O4" s="156"/>
      <c r="P4" s="156"/>
      <c r="Q4" t="str">
        <f t="shared" ca="1" si="0"/>
        <v>Afghanistan</v>
      </c>
      <c r="R4" t="s">
        <v>519</v>
      </c>
      <c r="S4" t="s">
        <v>519</v>
      </c>
      <c r="T4" t="s">
        <v>520</v>
      </c>
      <c r="V4" s="156"/>
      <c r="W4" s="156"/>
      <c r="X4" t="str">
        <f ca="1">OFFSET($Y4,0,LangOffset,1,1)</f>
        <v>CCM</v>
      </c>
      <c r="Y4" t="s">
        <v>521</v>
      </c>
      <c r="Z4" s="42" t="s">
        <v>522</v>
      </c>
      <c r="AA4" s="42" t="s">
        <v>523</v>
      </c>
      <c r="AB4" s="42"/>
    </row>
    <row r="5" spans="1:28" x14ac:dyDescent="0.35">
      <c r="A5" s="29" t="s">
        <v>12</v>
      </c>
      <c r="B5" s="29"/>
      <c r="C5" s="29" t="s">
        <v>7</v>
      </c>
      <c r="D5" s="29" t="s">
        <v>13</v>
      </c>
      <c r="E5" s="29" t="s">
        <v>14</v>
      </c>
      <c r="F5" s="30"/>
      <c r="G5" s="29" t="s">
        <v>7</v>
      </c>
      <c r="H5" s="29" t="s">
        <v>13</v>
      </c>
      <c r="I5" s="29" t="s">
        <v>14</v>
      </c>
      <c r="J5" s="30"/>
      <c r="K5" s="156"/>
      <c r="L5" s="156"/>
      <c r="M5" s="156"/>
      <c r="N5" s="156"/>
      <c r="O5" s="156"/>
      <c r="P5" s="156"/>
      <c r="Q5" t="str">
        <f t="shared" ca="1" si="0"/>
        <v>Albania</v>
      </c>
      <c r="R5" t="s">
        <v>526</v>
      </c>
      <c r="S5" t="s">
        <v>527</v>
      </c>
      <c r="T5" t="s">
        <v>526</v>
      </c>
      <c r="V5" s="156"/>
      <c r="W5" s="156"/>
      <c r="X5" t="str">
        <f ca="1">OFFSET($Y5,0,LangOffset,1,1)</f>
        <v>non-CCM</v>
      </c>
      <c r="Y5" t="s">
        <v>528</v>
      </c>
      <c r="Z5" s="42" t="s">
        <v>529</v>
      </c>
      <c r="AA5" s="42" t="s">
        <v>1007</v>
      </c>
      <c r="AB5" s="42"/>
    </row>
    <row r="6" spans="1:28" x14ac:dyDescent="0.35">
      <c r="A6" s="157" t="str">
        <f t="shared" ref="A6:A16" ca="1" si="1">OFFSET($C6,0,LangOffset,1,1)</f>
        <v>Please select…</v>
      </c>
      <c r="B6" s="157" t="str">
        <f t="shared" ref="B6:B16" ca="1" si="2">OFFSET($G6,0,LangOffset,1,1)</f>
        <v xml:space="preserve"> </v>
      </c>
      <c r="C6" s="59" t="s">
        <v>2</v>
      </c>
      <c r="D6" s="59" t="s">
        <v>513</v>
      </c>
      <c r="E6" s="59" t="s">
        <v>514</v>
      </c>
      <c r="F6" s="59"/>
      <c r="G6" s="59" t="s">
        <v>515</v>
      </c>
      <c r="H6" s="59"/>
      <c r="I6" s="59"/>
      <c r="J6" s="59"/>
      <c r="K6" s="156"/>
      <c r="L6" s="156"/>
      <c r="M6" s="156"/>
      <c r="N6" s="156"/>
      <c r="O6" s="156"/>
      <c r="P6" s="156"/>
      <c r="Q6" t="str">
        <f t="shared" ca="1" si="0"/>
        <v>Algeria</v>
      </c>
      <c r="R6" t="s">
        <v>533</v>
      </c>
      <c r="S6" t="s">
        <v>534</v>
      </c>
      <c r="T6" t="s">
        <v>535</v>
      </c>
      <c r="V6" s="156"/>
      <c r="W6" s="156"/>
      <c r="X6" s="156"/>
      <c r="Y6" s="156"/>
      <c r="Z6" s="156"/>
      <c r="AA6" s="156"/>
      <c r="AB6" s="156"/>
    </row>
    <row r="7" spans="1:28" x14ac:dyDescent="0.35">
      <c r="A7" s="157" t="str">
        <f t="shared" ca="1" si="1"/>
        <v>Treatment Care and Support_Differentiated ART Service Delivery and care</v>
      </c>
      <c r="B7" s="157" t="str">
        <f t="shared" ca="1" si="2"/>
        <v>Percentage of people living with HIV currently receiving antiretroviral therapy</v>
      </c>
      <c r="C7" s="61" t="s">
        <v>1008</v>
      </c>
      <c r="D7" s="77" t="s">
        <v>1009</v>
      </c>
      <c r="E7" s="59" t="s">
        <v>1010</v>
      </c>
      <c r="F7" s="59"/>
      <c r="G7" s="160" t="s">
        <v>1011</v>
      </c>
      <c r="H7" s="60" t="s">
        <v>1012</v>
      </c>
      <c r="I7" s="59" t="s">
        <v>1013</v>
      </c>
      <c r="J7" s="59"/>
      <c r="K7" s="156"/>
      <c r="L7" s="156"/>
      <c r="M7" s="156"/>
      <c r="N7" s="156"/>
      <c r="O7" s="156"/>
      <c r="P7" s="156"/>
      <c r="Q7" t="str">
        <f t="shared" ca="1" si="0"/>
        <v>Andorra</v>
      </c>
      <c r="R7" t="s">
        <v>536</v>
      </c>
      <c r="S7" t="s">
        <v>537</v>
      </c>
      <c r="T7" t="s">
        <v>536</v>
      </c>
      <c r="V7" s="156"/>
      <c r="W7" s="156"/>
      <c r="X7" s="156"/>
      <c r="Y7" s="156"/>
      <c r="Z7" s="156"/>
      <c r="AA7" s="156"/>
      <c r="AB7" s="156"/>
    </row>
    <row r="8" spans="1:28" x14ac:dyDescent="0.35">
      <c r="A8" s="157" t="str">
        <f t="shared" ca="1" si="1"/>
        <v>Elimination of Vertical Transmission of HIV, Syphilis and Hepatitis B</v>
      </c>
      <c r="B8" s="157" t="str">
        <f t="shared" ca="1" si="2"/>
        <v>Percentage of pregnant women living with HIV who received antiretroviral medicine to reduce the risk of vertical transmission of HIV</v>
      </c>
      <c r="C8" s="301" t="s">
        <v>1527</v>
      </c>
      <c r="D8" s="300" t="s">
        <v>1460</v>
      </c>
      <c r="E8" s="301" t="s">
        <v>1461</v>
      </c>
      <c r="F8" s="59"/>
      <c r="G8" s="61" t="s">
        <v>1202</v>
      </c>
      <c r="H8" s="287" t="s">
        <v>1462</v>
      </c>
      <c r="I8" s="61" t="s">
        <v>1463</v>
      </c>
      <c r="J8" s="59"/>
      <c r="K8" s="156"/>
      <c r="L8" s="156"/>
      <c r="M8" s="156"/>
      <c r="N8" s="156"/>
      <c r="O8" s="156"/>
      <c r="P8" s="156"/>
      <c r="Q8" t="str">
        <f t="shared" ca="1" si="0"/>
        <v>Angola</v>
      </c>
      <c r="R8" t="s">
        <v>539</v>
      </c>
      <c r="S8" t="s">
        <v>539</v>
      </c>
      <c r="T8" t="s">
        <v>539</v>
      </c>
      <c r="V8" s="156"/>
      <c r="W8" s="156"/>
      <c r="X8" s="156"/>
      <c r="Y8" s="156"/>
      <c r="Z8" s="156"/>
      <c r="AA8" s="156"/>
      <c r="AB8" s="156"/>
    </row>
    <row r="9" spans="1:28" x14ac:dyDescent="0.35">
      <c r="A9" s="157" t="str">
        <f t="shared" ca="1" si="1"/>
        <v>TB/HIV - TB screening among HIV patients</v>
      </c>
      <c r="B9" s="157" t="str">
        <f t="shared" ca="1" si="2"/>
        <v xml:space="preserve">Percentage of people living with HIV newly initiated on ART who were screened for TB </v>
      </c>
      <c r="C9" s="61" t="s">
        <v>1016</v>
      </c>
      <c r="D9" s="60" t="s">
        <v>569</v>
      </c>
      <c r="E9" s="59" t="s">
        <v>570</v>
      </c>
      <c r="F9" s="59"/>
      <c r="G9" s="160" t="s">
        <v>1017</v>
      </c>
      <c r="H9" s="287" t="s">
        <v>1464</v>
      </c>
      <c r="I9" s="61" t="s">
        <v>1465</v>
      </c>
      <c r="J9" s="59"/>
      <c r="K9" s="156"/>
      <c r="L9" s="156"/>
      <c r="M9" s="156"/>
      <c r="N9" s="156"/>
      <c r="O9" s="156"/>
      <c r="P9" s="156"/>
      <c r="Q9" t="str">
        <f t="shared" ca="1" si="0"/>
        <v>Antigua and Barbuda</v>
      </c>
      <c r="R9" t="s">
        <v>541</v>
      </c>
      <c r="S9" t="s">
        <v>542</v>
      </c>
      <c r="T9" t="s">
        <v>543</v>
      </c>
      <c r="V9" s="156"/>
      <c r="W9" s="156"/>
      <c r="X9" s="156"/>
      <c r="Y9" s="156"/>
      <c r="Z9" s="156"/>
      <c r="AA9" s="156"/>
      <c r="AB9" s="156"/>
    </row>
    <row r="10" spans="1:28" x14ac:dyDescent="0.35">
      <c r="A10" s="157" t="str">
        <f t="shared" ca="1" si="1"/>
        <v>TB/HIV- TB patients with known HIV status</v>
      </c>
      <c r="B10" s="157" t="str">
        <f t="shared" ca="1" si="2"/>
        <v>Percentage of registered new and relapse TB patients with documented HIV status</v>
      </c>
      <c r="C10" s="161" t="s">
        <v>1018</v>
      </c>
      <c r="D10" s="60" t="s">
        <v>573</v>
      </c>
      <c r="E10" s="59" t="s">
        <v>1019</v>
      </c>
      <c r="F10" s="59"/>
      <c r="G10" s="298" t="s">
        <v>1506</v>
      </c>
      <c r="H10" s="300" t="s">
        <v>1496</v>
      </c>
      <c r="I10" s="301" t="s">
        <v>1479</v>
      </c>
      <c r="J10" s="59"/>
      <c r="K10" s="156"/>
      <c r="L10" s="156"/>
      <c r="M10" s="156"/>
      <c r="N10" s="156"/>
      <c r="O10" s="156"/>
      <c r="P10" s="156"/>
      <c r="Q10" t="str">
        <f t="shared" ca="1" si="0"/>
        <v>Argentina</v>
      </c>
      <c r="R10" t="s">
        <v>544</v>
      </c>
      <c r="S10" t="s">
        <v>545</v>
      </c>
      <c r="T10" t="s">
        <v>544</v>
      </c>
      <c r="V10" s="156"/>
      <c r="W10" s="156"/>
      <c r="X10" s="156"/>
      <c r="Y10" s="156"/>
      <c r="Z10" s="156"/>
      <c r="AA10" s="156"/>
      <c r="AB10" s="156"/>
    </row>
    <row r="11" spans="1:28" x14ac:dyDescent="0.35">
      <c r="A11" s="157" t="str">
        <f t="shared" ca="1" si="1"/>
        <v>TB/HIV- HIV positive TB patients on ART</v>
      </c>
      <c r="B11" s="157" t="str">
        <f t="shared" ca="1" si="2"/>
        <v>Percentage of HIV-positive new and relapse TB patients on ART during TB treatment.</v>
      </c>
      <c r="C11" s="161" t="s">
        <v>1020</v>
      </c>
      <c r="D11" s="60" t="s">
        <v>577</v>
      </c>
      <c r="E11" s="59" t="s">
        <v>1021</v>
      </c>
      <c r="F11" s="59"/>
      <c r="G11" s="286" t="s">
        <v>1466</v>
      </c>
      <c r="H11" s="287" t="s">
        <v>1467</v>
      </c>
      <c r="I11" s="61" t="s">
        <v>1468</v>
      </c>
      <c r="J11" s="59"/>
      <c r="K11" s="156"/>
      <c r="L11" s="156"/>
      <c r="M11" s="156"/>
      <c r="N11" s="156"/>
      <c r="O11" s="156"/>
      <c r="P11" s="156"/>
      <c r="Q11" t="str">
        <f t="shared" ca="1" si="0"/>
        <v>Armenia</v>
      </c>
      <c r="R11" t="s">
        <v>548</v>
      </c>
      <c r="S11" t="s">
        <v>549</v>
      </c>
      <c r="T11" t="s">
        <v>548</v>
      </c>
      <c r="V11" s="156"/>
      <c r="W11" s="156"/>
      <c r="X11" s="156"/>
      <c r="Y11" s="156"/>
      <c r="Z11" s="156"/>
      <c r="AA11" s="156"/>
      <c r="AB11" s="156"/>
    </row>
    <row r="12" spans="1:28" x14ac:dyDescent="0.35">
      <c r="A12" s="157" t="str">
        <f t="shared" ca="1" si="1"/>
        <v xml:space="preserve">TB/HIV- TPT initiation among PLHIV </v>
      </c>
      <c r="B12" s="157" t="str">
        <f t="shared" ca="1" si="2"/>
        <v>Percentage of people living with HIV currently enrolled on antiretroviral therapy who started TB preventive treatment (TPT) during the reporting period</v>
      </c>
      <c r="C12" s="161" t="s">
        <v>1022</v>
      </c>
      <c r="D12" s="156" t="s">
        <v>581</v>
      </c>
      <c r="E12" s="156" t="s">
        <v>582</v>
      </c>
      <c r="F12"/>
      <c r="G12" s="162" t="s">
        <v>1023</v>
      </c>
      <c r="H12" s="286" t="s">
        <v>1469</v>
      </c>
      <c r="I12" s="286" t="s">
        <v>1470</v>
      </c>
      <c r="J12" s="59"/>
      <c r="K12" s="156"/>
      <c r="L12" s="156"/>
      <c r="M12" s="156"/>
      <c r="N12" s="156"/>
      <c r="O12" s="156"/>
      <c r="P12" s="156"/>
      <c r="Q12" t="str">
        <f t="shared" ca="1" si="0"/>
        <v>Aruba</v>
      </c>
      <c r="R12" t="s">
        <v>551</v>
      </c>
      <c r="S12" t="s">
        <v>551</v>
      </c>
      <c r="T12" t="s">
        <v>551</v>
      </c>
      <c r="V12" s="156"/>
      <c r="W12" s="156"/>
      <c r="X12" s="156"/>
      <c r="Y12" s="156"/>
      <c r="Z12" s="156"/>
      <c r="AA12" s="156"/>
      <c r="AB12" s="156"/>
    </row>
    <row r="13" spans="1:28" x14ac:dyDescent="0.35">
      <c r="A13" s="157" t="str">
        <f t="shared" ca="1" si="1"/>
        <v>Prevention programs for key populations_defined package of services</v>
      </c>
      <c r="B13" s="157" t="str">
        <f t="shared" ca="1" si="2"/>
        <v>Percentage of Key Populations reached with prevention programs - defined package of services</v>
      </c>
      <c r="C13" s="59" t="s">
        <v>1024</v>
      </c>
      <c r="D13" s="60" t="s">
        <v>1025</v>
      </c>
      <c r="E13" s="59" t="s">
        <v>1026</v>
      </c>
      <c r="F13" s="59"/>
      <c r="G13" s="160" t="s">
        <v>1522</v>
      </c>
      <c r="H13" s="60" t="s">
        <v>1027</v>
      </c>
      <c r="I13" s="59" t="s">
        <v>1523</v>
      </c>
      <c r="J13" s="59"/>
      <c r="K13" s="156"/>
      <c r="L13" s="156"/>
      <c r="M13" s="156"/>
      <c r="N13" s="156"/>
      <c r="O13" s="156"/>
      <c r="P13" s="156"/>
      <c r="Q13" t="str">
        <f t="shared" ca="1" si="0"/>
        <v>Australia</v>
      </c>
      <c r="R13" t="s">
        <v>554</v>
      </c>
      <c r="S13" t="s">
        <v>555</v>
      </c>
      <c r="T13" t="s">
        <v>554</v>
      </c>
      <c r="V13" s="156"/>
      <c r="W13" s="156"/>
      <c r="X13" s="156"/>
      <c r="Y13" s="156"/>
      <c r="Z13" s="156"/>
      <c r="AA13" s="156"/>
      <c r="AB13" s="156"/>
    </row>
    <row r="14" spans="1:28" x14ac:dyDescent="0.35">
      <c r="A14" s="157" t="str">
        <f t="shared" ca="1" si="1"/>
        <v>Differentiated HIV Testing Services</v>
      </c>
      <c r="B14" s="157" t="str">
        <f t="shared" ca="1" si="2"/>
        <v xml:space="preserve">Percentage of the key population that have received an HIV test during the reporting period and who know their results </v>
      </c>
      <c r="C14" s="61" t="s">
        <v>1028</v>
      </c>
      <c r="D14" s="163" t="s">
        <v>1029</v>
      </c>
      <c r="E14" s="164" t="s">
        <v>1030</v>
      </c>
      <c r="F14" s="59"/>
      <c r="G14" s="160" t="s">
        <v>1031</v>
      </c>
      <c r="H14" s="59" t="s">
        <v>1032</v>
      </c>
      <c r="I14" s="59" t="s">
        <v>1033</v>
      </c>
      <c r="J14" s="59"/>
      <c r="K14" s="156"/>
      <c r="L14" s="156"/>
      <c r="M14" s="156"/>
      <c r="N14" s="156"/>
      <c r="O14" s="156"/>
      <c r="P14" s="156"/>
      <c r="Q14" t="str">
        <f t="shared" ca="1" si="0"/>
        <v>Austria</v>
      </c>
      <c r="R14" t="s">
        <v>558</v>
      </c>
      <c r="S14" t="s">
        <v>559</v>
      </c>
      <c r="T14" t="s">
        <v>558</v>
      </c>
      <c r="V14" s="156"/>
      <c r="W14" s="156"/>
      <c r="X14" s="156"/>
      <c r="Y14" s="156"/>
      <c r="Z14" s="156"/>
      <c r="AA14" s="156"/>
      <c r="AB14" s="156"/>
    </row>
    <row r="15" spans="1:28" x14ac:dyDescent="0.35">
      <c r="A15" s="157" t="str">
        <f t="shared" ca="1" si="1"/>
        <v>Prevention programs for PWID and their partners_Needle and syringe distribution</v>
      </c>
      <c r="B15" s="157" t="str">
        <f t="shared" ca="1" si="2"/>
        <v xml:space="preserve">Percentage of PWID reached with needle and syringe programs </v>
      </c>
      <c r="C15" s="59" t="s">
        <v>1034</v>
      </c>
      <c r="D15" s="60" t="s">
        <v>1035</v>
      </c>
      <c r="E15" s="59" t="s">
        <v>1036</v>
      </c>
      <c r="F15" s="59"/>
      <c r="G15" s="160" t="s">
        <v>1037</v>
      </c>
      <c r="H15" s="59" t="s">
        <v>1038</v>
      </c>
      <c r="I15" s="59" t="s">
        <v>1039</v>
      </c>
      <c r="J15" s="59"/>
      <c r="K15" s="156"/>
      <c r="L15" s="156"/>
      <c r="M15" s="156"/>
      <c r="N15" s="156"/>
      <c r="O15" s="156"/>
      <c r="P15" s="156"/>
      <c r="Q15" t="str">
        <f t="shared" ca="1" si="0"/>
        <v>Azerbaijan</v>
      </c>
      <c r="R15" t="s">
        <v>560</v>
      </c>
      <c r="S15" t="s">
        <v>561</v>
      </c>
      <c r="T15" t="s">
        <v>562</v>
      </c>
      <c r="V15" s="156"/>
      <c r="W15" s="156"/>
      <c r="X15" s="156"/>
      <c r="Y15" s="156"/>
      <c r="Z15" s="156"/>
      <c r="AA15" s="156"/>
      <c r="AB15" s="156"/>
    </row>
    <row r="16" spans="1:28" x14ac:dyDescent="0.35">
      <c r="A16" s="157" t="str">
        <f t="shared" ca="1" si="1"/>
        <v>Prevention programs for PWID and their partners_OST and other drug dependence treatment for PWIDs</v>
      </c>
      <c r="B16" s="157" t="str">
        <f t="shared" ca="1" si="2"/>
        <v xml:space="preserve">Percentage of PWID receiving opioid substitution therapy </v>
      </c>
      <c r="C16" s="59" t="s">
        <v>1040</v>
      </c>
      <c r="D16" s="60" t="s">
        <v>1041</v>
      </c>
      <c r="E16" s="59" t="s">
        <v>1042</v>
      </c>
      <c r="F16" s="59"/>
      <c r="G16" s="301" t="s">
        <v>1526</v>
      </c>
      <c r="H16" s="301" t="s">
        <v>1525</v>
      </c>
      <c r="I16" s="301" t="s">
        <v>1524</v>
      </c>
      <c r="J16" s="59"/>
      <c r="K16" s="156"/>
      <c r="L16" s="156"/>
      <c r="M16" s="156"/>
      <c r="N16" s="156"/>
      <c r="O16" s="156"/>
      <c r="P16" s="156"/>
      <c r="Q16" t="str">
        <f t="shared" ca="1" si="0"/>
        <v>Bahamas</v>
      </c>
      <c r="R16" t="s">
        <v>563</v>
      </c>
      <c r="S16" t="s">
        <v>563</v>
      </c>
      <c r="T16" t="s">
        <v>564</v>
      </c>
      <c r="V16" s="156"/>
      <c r="W16" s="156"/>
      <c r="X16" s="156"/>
      <c r="Y16" s="156"/>
      <c r="Z16" s="156"/>
      <c r="AA16" s="156"/>
      <c r="AB16" s="156"/>
    </row>
    <row r="17" spans="1:20" x14ac:dyDescent="0.35">
      <c r="A17" s="157" t="str">
        <f ca="1">OFFSET($C17,0,LangOffset,1,1)</f>
        <v>Elimination of vertical transmission of HIV, syphilis and hepatitis B</v>
      </c>
      <c r="B17" s="157">
        <f ca="1">OFFSET($G17,0,LangOffset,1,1)</f>
        <v>0</v>
      </c>
      <c r="C17" s="165" t="s">
        <v>1043</v>
      </c>
      <c r="D17" s="165" t="s">
        <v>1044</v>
      </c>
      <c r="E17" s="165" t="s">
        <v>1045</v>
      </c>
      <c r="F17" s="156"/>
      <c r="G17" s="156"/>
      <c r="H17" s="156"/>
      <c r="I17" s="156"/>
      <c r="J17" s="156"/>
      <c r="K17" s="156"/>
      <c r="L17" s="156"/>
      <c r="M17" s="156"/>
      <c r="N17" s="156"/>
      <c r="O17" s="156"/>
      <c r="P17" s="156"/>
      <c r="Q17" t="str">
        <f t="shared" ca="1" si="0"/>
        <v>Bahrain</v>
      </c>
      <c r="R17" t="s">
        <v>565</v>
      </c>
      <c r="S17" t="s">
        <v>566</v>
      </c>
      <c r="T17" t="s">
        <v>567</v>
      </c>
    </row>
    <row r="18" spans="1:20" x14ac:dyDescent="0.35">
      <c r="A18" s="29" t="s">
        <v>12</v>
      </c>
      <c r="B18" s="29" t="s">
        <v>7</v>
      </c>
      <c r="C18" s="29" t="s">
        <v>13</v>
      </c>
      <c r="D18" s="29" t="s">
        <v>14</v>
      </c>
      <c r="E18" s="30"/>
      <c r="F18" s="156"/>
      <c r="G18" s="156"/>
      <c r="H18" s="156"/>
      <c r="I18" s="156"/>
      <c r="J18" s="156"/>
      <c r="K18" s="156"/>
      <c r="L18" s="156"/>
      <c r="M18" s="156"/>
      <c r="N18" s="156"/>
      <c r="O18" s="156"/>
      <c r="P18" s="156"/>
      <c r="Q18" t="str">
        <f t="shared" ca="1" si="0"/>
        <v>Bangladesh</v>
      </c>
      <c r="R18" t="s">
        <v>568</v>
      </c>
      <c r="S18" t="s">
        <v>568</v>
      </c>
      <c r="T18" t="s">
        <v>568</v>
      </c>
    </row>
    <row r="19" spans="1:20" x14ac:dyDescent="0.35">
      <c r="A19" s="156"/>
      <c r="B19" s="21" t="str">
        <f>C7</f>
        <v>Treatment Care and Support_Differentiated ART Service Delivery and care</v>
      </c>
      <c r="C19" s="21" t="str">
        <f>D7</f>
        <v>Traitement prise en charge et soutien_Prestation de services et prise en charge différenciées pour les traitements antirétroviraux</v>
      </c>
      <c r="D19" s="16" t="str">
        <f>E7</f>
        <v>Tratamiento atención y apoyo_Prestación de servicios diferenciados atención y tratamiento antirretroviral</v>
      </c>
      <c r="E19" s="35"/>
      <c r="F19" s="156"/>
      <c r="G19" s="156"/>
      <c r="H19" s="156"/>
      <c r="I19" s="156"/>
      <c r="J19" s="156"/>
      <c r="K19" s="156"/>
      <c r="L19" s="156"/>
      <c r="M19" s="156"/>
      <c r="N19" s="156"/>
      <c r="O19" s="156"/>
      <c r="P19" s="156"/>
      <c r="Q19" t="str">
        <f t="shared" ca="1" si="0"/>
        <v>Barbados</v>
      </c>
      <c r="R19" t="s">
        <v>571</v>
      </c>
      <c r="S19" t="s">
        <v>572</v>
      </c>
      <c r="T19" t="s">
        <v>571</v>
      </c>
    </row>
    <row r="20" spans="1:20" x14ac:dyDescent="0.35">
      <c r="A20" s="156"/>
      <c r="B20" s="61" t="s">
        <v>1046</v>
      </c>
      <c r="C20" s="166" t="s">
        <v>1047</v>
      </c>
      <c r="D20" s="71" t="s">
        <v>1048</v>
      </c>
      <c r="E20" s="166"/>
      <c r="F20" s="156"/>
      <c r="G20" s="156"/>
      <c r="H20" s="156"/>
      <c r="I20" s="156"/>
      <c r="J20" s="156"/>
      <c r="K20" s="156"/>
      <c r="L20" s="156"/>
      <c r="M20" s="156"/>
      <c r="N20" s="156"/>
      <c r="O20" s="156"/>
      <c r="P20" s="156"/>
      <c r="Q20" t="str">
        <f t="shared" ca="1" si="0"/>
        <v>Belarus</v>
      </c>
      <c r="R20" t="s">
        <v>574</v>
      </c>
      <c r="S20" t="s">
        <v>575</v>
      </c>
      <c r="T20" t="s">
        <v>576</v>
      </c>
    </row>
    <row r="21" spans="1:20" x14ac:dyDescent="0.35">
      <c r="A21" s="156"/>
      <c r="B21" s="61" t="s">
        <v>1049</v>
      </c>
      <c r="C21" s="166" t="s">
        <v>1050</v>
      </c>
      <c r="D21" s="71" t="s">
        <v>1051</v>
      </c>
      <c r="E21" s="166"/>
      <c r="F21" s="156"/>
      <c r="G21" s="156"/>
      <c r="H21" s="156"/>
      <c r="I21" s="156"/>
      <c r="J21" s="156"/>
      <c r="K21" s="156"/>
      <c r="L21" s="156"/>
      <c r="M21" s="156"/>
      <c r="N21" s="156"/>
      <c r="O21" s="156"/>
      <c r="P21" s="156"/>
      <c r="Q21" t="str">
        <f t="shared" ca="1" si="0"/>
        <v>Belgium</v>
      </c>
      <c r="R21" t="s">
        <v>578</v>
      </c>
      <c r="S21" t="s">
        <v>579</v>
      </c>
      <c r="T21" t="s">
        <v>580</v>
      </c>
    </row>
    <row r="22" spans="1:20" x14ac:dyDescent="0.35">
      <c r="A22" s="156"/>
      <c r="B22" s="61" t="s">
        <v>1052</v>
      </c>
      <c r="C22" s="166" t="s">
        <v>1053</v>
      </c>
      <c r="D22" s="71" t="s">
        <v>1054</v>
      </c>
      <c r="E22" s="166"/>
      <c r="F22" s="156"/>
      <c r="G22" s="156"/>
      <c r="H22" s="156"/>
      <c r="I22" s="156"/>
      <c r="J22" s="156"/>
      <c r="K22" s="156"/>
      <c r="L22" s="156"/>
      <c r="M22" s="156"/>
      <c r="N22" s="156"/>
      <c r="O22" s="156"/>
      <c r="P22" s="156"/>
      <c r="Q22" t="str">
        <f t="shared" ca="1" si="0"/>
        <v>Belize</v>
      </c>
      <c r="R22" t="s">
        <v>583</v>
      </c>
      <c r="S22" t="s">
        <v>583</v>
      </c>
      <c r="T22" t="s">
        <v>584</v>
      </c>
    </row>
    <row r="23" spans="1:20" x14ac:dyDescent="0.35">
      <c r="A23" s="156"/>
      <c r="B23" s="156"/>
      <c r="C23" s="156"/>
      <c r="D23" s="156"/>
      <c r="E23" s="156"/>
      <c r="F23" s="156"/>
      <c r="G23" s="156"/>
      <c r="H23" s="156"/>
      <c r="I23" s="156"/>
      <c r="J23" s="156"/>
      <c r="K23" s="156"/>
      <c r="L23" s="156"/>
      <c r="M23" s="156"/>
      <c r="N23" s="156"/>
      <c r="O23" s="156"/>
      <c r="P23" s="156"/>
      <c r="Q23" t="str">
        <f t="shared" ca="1" si="0"/>
        <v>Benin</v>
      </c>
      <c r="R23" t="s">
        <v>585</v>
      </c>
      <c r="S23" t="s">
        <v>586</v>
      </c>
      <c r="T23" t="s">
        <v>585</v>
      </c>
    </row>
    <row r="24" spans="1:20" x14ac:dyDescent="0.35">
      <c r="A24" s="156"/>
      <c r="B24" s="16" t="s">
        <v>1014</v>
      </c>
      <c r="C24" s="16" t="s">
        <v>1055</v>
      </c>
      <c r="D24" s="16" t="s">
        <v>1015</v>
      </c>
      <c r="E24" s="35"/>
      <c r="F24" s="156"/>
      <c r="G24" s="156"/>
      <c r="H24" s="156"/>
      <c r="I24" s="156"/>
      <c r="J24" s="156"/>
      <c r="K24" s="156"/>
      <c r="L24" s="156"/>
      <c r="M24" s="156"/>
      <c r="N24" s="156"/>
      <c r="O24" s="156"/>
      <c r="P24" s="156"/>
      <c r="Q24" t="str">
        <f t="shared" ca="1" si="0"/>
        <v>Bhutan</v>
      </c>
      <c r="R24" t="s">
        <v>587</v>
      </c>
      <c r="S24" t="s">
        <v>588</v>
      </c>
      <c r="T24" t="s">
        <v>589</v>
      </c>
    </row>
    <row r="25" spans="1:20" x14ac:dyDescent="0.35">
      <c r="A25" s="156"/>
      <c r="B25" s="156" t="s">
        <v>1056</v>
      </c>
      <c r="C25" s="84" t="s">
        <v>1057</v>
      </c>
      <c r="D25" s="166" t="s">
        <v>1058</v>
      </c>
      <c r="E25" s="166"/>
      <c r="F25" s="156"/>
      <c r="G25" s="156"/>
      <c r="H25" s="156"/>
      <c r="I25" s="156"/>
      <c r="J25" s="156"/>
      <c r="K25" s="156"/>
      <c r="L25" s="156"/>
      <c r="M25" s="156"/>
      <c r="N25" s="156"/>
      <c r="O25" s="156"/>
      <c r="P25" s="156"/>
      <c r="Q25" t="str">
        <f t="shared" ca="1" si="0"/>
        <v>Bolivia (Plurinational State)</v>
      </c>
      <c r="R25" t="s">
        <v>590</v>
      </c>
      <c r="S25" t="s">
        <v>591</v>
      </c>
      <c r="T25" t="s">
        <v>592</v>
      </c>
    </row>
    <row r="26" spans="1:20" x14ac:dyDescent="0.35">
      <c r="A26" s="156"/>
      <c r="B26" s="156"/>
      <c r="C26" s="156"/>
      <c r="D26" s="156"/>
      <c r="E26" s="156"/>
      <c r="F26" s="156"/>
      <c r="G26" s="156"/>
      <c r="H26" s="156"/>
      <c r="I26" s="156"/>
      <c r="J26" s="156"/>
      <c r="K26" s="156"/>
      <c r="L26" s="156"/>
      <c r="M26" s="156"/>
      <c r="N26" s="156"/>
      <c r="O26" s="156"/>
      <c r="P26" s="156"/>
      <c r="Q26" t="str">
        <f t="shared" ca="1" si="0"/>
        <v>Bosnia and Herzegovina</v>
      </c>
      <c r="R26" t="s">
        <v>593</v>
      </c>
      <c r="S26" t="s">
        <v>594</v>
      </c>
      <c r="T26" t="s">
        <v>595</v>
      </c>
    </row>
    <row r="27" spans="1:20" x14ac:dyDescent="0.35">
      <c r="A27" s="156"/>
      <c r="B27" s="62" t="s">
        <v>1016</v>
      </c>
      <c r="C27" s="16" t="s">
        <v>1059</v>
      </c>
      <c r="D27" s="16" t="s">
        <v>1060</v>
      </c>
      <c r="E27" s="35"/>
      <c r="F27" s="156"/>
      <c r="G27" s="156"/>
      <c r="H27" s="156"/>
      <c r="I27" s="156"/>
      <c r="J27" s="156"/>
      <c r="K27" s="156"/>
      <c r="L27" s="156"/>
      <c r="M27" s="156"/>
      <c r="N27" s="156"/>
      <c r="O27" s="156"/>
      <c r="P27" s="156"/>
      <c r="Q27" t="str">
        <f t="shared" ca="1" si="0"/>
        <v>Botswana</v>
      </c>
      <c r="R27" t="s">
        <v>596</v>
      </c>
      <c r="S27" t="s">
        <v>596</v>
      </c>
      <c r="T27" t="s">
        <v>596</v>
      </c>
    </row>
    <row r="28" spans="1:20" x14ac:dyDescent="0.35">
      <c r="A28" s="156"/>
      <c r="B28" s="61" t="s">
        <v>1061</v>
      </c>
      <c r="C28" s="75" t="s">
        <v>1062</v>
      </c>
      <c r="D28" s="71" t="s">
        <v>1063</v>
      </c>
      <c r="E28" s="166"/>
      <c r="F28" s="156"/>
      <c r="G28" s="156"/>
      <c r="H28" s="156"/>
      <c r="I28" s="156"/>
      <c r="J28" s="156"/>
      <c r="K28" s="156"/>
      <c r="L28" s="156"/>
      <c r="M28" s="156"/>
      <c r="N28" s="156"/>
      <c r="O28" s="156"/>
      <c r="P28" s="156"/>
      <c r="Q28" t="str">
        <f t="shared" ca="1" si="0"/>
        <v>Brazil</v>
      </c>
      <c r="R28" t="s">
        <v>597</v>
      </c>
      <c r="S28" t="s">
        <v>598</v>
      </c>
      <c r="T28" t="s">
        <v>599</v>
      </c>
    </row>
    <row r="29" spans="1:20" x14ac:dyDescent="0.35">
      <c r="A29" s="156"/>
      <c r="B29" s="156"/>
      <c r="C29" s="156"/>
      <c r="D29" s="156"/>
      <c r="E29" s="156"/>
      <c r="F29" s="156"/>
      <c r="G29" s="156"/>
      <c r="H29" s="156"/>
      <c r="I29" s="156"/>
      <c r="J29" s="156"/>
      <c r="K29" s="156"/>
      <c r="L29" s="156"/>
      <c r="M29" s="156"/>
      <c r="N29" s="156"/>
      <c r="O29" s="156"/>
      <c r="P29" s="156"/>
      <c r="Q29" t="str">
        <f t="shared" ca="1" si="0"/>
        <v>Brunei Darussalam</v>
      </c>
      <c r="R29" t="s">
        <v>600</v>
      </c>
      <c r="S29" t="s">
        <v>601</v>
      </c>
      <c r="T29" t="s">
        <v>600</v>
      </c>
    </row>
    <row r="30" spans="1:20" x14ac:dyDescent="0.35">
      <c r="A30" s="156"/>
      <c r="B30" s="16" t="s">
        <v>1064</v>
      </c>
      <c r="C30" s="16" t="s">
        <v>1065</v>
      </c>
      <c r="D30" s="16" t="s">
        <v>1066</v>
      </c>
      <c r="E30" s="35"/>
      <c r="F30" s="156"/>
      <c r="G30" s="156"/>
      <c r="H30" s="156"/>
      <c r="I30" s="156"/>
      <c r="J30" s="156"/>
      <c r="K30" s="156"/>
      <c r="L30" s="156"/>
      <c r="M30" s="156"/>
      <c r="N30" s="156"/>
      <c r="O30" s="156"/>
      <c r="P30" s="156"/>
      <c r="Q30" t="str">
        <f t="shared" ca="1" si="0"/>
        <v>Bulgaria</v>
      </c>
      <c r="R30" t="s">
        <v>602</v>
      </c>
      <c r="S30" t="s">
        <v>603</v>
      </c>
      <c r="T30" t="s">
        <v>602</v>
      </c>
    </row>
    <row r="31" spans="1:20" x14ac:dyDescent="0.35">
      <c r="A31" s="156"/>
      <c r="B31" s="61" t="s">
        <v>1061</v>
      </c>
      <c r="C31" s="75" t="s">
        <v>1062</v>
      </c>
      <c r="D31" s="70" t="s">
        <v>1063</v>
      </c>
      <c r="E31" s="156"/>
      <c r="F31" s="156"/>
      <c r="G31" s="156"/>
      <c r="H31" s="156"/>
      <c r="I31" s="156"/>
      <c r="J31" s="156"/>
      <c r="K31" s="156"/>
      <c r="L31" s="156"/>
      <c r="M31" s="156"/>
      <c r="N31" s="156"/>
      <c r="O31" s="156"/>
      <c r="P31" s="156"/>
      <c r="Q31" t="str">
        <f t="shared" ca="1" si="0"/>
        <v>Burkina Faso</v>
      </c>
      <c r="R31" t="s">
        <v>604</v>
      </c>
      <c r="S31" t="s">
        <v>604</v>
      </c>
      <c r="T31" t="s">
        <v>604</v>
      </c>
    </row>
    <row r="32" spans="1:20" x14ac:dyDescent="0.35">
      <c r="A32" s="156"/>
      <c r="B32" s="156"/>
      <c r="C32" s="156"/>
      <c r="D32" s="156"/>
      <c r="E32" s="156"/>
      <c r="F32" s="156"/>
      <c r="G32" s="156"/>
      <c r="H32" s="156"/>
      <c r="I32" s="156"/>
      <c r="J32" s="156"/>
      <c r="K32" s="156"/>
      <c r="L32" s="156"/>
      <c r="M32" s="156"/>
      <c r="N32" s="156"/>
      <c r="O32" s="156"/>
      <c r="P32" s="156"/>
      <c r="Q32" t="str">
        <f t="shared" ca="1" si="0"/>
        <v>Burundi</v>
      </c>
      <c r="R32" t="s">
        <v>605</v>
      </c>
      <c r="S32" t="s">
        <v>605</v>
      </c>
      <c r="T32" t="s">
        <v>605</v>
      </c>
    </row>
    <row r="33" spans="2:20" x14ac:dyDescent="0.35">
      <c r="B33" s="16" t="s">
        <v>1067</v>
      </c>
      <c r="C33" s="16" t="s">
        <v>1068</v>
      </c>
      <c r="D33" s="16" t="s">
        <v>1069</v>
      </c>
      <c r="E33" s="35"/>
      <c r="F33" s="156"/>
      <c r="G33" s="156"/>
      <c r="H33" s="156"/>
      <c r="I33" s="156"/>
      <c r="J33" s="156"/>
      <c r="K33" s="156"/>
      <c r="L33" s="156"/>
      <c r="M33" s="156"/>
      <c r="N33" s="156"/>
      <c r="O33" s="156"/>
      <c r="P33" s="156"/>
      <c r="Q33" t="str">
        <f t="shared" ca="1" si="0"/>
        <v>Cabo Verde</v>
      </c>
      <c r="R33" t="s">
        <v>606</v>
      </c>
      <c r="S33" t="s">
        <v>606</v>
      </c>
      <c r="T33" t="s">
        <v>606</v>
      </c>
    </row>
    <row r="34" spans="2:20" x14ac:dyDescent="0.35">
      <c r="B34" s="61" t="s">
        <v>1061</v>
      </c>
      <c r="C34" s="75" t="s">
        <v>1062</v>
      </c>
      <c r="D34" s="70" t="s">
        <v>1063</v>
      </c>
      <c r="E34" s="156"/>
      <c r="F34" s="156"/>
      <c r="G34" s="167" t="s">
        <v>1070</v>
      </c>
      <c r="H34" s="156"/>
      <c r="I34" s="156"/>
      <c r="J34" s="156"/>
      <c r="K34" s="156"/>
      <c r="L34" s="156"/>
      <c r="M34" s="156"/>
      <c r="N34" s="156"/>
      <c r="O34" s="156"/>
      <c r="P34" s="156"/>
      <c r="Q34" t="str">
        <f t="shared" ca="1" si="0"/>
        <v>Cambodia</v>
      </c>
      <c r="R34" t="s">
        <v>607</v>
      </c>
      <c r="S34" t="s">
        <v>608</v>
      </c>
      <c r="T34" t="s">
        <v>609</v>
      </c>
    </row>
    <row r="35" spans="2:20" x14ac:dyDescent="0.35">
      <c r="B35" s="156"/>
      <c r="C35" s="156"/>
      <c r="D35" s="156"/>
      <c r="E35" s="156"/>
      <c r="F35" s="156"/>
      <c r="G35" s="167" t="s">
        <v>1071</v>
      </c>
      <c r="H35" s="156"/>
      <c r="I35" s="156"/>
      <c r="J35" s="156"/>
      <c r="K35" s="156"/>
      <c r="L35" s="156"/>
      <c r="M35" s="156"/>
      <c r="N35" s="156"/>
      <c r="O35" s="156"/>
      <c r="P35" s="156"/>
      <c r="Q35" t="str">
        <f t="shared" ca="1" si="0"/>
        <v>Cameroon</v>
      </c>
      <c r="R35" t="s">
        <v>610</v>
      </c>
      <c r="S35" t="s">
        <v>611</v>
      </c>
      <c r="T35" t="s">
        <v>612</v>
      </c>
    </row>
    <row r="36" spans="2:20" x14ac:dyDescent="0.35">
      <c r="B36" s="16" t="s">
        <v>1072</v>
      </c>
      <c r="C36" s="16" t="s">
        <v>1073</v>
      </c>
      <c r="D36" s="16" t="s">
        <v>1074</v>
      </c>
      <c r="E36" s="156"/>
      <c r="F36" s="156"/>
      <c r="G36" s="167"/>
      <c r="H36" s="156"/>
      <c r="I36" s="156"/>
      <c r="J36" s="156"/>
      <c r="K36" s="156"/>
      <c r="L36" s="156"/>
      <c r="M36" s="156"/>
      <c r="N36" s="156"/>
      <c r="O36" s="156"/>
      <c r="P36" s="156"/>
      <c r="Q36" t="str">
        <f t="shared" ca="1" si="0"/>
        <v>Canada</v>
      </c>
      <c r="R36" t="s">
        <v>613</v>
      </c>
      <c r="S36" t="s">
        <v>613</v>
      </c>
      <c r="T36" t="s">
        <v>614</v>
      </c>
    </row>
    <row r="37" spans="2:20" x14ac:dyDescent="0.35">
      <c r="B37" s="61" t="s">
        <v>1061</v>
      </c>
      <c r="C37" s="75" t="s">
        <v>1062</v>
      </c>
      <c r="D37" s="70" t="s">
        <v>1063</v>
      </c>
      <c r="E37" s="156"/>
      <c r="F37" s="156"/>
      <c r="G37" s="167"/>
      <c r="H37" s="156"/>
      <c r="I37" s="156"/>
      <c r="J37" s="156"/>
      <c r="K37" s="156"/>
      <c r="L37" s="156"/>
      <c r="M37" s="156"/>
      <c r="N37" s="156"/>
      <c r="O37" s="156"/>
      <c r="P37" s="156"/>
      <c r="Q37" t="str">
        <f t="shared" ca="1" si="0"/>
        <v>Central African Republic</v>
      </c>
      <c r="R37" t="s">
        <v>615</v>
      </c>
      <c r="S37" t="s">
        <v>616</v>
      </c>
      <c r="T37" t="s">
        <v>617</v>
      </c>
    </row>
    <row r="38" spans="2:20" x14ac:dyDescent="0.35">
      <c r="B38" s="70"/>
      <c r="C38" s="70"/>
      <c r="D38" s="70"/>
      <c r="E38" s="156"/>
      <c r="F38" s="156"/>
      <c r="G38" s="167"/>
      <c r="H38" s="156"/>
      <c r="I38" s="156"/>
      <c r="J38" s="156"/>
      <c r="K38" s="156"/>
      <c r="L38" s="156"/>
      <c r="M38" s="156"/>
      <c r="N38" s="156"/>
      <c r="O38" s="156"/>
      <c r="P38" s="156"/>
      <c r="Q38" t="str">
        <f t="shared" ca="1" si="0"/>
        <v>Chad</v>
      </c>
      <c r="R38" t="s">
        <v>618</v>
      </c>
      <c r="S38" t="s">
        <v>619</v>
      </c>
      <c r="T38" t="s">
        <v>618</v>
      </c>
    </row>
    <row r="39" spans="2:20" x14ac:dyDescent="0.35">
      <c r="B39" s="16" t="s">
        <v>1024</v>
      </c>
      <c r="C39" s="16" t="s">
        <v>1075</v>
      </c>
      <c r="D39" s="16" t="s">
        <v>1026</v>
      </c>
      <c r="E39" s="35"/>
      <c r="F39" s="156"/>
      <c r="G39" s="156"/>
      <c r="H39" s="156"/>
      <c r="I39" s="156"/>
      <c r="J39" s="156"/>
      <c r="K39" s="156"/>
      <c r="L39" s="156"/>
      <c r="M39" s="156"/>
      <c r="N39" s="156"/>
      <c r="O39" s="156"/>
      <c r="P39" s="156"/>
      <c r="Q39" t="str">
        <f t="shared" ca="1" si="0"/>
        <v>Chile</v>
      </c>
      <c r="R39" t="s">
        <v>620</v>
      </c>
      <c r="S39" t="s">
        <v>621</v>
      </c>
      <c r="T39" t="s">
        <v>620</v>
      </c>
    </row>
    <row r="40" spans="2:20" x14ac:dyDescent="0.35">
      <c r="B40" s="156" t="s">
        <v>1076</v>
      </c>
      <c r="C40" s="166" t="s">
        <v>1077</v>
      </c>
      <c r="D40" s="166" t="s">
        <v>1078</v>
      </c>
      <c r="E40" s="166"/>
      <c r="F40" s="156"/>
      <c r="G40" s="156"/>
      <c r="H40" s="156"/>
      <c r="I40" s="156"/>
      <c r="J40" s="156"/>
      <c r="K40" s="156"/>
      <c r="L40" s="156"/>
      <c r="M40" s="156"/>
      <c r="N40" s="156"/>
      <c r="O40" s="156"/>
      <c r="P40" s="156"/>
      <c r="Q40" t="str">
        <f t="shared" ca="1" si="0"/>
        <v>China</v>
      </c>
      <c r="R40" t="s">
        <v>622</v>
      </c>
      <c r="S40" t="s">
        <v>623</v>
      </c>
      <c r="T40" t="s">
        <v>622</v>
      </c>
    </row>
    <row r="41" spans="2:20" x14ac:dyDescent="0.35">
      <c r="B41" s="156" t="s">
        <v>1079</v>
      </c>
      <c r="C41" s="166" t="s">
        <v>1080</v>
      </c>
      <c r="D41" s="166" t="s">
        <v>1081</v>
      </c>
      <c r="E41" s="166"/>
      <c r="F41" s="156"/>
      <c r="G41" s="156"/>
      <c r="H41" s="156"/>
      <c r="I41" s="156"/>
      <c r="J41" s="156"/>
      <c r="K41" s="156"/>
      <c r="L41" s="156"/>
      <c r="M41" s="156"/>
      <c r="N41" s="156"/>
      <c r="O41" s="156"/>
      <c r="P41" s="156"/>
      <c r="Q41" t="str">
        <f t="shared" ca="1" si="0"/>
        <v>Colombia</v>
      </c>
      <c r="R41" t="s">
        <v>624</v>
      </c>
      <c r="S41" t="s">
        <v>625</v>
      </c>
      <c r="T41" t="s">
        <v>624</v>
      </c>
    </row>
    <row r="42" spans="2:20" x14ac:dyDescent="0.35">
      <c r="B42" s="156" t="s">
        <v>1082</v>
      </c>
      <c r="C42" s="166" t="s">
        <v>1083</v>
      </c>
      <c r="D42" s="166" t="s">
        <v>1084</v>
      </c>
      <c r="E42" s="166"/>
      <c r="F42" s="156"/>
      <c r="G42" s="156"/>
      <c r="H42" s="156"/>
      <c r="I42" s="156"/>
      <c r="J42" s="156"/>
      <c r="K42" s="156"/>
      <c r="L42" s="156"/>
      <c r="M42" s="156"/>
      <c r="N42" s="156"/>
      <c r="O42" s="156"/>
      <c r="P42" s="156"/>
      <c r="Q42" t="str">
        <f t="shared" ca="1" si="0"/>
        <v>Comoros</v>
      </c>
      <c r="R42" t="s">
        <v>626</v>
      </c>
      <c r="S42" t="s">
        <v>627</v>
      </c>
      <c r="T42" t="s">
        <v>628</v>
      </c>
    </row>
    <row r="43" spans="2:20" x14ac:dyDescent="0.35">
      <c r="B43" s="156" t="s">
        <v>320</v>
      </c>
      <c r="C43" s="70" t="s">
        <v>321</v>
      </c>
      <c r="D43" s="71" t="s">
        <v>322</v>
      </c>
      <c r="E43" s="166"/>
      <c r="F43" s="156"/>
      <c r="G43" s="156"/>
      <c r="H43" s="156"/>
      <c r="I43" s="156"/>
      <c r="J43" s="156"/>
      <c r="K43" s="156"/>
      <c r="L43" s="156"/>
      <c r="M43" s="156"/>
      <c r="N43" s="156"/>
      <c r="O43" s="156"/>
      <c r="P43" s="156"/>
      <c r="Q43" t="str">
        <f t="shared" ca="1" si="0"/>
        <v>Congo</v>
      </c>
      <c r="R43" t="s">
        <v>629</v>
      </c>
      <c r="S43" t="s">
        <v>629</v>
      </c>
      <c r="T43" t="s">
        <v>629</v>
      </c>
    </row>
    <row r="44" spans="2:20" x14ac:dyDescent="0.35">
      <c r="B44" s="61" t="s">
        <v>1085</v>
      </c>
      <c r="C44" s="78" t="s">
        <v>1086</v>
      </c>
      <c r="D44" s="71" t="s">
        <v>1087</v>
      </c>
      <c r="E44" s="166"/>
      <c r="F44" s="156"/>
      <c r="G44" s="156"/>
      <c r="H44" s="156"/>
      <c r="I44" s="156"/>
      <c r="J44" s="156"/>
      <c r="K44" s="156"/>
      <c r="L44" s="156"/>
      <c r="M44" s="156"/>
      <c r="N44" s="156"/>
      <c r="O44" s="156"/>
      <c r="P44" s="156"/>
      <c r="Q44" t="str">
        <f t="shared" ca="1" si="0"/>
        <v>Congo (Democratic Republic)</v>
      </c>
      <c r="R44" t="s">
        <v>630</v>
      </c>
      <c r="S44" t="s">
        <v>631</v>
      </c>
      <c r="T44" t="s">
        <v>632</v>
      </c>
    </row>
    <row r="45" spans="2:20" x14ac:dyDescent="0.35">
      <c r="B45" s="61" t="s">
        <v>1088</v>
      </c>
      <c r="C45" s="71" t="s">
        <v>1089</v>
      </c>
      <c r="D45" s="166" t="s">
        <v>1090</v>
      </c>
      <c r="E45" s="166"/>
      <c r="F45" s="156"/>
      <c r="G45" s="156"/>
      <c r="H45" s="156"/>
      <c r="I45" s="156"/>
      <c r="J45" s="156"/>
      <c r="K45" s="156"/>
      <c r="L45" s="156"/>
      <c r="M45" s="156"/>
      <c r="N45" s="156"/>
      <c r="O45" s="156"/>
      <c r="P45" s="156"/>
      <c r="Q45" t="str">
        <f t="shared" ca="1" si="0"/>
        <v>Cook Islands</v>
      </c>
      <c r="R45" t="s">
        <v>633</v>
      </c>
      <c r="S45" t="s">
        <v>634</v>
      </c>
      <c r="T45" t="s">
        <v>635</v>
      </c>
    </row>
    <row r="46" spans="2:20" x14ac:dyDescent="0.35">
      <c r="B46" s="61" t="s">
        <v>1091</v>
      </c>
      <c r="C46" s="71" t="s">
        <v>1092</v>
      </c>
      <c r="D46" s="71" t="s">
        <v>1093</v>
      </c>
      <c r="E46" s="166"/>
      <c r="F46" s="156"/>
      <c r="G46" s="156"/>
      <c r="H46" s="156"/>
      <c r="I46" s="156"/>
      <c r="J46" s="156"/>
      <c r="K46" s="156"/>
      <c r="L46" s="156"/>
      <c r="M46" s="156"/>
      <c r="N46" s="156"/>
      <c r="O46" s="156"/>
      <c r="P46" s="156"/>
      <c r="Q46" t="str">
        <f t="shared" ca="1" si="0"/>
        <v>Costa Rica</v>
      </c>
      <c r="R46" t="s">
        <v>636</v>
      </c>
      <c r="S46" t="s">
        <v>636</v>
      </c>
      <c r="T46" t="s">
        <v>636</v>
      </c>
    </row>
    <row r="47" spans="2:20" x14ac:dyDescent="0.35">
      <c r="B47" s="156" t="s">
        <v>1094</v>
      </c>
      <c r="C47" s="156" t="s">
        <v>1095</v>
      </c>
      <c r="D47" s="156" t="s">
        <v>1096</v>
      </c>
      <c r="E47" s="166"/>
      <c r="F47" s="156"/>
      <c r="G47" s="156"/>
      <c r="H47" s="156"/>
      <c r="I47" s="156"/>
      <c r="J47" s="156"/>
      <c r="K47" s="156"/>
      <c r="L47" s="156"/>
      <c r="M47" s="156"/>
      <c r="N47" s="156"/>
      <c r="O47" s="156"/>
      <c r="P47" s="156"/>
      <c r="Q47" t="str">
        <f t="shared" ca="1" si="0"/>
        <v>Côte d'Ivoire</v>
      </c>
      <c r="R47" t="s">
        <v>637</v>
      </c>
      <c r="S47" t="s">
        <v>637</v>
      </c>
      <c r="T47" t="s">
        <v>637</v>
      </c>
    </row>
    <row r="48" spans="2:20" x14ac:dyDescent="0.35">
      <c r="B48" s="156" t="s">
        <v>1097</v>
      </c>
      <c r="C48" s="166" t="s">
        <v>1098</v>
      </c>
      <c r="D48" s="166" t="s">
        <v>1099</v>
      </c>
      <c r="E48" s="166"/>
      <c r="F48" s="156"/>
      <c r="G48" s="156"/>
      <c r="H48" s="156"/>
      <c r="I48" s="156"/>
      <c r="J48" s="156"/>
      <c r="K48" s="156"/>
      <c r="L48" s="156"/>
      <c r="M48" s="156"/>
      <c r="N48" s="156"/>
      <c r="O48" s="156"/>
      <c r="P48" s="156"/>
      <c r="Q48" t="str">
        <f t="shared" ca="1" si="0"/>
        <v>Croatia</v>
      </c>
      <c r="R48" t="s">
        <v>638</v>
      </c>
      <c r="S48" t="s">
        <v>639</v>
      </c>
      <c r="T48" t="s">
        <v>640</v>
      </c>
    </row>
    <row r="49" spans="1:20" x14ac:dyDescent="0.35">
      <c r="A49" s="156"/>
      <c r="B49" s="156"/>
      <c r="C49" s="156"/>
      <c r="D49" s="156"/>
      <c r="E49" s="156"/>
      <c r="F49" s="156"/>
      <c r="G49" s="156"/>
      <c r="H49" s="156"/>
      <c r="I49" s="156"/>
      <c r="J49" s="156"/>
      <c r="K49" s="156"/>
      <c r="L49" s="156"/>
      <c r="M49" s="156"/>
      <c r="N49" s="156"/>
      <c r="O49" s="156"/>
      <c r="P49" s="156"/>
      <c r="Q49" t="str">
        <f t="shared" ca="1" si="0"/>
        <v>Cuba</v>
      </c>
      <c r="R49" t="s">
        <v>641</v>
      </c>
      <c r="S49" t="s">
        <v>641</v>
      </c>
      <c r="T49" t="s">
        <v>641</v>
      </c>
    </row>
    <row r="50" spans="1:20" x14ac:dyDescent="0.35">
      <c r="A50" s="157"/>
      <c r="B50" s="62" t="s">
        <v>1028</v>
      </c>
      <c r="C50" s="85" t="s">
        <v>1100</v>
      </c>
      <c r="D50" s="72" t="s">
        <v>1101</v>
      </c>
      <c r="E50" s="35"/>
      <c r="F50" s="156"/>
      <c r="G50" s="156"/>
      <c r="H50" s="156"/>
      <c r="I50" s="156"/>
      <c r="J50" s="156"/>
      <c r="K50" s="156"/>
      <c r="L50" s="156"/>
      <c r="M50" s="156"/>
      <c r="N50" s="156"/>
      <c r="O50" s="156"/>
      <c r="P50" s="156"/>
      <c r="Q50" t="str">
        <f t="shared" ca="1" si="0"/>
        <v>Curacao</v>
      </c>
      <c r="R50" t="s">
        <v>642</v>
      </c>
      <c r="S50" t="s">
        <v>643</v>
      </c>
      <c r="T50" t="s">
        <v>643</v>
      </c>
    </row>
    <row r="51" spans="1:20" x14ac:dyDescent="0.35">
      <c r="A51" s="156"/>
      <c r="B51" s="156" t="s">
        <v>1076</v>
      </c>
      <c r="C51" s="156" t="s">
        <v>1077</v>
      </c>
      <c r="D51" s="156" t="s">
        <v>1078</v>
      </c>
      <c r="E51" s="156"/>
      <c r="F51" s="156"/>
      <c r="G51" s="156"/>
      <c r="H51" s="156"/>
      <c r="I51" s="156"/>
      <c r="J51" s="156"/>
      <c r="K51" s="156"/>
      <c r="L51" s="156"/>
      <c r="M51" s="156"/>
      <c r="N51" s="156"/>
      <c r="O51" s="156"/>
      <c r="P51" s="156"/>
      <c r="Q51" t="str">
        <f t="shared" ca="1" si="0"/>
        <v>Cyprus</v>
      </c>
      <c r="R51" t="s">
        <v>644</v>
      </c>
      <c r="S51" t="s">
        <v>645</v>
      </c>
      <c r="T51" t="s">
        <v>646</v>
      </c>
    </row>
    <row r="52" spans="1:20" x14ac:dyDescent="0.35">
      <c r="A52" s="156"/>
      <c r="B52" s="156" t="s">
        <v>1079</v>
      </c>
      <c r="C52" s="156" t="s">
        <v>1080</v>
      </c>
      <c r="D52" s="156" t="s">
        <v>1081</v>
      </c>
      <c r="E52" s="156"/>
      <c r="F52" s="156"/>
      <c r="G52" s="156"/>
      <c r="H52" s="156"/>
      <c r="I52" s="156"/>
      <c r="J52" s="156"/>
      <c r="K52" s="156"/>
      <c r="L52" s="156"/>
      <c r="M52" s="156"/>
      <c r="N52" s="156"/>
      <c r="O52" s="156"/>
      <c r="P52" s="156"/>
      <c r="Q52" t="str">
        <f t="shared" ca="1" si="0"/>
        <v>Czechia</v>
      </c>
      <c r="R52" t="s">
        <v>647</v>
      </c>
      <c r="S52" t="s">
        <v>648</v>
      </c>
      <c r="T52" t="s">
        <v>649</v>
      </c>
    </row>
    <row r="53" spans="1:20" x14ac:dyDescent="0.35">
      <c r="A53" s="156"/>
      <c r="B53" s="156" t="s">
        <v>1082</v>
      </c>
      <c r="C53" s="156" t="s">
        <v>1083</v>
      </c>
      <c r="D53" s="156" t="s">
        <v>1084</v>
      </c>
      <c r="E53" s="156"/>
      <c r="F53" s="156"/>
      <c r="G53" s="156"/>
      <c r="H53" s="156"/>
      <c r="I53" s="156"/>
      <c r="J53" s="156"/>
      <c r="K53" s="156"/>
      <c r="L53" s="156"/>
      <c r="M53" s="156"/>
      <c r="N53" s="156"/>
      <c r="O53" s="156"/>
      <c r="P53" s="156"/>
      <c r="Q53" t="str">
        <f t="shared" ca="1" si="0"/>
        <v>Denmark</v>
      </c>
      <c r="R53" t="s">
        <v>650</v>
      </c>
      <c r="S53" t="s">
        <v>651</v>
      </c>
      <c r="T53" t="s">
        <v>652</v>
      </c>
    </row>
    <row r="54" spans="1:20" x14ac:dyDescent="0.35">
      <c r="A54" s="156"/>
      <c r="B54" s="156" t="s">
        <v>320</v>
      </c>
      <c r="C54" s="70" t="s">
        <v>321</v>
      </c>
      <c r="D54" s="70" t="s">
        <v>322</v>
      </c>
      <c r="E54" s="156"/>
      <c r="F54" s="156"/>
      <c r="G54" s="156"/>
      <c r="H54" s="156"/>
      <c r="I54" s="156"/>
      <c r="J54" s="156"/>
      <c r="K54" s="156"/>
      <c r="L54" s="156"/>
      <c r="M54" s="156"/>
      <c r="N54" s="156"/>
      <c r="O54" s="156"/>
      <c r="P54" s="156"/>
      <c r="Q54" t="str">
        <f t="shared" ca="1" si="0"/>
        <v>Djibouti</v>
      </c>
      <c r="R54" t="s">
        <v>653</v>
      </c>
      <c r="S54" t="s">
        <v>653</v>
      </c>
      <c r="T54" t="s">
        <v>653</v>
      </c>
    </row>
    <row r="55" spans="1:20" x14ac:dyDescent="0.35">
      <c r="A55" s="156"/>
      <c r="B55" s="61" t="s">
        <v>1085</v>
      </c>
      <c r="C55" s="78" t="s">
        <v>1086</v>
      </c>
      <c r="D55" s="70" t="s">
        <v>1087</v>
      </c>
      <c r="E55" s="156"/>
      <c r="F55" s="156"/>
      <c r="G55" s="156"/>
      <c r="H55" s="156"/>
      <c r="I55" s="156"/>
      <c r="J55" s="156"/>
      <c r="K55" s="156"/>
      <c r="L55" s="156"/>
      <c r="M55" s="156"/>
      <c r="N55" s="156"/>
      <c r="O55" s="156"/>
      <c r="P55" s="156"/>
      <c r="Q55" t="str">
        <f t="shared" ca="1" si="0"/>
        <v>Dominica</v>
      </c>
      <c r="R55" t="s">
        <v>654</v>
      </c>
      <c r="S55" t="s">
        <v>655</v>
      </c>
      <c r="T55" t="s">
        <v>654</v>
      </c>
    </row>
    <row r="56" spans="1:20" x14ac:dyDescent="0.35">
      <c r="A56" s="156"/>
      <c r="B56" s="61" t="s">
        <v>1088</v>
      </c>
      <c r="C56" s="71" t="s">
        <v>1089</v>
      </c>
      <c r="D56" s="156" t="s">
        <v>1090</v>
      </c>
      <c r="E56" s="156"/>
      <c r="F56" s="156"/>
      <c r="G56" s="156"/>
      <c r="H56" s="156"/>
      <c r="I56" s="156"/>
      <c r="J56" s="156"/>
      <c r="K56" s="156"/>
      <c r="L56" s="156"/>
      <c r="M56" s="156"/>
      <c r="N56" s="156"/>
      <c r="O56" s="156"/>
      <c r="P56" s="156"/>
      <c r="Q56" t="str">
        <f t="shared" ca="1" si="0"/>
        <v>Dominican Republic</v>
      </c>
      <c r="R56" t="s">
        <v>656</v>
      </c>
      <c r="S56" t="s">
        <v>657</v>
      </c>
      <c r="T56" t="s">
        <v>658</v>
      </c>
    </row>
    <row r="57" spans="1:20" x14ac:dyDescent="0.35">
      <c r="A57" s="156"/>
      <c r="B57" s="61" t="s">
        <v>1091</v>
      </c>
      <c r="C57" s="71" t="s">
        <v>1092</v>
      </c>
      <c r="D57" s="70" t="s">
        <v>1093</v>
      </c>
      <c r="E57" s="156"/>
      <c r="F57" s="156"/>
      <c r="G57" s="156"/>
      <c r="H57" s="156"/>
      <c r="I57" s="156"/>
      <c r="J57" s="156"/>
      <c r="K57" s="156"/>
      <c r="L57" s="156"/>
      <c r="M57" s="156"/>
      <c r="N57" s="156"/>
      <c r="O57" s="156"/>
      <c r="P57" s="156"/>
      <c r="Q57" t="str">
        <f t="shared" ca="1" si="0"/>
        <v>Ecuador</v>
      </c>
      <c r="R57" t="s">
        <v>659</v>
      </c>
      <c r="S57" t="s">
        <v>660</v>
      </c>
      <c r="T57" t="s">
        <v>659</v>
      </c>
    </row>
    <row r="58" spans="1:20" x14ac:dyDescent="0.35">
      <c r="A58" s="156"/>
      <c r="B58" s="61" t="s">
        <v>1102</v>
      </c>
      <c r="C58" s="75" t="s">
        <v>1103</v>
      </c>
      <c r="D58" s="70" t="s">
        <v>1104</v>
      </c>
      <c r="E58" s="156"/>
      <c r="F58" s="156"/>
      <c r="G58" s="156"/>
      <c r="H58" s="156"/>
      <c r="I58" s="156"/>
      <c r="J58" s="156"/>
      <c r="K58" s="156"/>
      <c r="L58" s="156"/>
      <c r="M58" s="156"/>
      <c r="N58" s="156"/>
      <c r="O58" s="156"/>
      <c r="P58" s="156"/>
      <c r="Q58" t="str">
        <f t="shared" ca="1" si="0"/>
        <v>Egypt</v>
      </c>
      <c r="R58" t="s">
        <v>661</v>
      </c>
      <c r="S58" t="s">
        <v>662</v>
      </c>
      <c r="T58" t="s">
        <v>663</v>
      </c>
    </row>
    <row r="59" spans="1:20" x14ac:dyDescent="0.35">
      <c r="A59" s="156"/>
      <c r="B59" s="156" t="s">
        <v>1094</v>
      </c>
      <c r="C59" s="156" t="s">
        <v>1095</v>
      </c>
      <c r="D59" s="156" t="s">
        <v>1096</v>
      </c>
      <c r="E59" s="156"/>
      <c r="F59" s="156"/>
      <c r="G59" s="156"/>
      <c r="H59" s="156"/>
      <c r="I59" s="156"/>
      <c r="J59" s="156"/>
      <c r="K59" s="156"/>
      <c r="L59" s="156"/>
      <c r="M59" s="156"/>
      <c r="N59" s="156"/>
      <c r="O59" s="156"/>
      <c r="P59" s="156"/>
      <c r="Q59" t="str">
        <f t="shared" ca="1" si="0"/>
        <v>El Salvador</v>
      </c>
      <c r="R59" t="s">
        <v>664</v>
      </c>
      <c r="S59" t="s">
        <v>665</v>
      </c>
      <c r="T59" t="s">
        <v>664</v>
      </c>
    </row>
    <row r="60" spans="1:20" x14ac:dyDescent="0.35">
      <c r="A60" s="156"/>
      <c r="B60" s="156" t="s">
        <v>1097</v>
      </c>
      <c r="C60" s="166" t="s">
        <v>1098</v>
      </c>
      <c r="D60" s="70" t="s">
        <v>1105</v>
      </c>
      <c r="E60" s="156"/>
      <c r="F60" s="156"/>
      <c r="G60" s="156"/>
      <c r="H60" s="156"/>
      <c r="I60" s="156"/>
      <c r="J60" s="156"/>
      <c r="K60" s="156"/>
      <c r="L60" s="156"/>
      <c r="M60" s="156"/>
      <c r="N60" s="156"/>
      <c r="O60" s="156"/>
      <c r="P60" s="156"/>
      <c r="Q60" t="str">
        <f t="shared" ca="1" si="0"/>
        <v>Equatorial Guinea</v>
      </c>
      <c r="R60" t="s">
        <v>666</v>
      </c>
      <c r="S60" t="s">
        <v>667</v>
      </c>
      <c r="T60" t="s">
        <v>668</v>
      </c>
    </row>
    <row r="61" spans="1:20" x14ac:dyDescent="0.35">
      <c r="A61" s="156"/>
      <c r="B61" s="156"/>
      <c r="C61" s="166"/>
      <c r="D61" s="70"/>
      <c r="E61" s="156"/>
      <c r="F61" s="156"/>
      <c r="G61" s="156"/>
      <c r="H61" s="156"/>
      <c r="I61" s="156"/>
      <c r="J61" s="156"/>
      <c r="K61" s="156"/>
      <c r="L61" s="156"/>
      <c r="M61" s="156"/>
      <c r="N61" s="156"/>
      <c r="O61" s="156"/>
      <c r="P61" s="156"/>
      <c r="Q61" t="str">
        <f t="shared" ca="1" si="0"/>
        <v>Eritrea</v>
      </c>
      <c r="R61" t="s">
        <v>669</v>
      </c>
      <c r="S61" t="s">
        <v>670</v>
      </c>
      <c r="T61" t="s">
        <v>669</v>
      </c>
    </row>
    <row r="62" spans="1:20" x14ac:dyDescent="0.35">
      <c r="A62" s="156"/>
      <c r="B62" s="16" t="s">
        <v>1034</v>
      </c>
      <c r="C62" s="83" t="s">
        <v>1106</v>
      </c>
      <c r="D62" s="16" t="s">
        <v>1107</v>
      </c>
      <c r="E62" s="35"/>
      <c r="F62" s="156"/>
      <c r="G62" s="156"/>
      <c r="H62" s="156"/>
      <c r="I62" s="156"/>
      <c r="J62" s="156"/>
      <c r="K62" s="156"/>
      <c r="L62" s="156"/>
      <c r="M62" s="156"/>
      <c r="N62" s="156"/>
      <c r="O62" s="156"/>
      <c r="P62" s="156"/>
      <c r="Q62" t="str">
        <f t="shared" ca="1" si="0"/>
        <v>Estonia</v>
      </c>
      <c r="R62" t="s">
        <v>671</v>
      </c>
      <c r="S62" t="s">
        <v>672</v>
      </c>
      <c r="T62" t="s">
        <v>671</v>
      </c>
    </row>
    <row r="63" spans="1:20" x14ac:dyDescent="0.35">
      <c r="A63" s="156"/>
      <c r="B63" s="156" t="s">
        <v>320</v>
      </c>
      <c r="C63" s="70" t="s">
        <v>321</v>
      </c>
      <c r="D63" s="70" t="s">
        <v>322</v>
      </c>
      <c r="E63" s="156"/>
      <c r="F63" s="156"/>
      <c r="G63" s="156"/>
      <c r="H63" s="156"/>
      <c r="I63" s="156"/>
      <c r="J63" s="156"/>
      <c r="K63" s="156"/>
      <c r="L63" s="156"/>
      <c r="M63" s="156"/>
      <c r="N63" s="156"/>
      <c r="O63" s="156"/>
      <c r="P63" s="156"/>
      <c r="Q63" t="str">
        <f t="shared" ca="1" si="0"/>
        <v>Eswatini</v>
      </c>
      <c r="R63" t="s">
        <v>673</v>
      </c>
      <c r="S63" t="s">
        <v>673</v>
      </c>
      <c r="T63" t="s">
        <v>673</v>
      </c>
    </row>
    <row r="64" spans="1:20" x14ac:dyDescent="0.35">
      <c r="A64" s="156"/>
      <c r="B64" s="16"/>
      <c r="C64" s="16"/>
      <c r="D64" s="156"/>
      <c r="E64" s="156"/>
      <c r="F64" s="156"/>
      <c r="G64" s="156"/>
      <c r="H64" s="156"/>
      <c r="I64" s="156"/>
      <c r="J64" s="156"/>
      <c r="K64" s="156"/>
      <c r="L64" s="156"/>
      <c r="M64" s="156"/>
      <c r="N64" s="156"/>
      <c r="O64" s="156"/>
      <c r="P64" s="156"/>
      <c r="Q64" t="str">
        <f t="shared" ca="1" si="0"/>
        <v>Ethiopia</v>
      </c>
      <c r="R64" t="s">
        <v>674</v>
      </c>
      <c r="S64" t="s">
        <v>675</v>
      </c>
      <c r="T64" t="s">
        <v>676</v>
      </c>
    </row>
    <row r="65" spans="1:20" x14ac:dyDescent="0.35">
      <c r="A65" s="156"/>
      <c r="B65" s="16" t="s">
        <v>1108</v>
      </c>
      <c r="C65" s="16" t="s">
        <v>1109</v>
      </c>
      <c r="D65" s="16" t="s">
        <v>1110</v>
      </c>
      <c r="E65" s="35"/>
      <c r="F65" s="156"/>
      <c r="G65" s="156"/>
      <c r="H65" s="156"/>
      <c r="I65" s="156"/>
      <c r="J65" s="156"/>
      <c r="K65" s="156"/>
      <c r="L65" s="156"/>
      <c r="M65" s="156"/>
      <c r="N65" s="156"/>
      <c r="O65" s="156"/>
      <c r="P65" s="156"/>
      <c r="Q65" t="str">
        <f t="shared" ca="1" si="0"/>
        <v>Faeroe Islands</v>
      </c>
      <c r="R65" t="s">
        <v>677</v>
      </c>
      <c r="S65" t="s">
        <v>678</v>
      </c>
      <c r="T65" t="s">
        <v>679</v>
      </c>
    </row>
    <row r="66" spans="1:20" x14ac:dyDescent="0.35">
      <c r="A66" s="156"/>
      <c r="B66" s="156" t="s">
        <v>320</v>
      </c>
      <c r="C66" s="70" t="s">
        <v>321</v>
      </c>
      <c r="D66" s="70" t="s">
        <v>322</v>
      </c>
      <c r="E66" s="156"/>
      <c r="F66" s="156"/>
      <c r="G66" s="156"/>
      <c r="H66" s="156"/>
      <c r="I66" s="156"/>
      <c r="J66" s="156"/>
      <c r="K66" s="156"/>
      <c r="L66" s="156"/>
      <c r="M66" s="156"/>
      <c r="N66" s="156"/>
      <c r="O66" s="156"/>
      <c r="P66" s="156"/>
      <c r="Q66" t="str">
        <f t="shared" ca="1" si="0"/>
        <v>Fiji</v>
      </c>
      <c r="R66" t="s">
        <v>680</v>
      </c>
      <c r="S66" t="s">
        <v>681</v>
      </c>
      <c r="T66" t="s">
        <v>680</v>
      </c>
    </row>
    <row r="67" spans="1:20" x14ac:dyDescent="0.35">
      <c r="A67" s="156"/>
      <c r="B67" s="16"/>
      <c r="C67" s="16"/>
      <c r="D67" s="156"/>
      <c r="E67" s="156"/>
      <c r="F67" s="156"/>
      <c r="G67" s="156"/>
      <c r="H67" s="156"/>
      <c r="I67" s="156"/>
      <c r="J67" s="156"/>
      <c r="K67" s="156"/>
      <c r="L67" s="156"/>
      <c r="M67" s="156"/>
      <c r="N67" s="156"/>
      <c r="O67" s="156"/>
      <c r="P67" s="156"/>
      <c r="Q67" t="str">
        <f t="shared" ca="1" si="0"/>
        <v>Finland</v>
      </c>
      <c r="R67" t="s">
        <v>682</v>
      </c>
      <c r="S67" t="s">
        <v>683</v>
      </c>
      <c r="T67" t="s">
        <v>684</v>
      </c>
    </row>
    <row r="68" spans="1:20" x14ac:dyDescent="0.35">
      <c r="A68" s="156"/>
      <c r="B68" s="16"/>
      <c r="C68" s="16"/>
      <c r="D68" s="156"/>
      <c r="E68" s="156"/>
      <c r="F68" s="156"/>
      <c r="G68" s="156"/>
      <c r="H68" s="156"/>
      <c r="I68" s="156"/>
      <c r="J68" s="156"/>
      <c r="K68" s="156"/>
      <c r="L68" s="14"/>
      <c r="M68" s="156"/>
      <c r="N68" s="156"/>
      <c r="O68" s="156"/>
      <c r="P68" s="156"/>
      <c r="Q68" t="str">
        <f t="shared" ref="Q68:Q131" ca="1" si="3">OFFSET($R68,0,LangOffset,1,1)</f>
        <v>France</v>
      </c>
      <c r="R68" t="s">
        <v>685</v>
      </c>
      <c r="S68" t="s">
        <v>685</v>
      </c>
      <c r="T68" t="s">
        <v>686</v>
      </c>
    </row>
    <row r="69" spans="1:20" x14ac:dyDescent="0.35">
      <c r="A69" s="156"/>
      <c r="B69" s="16"/>
      <c r="C69" s="16"/>
      <c r="D69" s="156"/>
      <c r="E69" s="156"/>
      <c r="F69" s="156"/>
      <c r="G69" s="156"/>
      <c r="H69" s="156"/>
      <c r="I69" s="156"/>
      <c r="J69" s="156"/>
      <c r="K69" s="156"/>
      <c r="L69" s="156"/>
      <c r="M69" s="156"/>
      <c r="N69" s="156"/>
      <c r="O69" s="156"/>
      <c r="P69" s="156"/>
      <c r="Q69" t="str">
        <f t="shared" ca="1" si="3"/>
        <v>Gabon</v>
      </c>
      <c r="R69" t="s">
        <v>687</v>
      </c>
      <c r="S69" t="s">
        <v>687</v>
      </c>
      <c r="T69" t="s">
        <v>688</v>
      </c>
    </row>
    <row r="70" spans="1:20" x14ac:dyDescent="0.35">
      <c r="A70" s="29" t="s">
        <v>12</v>
      </c>
      <c r="B70" s="29" t="s">
        <v>7</v>
      </c>
      <c r="C70" s="29" t="s">
        <v>7</v>
      </c>
      <c r="D70" s="29" t="s">
        <v>13</v>
      </c>
      <c r="E70" s="29" t="s">
        <v>13</v>
      </c>
      <c r="F70" s="29" t="s">
        <v>14</v>
      </c>
      <c r="G70" s="29" t="s">
        <v>14</v>
      </c>
      <c r="H70" s="30"/>
      <c r="I70" s="30"/>
      <c r="J70" s="156"/>
      <c r="K70" s="156"/>
      <c r="L70" s="156"/>
      <c r="M70" s="156"/>
      <c r="N70" s="156"/>
      <c r="O70" s="156"/>
      <c r="P70" s="156"/>
      <c r="Q70" t="str">
        <f t="shared" ca="1" si="3"/>
        <v>Gambia</v>
      </c>
      <c r="R70" t="s">
        <v>689</v>
      </c>
      <c r="S70" t="s">
        <v>690</v>
      </c>
      <c r="T70" t="s">
        <v>689</v>
      </c>
    </row>
    <row r="71" spans="1:20" x14ac:dyDescent="0.35">
      <c r="A71" s="156"/>
      <c r="B71" s="15" t="s">
        <v>1111</v>
      </c>
      <c r="C71" s="15"/>
      <c r="D71" s="39" t="s">
        <v>1112</v>
      </c>
      <c r="E71" s="166"/>
      <c r="F71" s="39" t="s">
        <v>1113</v>
      </c>
      <c r="G71" s="166"/>
      <c r="H71" s="40"/>
      <c r="I71" s="166"/>
      <c r="J71" s="156"/>
      <c r="K71" s="156"/>
      <c r="L71" s="156"/>
      <c r="M71" s="156"/>
      <c r="N71" s="156"/>
      <c r="O71" s="156"/>
      <c r="P71" s="156"/>
      <c r="Q71" t="str">
        <f t="shared" ca="1" si="3"/>
        <v>Georgia</v>
      </c>
      <c r="R71" t="s">
        <v>691</v>
      </c>
      <c r="S71" t="s">
        <v>692</v>
      </c>
      <c r="T71" t="s">
        <v>691</v>
      </c>
    </row>
    <row r="72" spans="1:20" x14ac:dyDescent="0.35">
      <c r="A72" s="156"/>
      <c r="B72" s="161" t="s">
        <v>1114</v>
      </c>
      <c r="C72" s="161" t="s">
        <v>1115</v>
      </c>
      <c r="D72" s="71" t="s">
        <v>1116</v>
      </c>
      <c r="E72" s="166" t="s">
        <v>1117</v>
      </c>
      <c r="F72" s="166" t="s">
        <v>1118</v>
      </c>
      <c r="G72" s="71" t="s">
        <v>1119</v>
      </c>
      <c r="H72" s="166"/>
      <c r="I72" s="166"/>
      <c r="J72" s="156"/>
      <c r="K72" s="156"/>
      <c r="L72" s="156"/>
      <c r="M72" s="156"/>
      <c r="N72" s="156"/>
      <c r="O72" s="156"/>
      <c r="P72" s="156"/>
      <c r="Q72" t="str">
        <f t="shared" ca="1" si="3"/>
        <v>Germany</v>
      </c>
      <c r="R72" t="s">
        <v>693</v>
      </c>
      <c r="S72" t="s">
        <v>694</v>
      </c>
      <c r="T72" t="s">
        <v>695</v>
      </c>
    </row>
    <row r="73" spans="1:20" x14ac:dyDescent="0.35">
      <c r="A73" s="156"/>
      <c r="B73" s="61" t="s">
        <v>1120</v>
      </c>
      <c r="C73" s="156" t="s">
        <v>1121</v>
      </c>
      <c r="D73" s="71" t="s">
        <v>309</v>
      </c>
      <c r="E73" s="166" t="s">
        <v>1122</v>
      </c>
      <c r="F73" s="71" t="s">
        <v>1123</v>
      </c>
      <c r="G73" s="71" t="s">
        <v>1124</v>
      </c>
      <c r="H73" s="166"/>
      <c r="I73" s="166"/>
      <c r="J73" s="156"/>
      <c r="K73" s="156"/>
      <c r="L73" s="156"/>
      <c r="M73" s="156"/>
      <c r="N73" s="156"/>
      <c r="O73" s="156"/>
      <c r="P73" s="156"/>
      <c r="Q73" t="str">
        <f t="shared" ca="1" si="3"/>
        <v>Ghana</v>
      </c>
      <c r="R73" t="s">
        <v>696</v>
      </c>
      <c r="S73" t="s">
        <v>696</v>
      </c>
      <c r="T73" t="s">
        <v>696</v>
      </c>
    </row>
    <row r="74" spans="1:20" x14ac:dyDescent="0.35">
      <c r="A74" s="156"/>
      <c r="B74" s="156"/>
      <c r="C74" s="156"/>
      <c r="D74" s="156"/>
      <c r="E74" s="156"/>
      <c r="F74" s="156"/>
      <c r="G74" s="156"/>
      <c r="H74" s="156"/>
      <c r="I74" s="156"/>
      <c r="J74" s="156"/>
      <c r="K74" s="156"/>
      <c r="L74" s="156"/>
      <c r="M74" s="156"/>
      <c r="N74" s="156"/>
      <c r="O74" s="156"/>
      <c r="P74" s="156"/>
      <c r="Q74" t="str">
        <f t="shared" ca="1" si="3"/>
        <v>Greece</v>
      </c>
      <c r="R74" t="s">
        <v>697</v>
      </c>
      <c r="S74" t="s">
        <v>698</v>
      </c>
      <c r="T74" t="s">
        <v>699</v>
      </c>
    </row>
    <row r="75" spans="1:20" x14ac:dyDescent="0.35">
      <c r="A75" s="29" t="s">
        <v>12</v>
      </c>
      <c r="B75" s="29" t="s">
        <v>7</v>
      </c>
      <c r="C75" s="32" t="s">
        <v>13</v>
      </c>
      <c r="D75" s="29" t="s">
        <v>14</v>
      </c>
      <c r="E75" s="30"/>
      <c r="F75" s="156"/>
      <c r="G75" s="156"/>
      <c r="H75" s="156"/>
      <c r="I75" s="156"/>
      <c r="J75" s="156"/>
      <c r="K75" s="156"/>
      <c r="L75" s="156"/>
      <c r="M75" s="156"/>
      <c r="N75" s="156"/>
      <c r="O75" s="156"/>
      <c r="P75" s="156"/>
      <c r="Q75" t="str">
        <f t="shared" ca="1" si="3"/>
        <v>Greenland</v>
      </c>
      <c r="R75" t="s">
        <v>700</v>
      </c>
      <c r="S75" t="s">
        <v>701</v>
      </c>
      <c r="T75" t="s">
        <v>702</v>
      </c>
    </row>
    <row r="76" spans="1:20" x14ac:dyDescent="0.35">
      <c r="A76" s="156"/>
      <c r="B76" s="16" t="s">
        <v>1125</v>
      </c>
      <c r="C76" s="16" t="s">
        <v>1126</v>
      </c>
      <c r="D76" s="156"/>
      <c r="E76" s="35"/>
      <c r="F76" s="156"/>
      <c r="G76" s="156"/>
      <c r="H76" s="156"/>
      <c r="I76" s="156"/>
      <c r="J76" s="156"/>
      <c r="K76" s="156"/>
      <c r="L76" s="156"/>
      <c r="M76" s="156"/>
      <c r="N76" s="156"/>
      <c r="O76" s="156"/>
      <c r="P76" s="156"/>
      <c r="Q76" t="str">
        <f t="shared" ca="1" si="3"/>
        <v>Grenada</v>
      </c>
      <c r="R76" t="s">
        <v>703</v>
      </c>
      <c r="S76" t="s">
        <v>704</v>
      </c>
      <c r="T76" t="s">
        <v>705</v>
      </c>
    </row>
    <row r="77" spans="1:20" x14ac:dyDescent="0.35">
      <c r="A77" s="157" t="str">
        <f t="shared" ref="A77:A85" ca="1" si="4">OFFSET(B77,0,LangOffset,1,1)</f>
        <v>Please select…</v>
      </c>
      <c r="B77" s="156" t="s">
        <v>2</v>
      </c>
      <c r="C77" s="156" t="s">
        <v>518</v>
      </c>
      <c r="D77" s="156" t="s">
        <v>514</v>
      </c>
      <c r="E77" s="156"/>
      <c r="F77" s="156"/>
      <c r="G77" s="156"/>
      <c r="H77" s="156"/>
      <c r="I77" s="156"/>
      <c r="J77" s="156"/>
      <c r="K77" s="156"/>
      <c r="L77" s="156"/>
      <c r="M77" s="156"/>
      <c r="N77" s="156"/>
      <c r="O77" s="156"/>
      <c r="P77" s="156"/>
      <c r="Q77" t="str">
        <f t="shared" ca="1" si="3"/>
        <v>Guatemala</v>
      </c>
      <c r="R77" t="s">
        <v>706</v>
      </c>
      <c r="S77" t="s">
        <v>706</v>
      </c>
      <c r="T77" t="s">
        <v>706</v>
      </c>
    </row>
    <row r="78" spans="1:20" x14ac:dyDescent="0.35">
      <c r="A78" s="157" t="str">
        <f t="shared" ca="1" si="4"/>
        <v>men who have sex with men</v>
      </c>
      <c r="B78" s="156" t="s">
        <v>1076</v>
      </c>
      <c r="C78" s="156" t="s">
        <v>1077</v>
      </c>
      <c r="D78" s="156" t="s">
        <v>1078</v>
      </c>
      <c r="E78" s="156"/>
      <c r="F78" s="156"/>
      <c r="G78" s="156"/>
      <c r="H78" s="156"/>
      <c r="I78" s="156"/>
      <c r="J78" s="156"/>
      <c r="K78" s="156"/>
      <c r="L78" s="156"/>
      <c r="M78" s="156"/>
      <c r="N78" s="156"/>
      <c r="O78" s="156"/>
      <c r="P78" s="156"/>
      <c r="Q78" t="str">
        <f t="shared" ca="1" si="3"/>
        <v>Guinea</v>
      </c>
      <c r="R78" t="s">
        <v>707</v>
      </c>
      <c r="S78" t="s">
        <v>708</v>
      </c>
      <c r="T78" t="s">
        <v>707</v>
      </c>
    </row>
    <row r="79" spans="1:20" x14ac:dyDescent="0.35">
      <c r="A79" s="157" t="str">
        <f t="shared" ca="1" si="4"/>
        <v>sex workers and their clients</v>
      </c>
      <c r="B79" s="156" t="s">
        <v>1079</v>
      </c>
      <c r="C79" s="288" t="s">
        <v>1455</v>
      </c>
      <c r="D79" s="285" t="s">
        <v>1457</v>
      </c>
      <c r="E79" s="156"/>
      <c r="F79" s="156"/>
      <c r="G79" s="156"/>
      <c r="H79" s="156"/>
      <c r="I79" s="156"/>
      <c r="J79" s="156"/>
      <c r="K79" s="156"/>
      <c r="L79" s="156"/>
      <c r="M79" s="156"/>
      <c r="N79" s="156"/>
      <c r="O79" s="156"/>
      <c r="P79" s="156"/>
      <c r="Q79" t="str">
        <f t="shared" ca="1" si="3"/>
        <v>Guinea-Bissau</v>
      </c>
      <c r="R79" t="s">
        <v>709</v>
      </c>
      <c r="S79" t="s">
        <v>710</v>
      </c>
      <c r="T79" t="s">
        <v>711</v>
      </c>
    </row>
    <row r="80" spans="1:20" x14ac:dyDescent="0.35">
      <c r="A80" s="157" t="str">
        <f t="shared" ca="1" si="4"/>
        <v>transgender people</v>
      </c>
      <c r="B80" s="156" t="s">
        <v>1082</v>
      </c>
      <c r="C80" s="156" t="s">
        <v>1083</v>
      </c>
      <c r="D80" s="156" t="s">
        <v>1084</v>
      </c>
      <c r="E80" s="156"/>
      <c r="F80" s="156"/>
      <c r="G80" s="156"/>
      <c r="H80" s="156"/>
      <c r="I80" s="156"/>
      <c r="J80" s="156"/>
      <c r="K80" s="156"/>
      <c r="L80" s="156"/>
      <c r="M80" s="156"/>
      <c r="N80" s="156"/>
      <c r="O80" s="156"/>
      <c r="P80" s="156"/>
      <c r="Q80" t="str">
        <f t="shared" ca="1" si="3"/>
        <v>Guyana</v>
      </c>
      <c r="R80" t="s">
        <v>712</v>
      </c>
      <c r="S80" t="s">
        <v>712</v>
      </c>
      <c r="T80" t="s">
        <v>712</v>
      </c>
    </row>
    <row r="81" spans="1:20" x14ac:dyDescent="0.35">
      <c r="A81" s="157" t="str">
        <f t="shared" ca="1" si="4"/>
        <v>people who inject drugs and their partners</v>
      </c>
      <c r="B81" s="156" t="s">
        <v>320</v>
      </c>
      <c r="C81" s="70" t="s">
        <v>1456</v>
      </c>
      <c r="D81" s="70" t="s">
        <v>1458</v>
      </c>
      <c r="E81" s="156"/>
      <c r="F81" s="156"/>
      <c r="G81" s="156"/>
      <c r="H81" s="156"/>
      <c r="I81" s="156"/>
      <c r="J81" s="156"/>
      <c r="K81" s="156"/>
      <c r="L81" s="156"/>
      <c r="M81" s="156"/>
      <c r="N81" s="156"/>
      <c r="O81" s="156"/>
      <c r="P81" s="156"/>
      <c r="Q81" t="str">
        <f t="shared" ca="1" si="3"/>
        <v>Haiti</v>
      </c>
      <c r="R81" t="s">
        <v>713</v>
      </c>
      <c r="S81" t="s">
        <v>714</v>
      </c>
      <c r="T81" t="s">
        <v>715</v>
      </c>
    </row>
    <row r="82" spans="1:20" x14ac:dyDescent="0.35">
      <c r="A82" s="157" t="str">
        <f t="shared" ca="1" si="4"/>
        <v>people in prisons and other closed settings</v>
      </c>
      <c r="B82" s="61" t="s">
        <v>1085</v>
      </c>
      <c r="C82" s="78" t="s">
        <v>1086</v>
      </c>
      <c r="D82" s="70" t="s">
        <v>1087</v>
      </c>
      <c r="E82" s="156"/>
      <c r="F82" s="156"/>
      <c r="G82" s="156"/>
      <c r="H82" s="156"/>
      <c r="I82" s="156"/>
      <c r="J82" s="156"/>
      <c r="K82" s="156"/>
      <c r="L82" s="156"/>
      <c r="M82" s="156"/>
      <c r="N82" s="156"/>
      <c r="O82" s="156"/>
      <c r="P82" s="156"/>
      <c r="Q82" t="str">
        <f t="shared" ca="1" si="3"/>
        <v>Holy See</v>
      </c>
      <c r="R82" t="s">
        <v>716</v>
      </c>
      <c r="S82" t="s">
        <v>717</v>
      </c>
      <c r="T82" t="s">
        <v>718</v>
      </c>
    </row>
    <row r="83" spans="1:20" x14ac:dyDescent="0.35">
      <c r="A83" s="157" t="str">
        <f t="shared" ca="1" si="4"/>
        <v>adolescent girls and young women in high prevalence settings</v>
      </c>
      <c r="B83" s="61" t="s">
        <v>1088</v>
      </c>
      <c r="C83" s="71" t="s">
        <v>1089</v>
      </c>
      <c r="D83" s="156" t="s">
        <v>1090</v>
      </c>
      <c r="E83" s="156"/>
      <c r="F83" s="156"/>
      <c r="G83" s="156"/>
      <c r="H83" s="156"/>
      <c r="I83" s="156"/>
      <c r="J83" s="156"/>
      <c r="K83" s="156"/>
      <c r="L83" s="156"/>
      <c r="M83" s="156"/>
      <c r="N83" s="156"/>
      <c r="O83" s="156"/>
      <c r="P83" s="156"/>
      <c r="Q83" t="str">
        <f t="shared" ca="1" si="3"/>
        <v>Honduras</v>
      </c>
      <c r="R83" t="s">
        <v>719</v>
      </c>
      <c r="S83" t="s">
        <v>719</v>
      </c>
      <c r="T83" t="s">
        <v>719</v>
      </c>
    </row>
    <row r="84" spans="1:20" x14ac:dyDescent="0.35">
      <c r="A84" s="157" t="str">
        <f t="shared" ca="1" si="4"/>
        <v>men in high prevalence settings</v>
      </c>
      <c r="B84" s="61" t="s">
        <v>1091</v>
      </c>
      <c r="C84" s="71" t="s">
        <v>1092</v>
      </c>
      <c r="D84" s="70" t="s">
        <v>1093</v>
      </c>
      <c r="E84" s="156"/>
      <c r="F84" s="156"/>
      <c r="G84" s="156"/>
      <c r="H84" s="156"/>
      <c r="I84" s="156"/>
      <c r="J84" s="156"/>
      <c r="K84" s="156"/>
      <c r="L84" s="156"/>
      <c r="M84" s="156"/>
      <c r="N84" s="156"/>
      <c r="O84" s="156"/>
      <c r="P84" s="156"/>
      <c r="Q84" t="str">
        <f t="shared" ca="1" si="3"/>
        <v>Hungary</v>
      </c>
      <c r="R84" t="s">
        <v>720</v>
      </c>
      <c r="S84" t="s">
        <v>721</v>
      </c>
      <c r="T84" t="s">
        <v>722</v>
      </c>
    </row>
    <row r="85" spans="1:20" x14ac:dyDescent="0.35">
      <c r="A85" s="157" t="str">
        <f t="shared" ca="1" si="4"/>
        <v>other vulnerable populations - please specify in the comments</v>
      </c>
      <c r="B85" s="156" t="s">
        <v>1097</v>
      </c>
      <c r="C85" s="156" t="s">
        <v>1127</v>
      </c>
      <c r="D85" s="156" t="s">
        <v>1099</v>
      </c>
      <c r="E85" s="156"/>
      <c r="F85" s="156"/>
      <c r="G85" s="156"/>
      <c r="H85" s="156"/>
      <c r="I85" s="156"/>
      <c r="J85" s="156"/>
      <c r="K85" s="156"/>
      <c r="L85" s="156"/>
      <c r="M85" s="156"/>
      <c r="N85" s="156"/>
      <c r="O85" s="156"/>
      <c r="P85" s="156"/>
      <c r="Q85" t="str">
        <f t="shared" ca="1" si="3"/>
        <v>Iceland</v>
      </c>
      <c r="R85" t="s">
        <v>723</v>
      </c>
      <c r="S85" t="s">
        <v>724</v>
      </c>
      <c r="T85" t="s">
        <v>725</v>
      </c>
    </row>
    <row r="86" spans="1:20" x14ac:dyDescent="0.35">
      <c r="A86" s="156"/>
      <c r="B86" s="156"/>
      <c r="C86" s="156"/>
      <c r="D86" s="156"/>
      <c r="E86" s="156"/>
      <c r="F86" s="156"/>
      <c r="G86" s="156"/>
      <c r="H86" s="156"/>
      <c r="I86" s="156"/>
      <c r="J86" s="156"/>
      <c r="K86" s="156"/>
      <c r="L86" s="156"/>
      <c r="M86" s="156"/>
      <c r="N86" s="156"/>
      <c r="O86" s="156"/>
      <c r="P86" s="156"/>
      <c r="Q86" t="str">
        <f t="shared" ca="1" si="3"/>
        <v>India</v>
      </c>
      <c r="R86" t="s">
        <v>726</v>
      </c>
      <c r="S86" t="s">
        <v>727</v>
      </c>
      <c r="T86" t="s">
        <v>726</v>
      </c>
    </row>
    <row r="87" spans="1:20" x14ac:dyDescent="0.35">
      <c r="A87" s="156"/>
      <c r="B87" s="16" t="s">
        <v>1444</v>
      </c>
      <c r="C87" s="83" t="s">
        <v>1128</v>
      </c>
      <c r="D87" s="156"/>
      <c r="E87" s="35"/>
      <c r="F87" s="156"/>
      <c r="G87" s="156"/>
      <c r="H87" s="156"/>
      <c r="I87" s="156"/>
      <c r="J87" s="156"/>
      <c r="K87" s="156"/>
      <c r="L87" s="156"/>
      <c r="M87" s="156"/>
      <c r="N87" s="156"/>
      <c r="O87" s="156"/>
      <c r="P87" s="156"/>
      <c r="Q87" t="str">
        <f t="shared" ca="1" si="3"/>
        <v>Indonesia</v>
      </c>
      <c r="R87" t="s">
        <v>728</v>
      </c>
      <c r="S87" t="s">
        <v>729</v>
      </c>
      <c r="T87" t="s">
        <v>728</v>
      </c>
    </row>
    <row r="88" spans="1:20" x14ac:dyDescent="0.35">
      <c r="A88" s="157" t="str">
        <f t="shared" ref="A88:A96" ca="1" si="5">OFFSET(B88,0,LangOffset,1,1)</f>
        <v>Please select…</v>
      </c>
      <c r="B88" s="156" t="s">
        <v>2</v>
      </c>
      <c r="C88" s="156" t="s">
        <v>518</v>
      </c>
      <c r="D88" s="156" t="s">
        <v>514</v>
      </c>
      <c r="E88" s="156"/>
      <c r="F88" s="156"/>
      <c r="G88" s="156"/>
      <c r="H88" s="156"/>
      <c r="I88" s="156"/>
      <c r="J88" s="156"/>
      <c r="K88" s="156"/>
      <c r="L88" s="156"/>
      <c r="M88" s="156"/>
      <c r="N88" s="156"/>
      <c r="O88" s="156"/>
      <c r="P88" s="156"/>
      <c r="Q88" t="str">
        <f t="shared" ca="1" si="3"/>
        <v>Iran (Islamic Republic)</v>
      </c>
      <c r="R88" t="s">
        <v>730</v>
      </c>
      <c r="S88" t="s">
        <v>731</v>
      </c>
      <c r="T88" t="s">
        <v>732</v>
      </c>
    </row>
    <row r="89" spans="1:20" x14ac:dyDescent="0.35">
      <c r="A89" s="157" t="str">
        <f ca="1">OFFSET(B92,0,LangOffset,1,1)</f>
        <v xml:space="preserve">Number of PWID who received any PrEP product at least once during the reporting period. </v>
      </c>
      <c r="B89" s="168" t="s">
        <v>1130</v>
      </c>
      <c r="C89" s="61" t="s">
        <v>1445</v>
      </c>
      <c r="D89" s="287" t="s">
        <v>1454</v>
      </c>
      <c r="E89" s="156"/>
      <c r="F89" s="156"/>
      <c r="G89" s="156"/>
      <c r="H89" s="156"/>
      <c r="I89" s="156"/>
      <c r="J89" s="156"/>
      <c r="K89" s="156"/>
      <c r="L89" s="156"/>
      <c r="M89" s="156"/>
      <c r="N89" s="156"/>
      <c r="O89" s="156"/>
      <c r="P89" s="156"/>
      <c r="Q89" t="str">
        <f t="shared" ca="1" si="3"/>
        <v>Iraq</v>
      </c>
      <c r="R89" t="s">
        <v>733</v>
      </c>
      <c r="S89" t="s">
        <v>734</v>
      </c>
      <c r="T89" t="s">
        <v>733</v>
      </c>
    </row>
    <row r="90" spans="1:20" x14ac:dyDescent="0.35">
      <c r="A90" s="157" t="str">
        <f ca="1">OFFSET(B89,0,LangOffset,1,1)</f>
        <v xml:space="preserve">Number of men who have sex with men (MSM) who received any PrEP product at least once during the reporting period. </v>
      </c>
      <c r="B90" s="168" t="s">
        <v>1131</v>
      </c>
      <c r="C90" s="61" t="s">
        <v>1446</v>
      </c>
      <c r="D90" s="287" t="s">
        <v>1453</v>
      </c>
      <c r="E90" s="156"/>
      <c r="F90" s="156"/>
      <c r="G90" s="156"/>
      <c r="H90" s="156"/>
      <c r="I90" s="156"/>
      <c r="J90" s="156"/>
      <c r="K90" s="156"/>
      <c r="L90" s="156"/>
      <c r="M90" s="156"/>
      <c r="N90" s="156"/>
      <c r="O90" s="156"/>
      <c r="P90" s="156"/>
      <c r="Q90" t="str">
        <f t="shared" ca="1" si="3"/>
        <v>Ireland</v>
      </c>
      <c r="R90" t="s">
        <v>735</v>
      </c>
      <c r="S90" t="s">
        <v>736</v>
      </c>
      <c r="T90" t="s">
        <v>737</v>
      </c>
    </row>
    <row r="91" spans="1:20" x14ac:dyDescent="0.35">
      <c r="A91" s="157" t="str">
        <f ca="1">OFFSET(B90,0,LangOffset,1,1)</f>
        <v xml:space="preserve">Number of transgender people (TG) who received any PrEP product at least once during the reporting period. </v>
      </c>
      <c r="B91" s="168" t="s">
        <v>1132</v>
      </c>
      <c r="C91" s="61" t="s">
        <v>1447</v>
      </c>
      <c r="D91" s="61" t="s">
        <v>1452</v>
      </c>
      <c r="E91" s="156"/>
      <c r="F91" s="156"/>
      <c r="G91" s="156"/>
      <c r="H91" s="156"/>
      <c r="I91" s="156"/>
      <c r="J91" s="156"/>
      <c r="K91" s="156"/>
      <c r="L91" s="156"/>
      <c r="M91" s="156"/>
      <c r="N91" s="156"/>
      <c r="O91" s="156"/>
      <c r="P91" s="156"/>
      <c r="Q91" t="str">
        <f t="shared" ca="1" si="3"/>
        <v>Israel</v>
      </c>
      <c r="R91" t="s">
        <v>738</v>
      </c>
      <c r="S91" t="s">
        <v>739</v>
      </c>
      <c r="T91" t="s">
        <v>738</v>
      </c>
    </row>
    <row r="92" spans="1:20" x14ac:dyDescent="0.35">
      <c r="A92" s="157" t="str">
        <f ca="1">OFFSET(B91,0,LangOffset,1,1)</f>
        <v xml:space="preserve">Number of sex workers (SW) who received any PrEP product at least once during the reporting period. </v>
      </c>
      <c r="B92" s="168" t="s">
        <v>1129</v>
      </c>
      <c r="C92" s="61" t="s">
        <v>1448</v>
      </c>
      <c r="D92" s="287" t="s">
        <v>1451</v>
      </c>
      <c r="E92" s="156"/>
      <c r="F92" s="156"/>
      <c r="G92" s="156"/>
      <c r="H92" s="156"/>
      <c r="I92" s="156"/>
      <c r="J92" s="156"/>
      <c r="K92" s="156"/>
      <c r="L92" s="156"/>
      <c r="M92" s="156"/>
      <c r="N92" s="156"/>
      <c r="O92" s="156"/>
      <c r="P92" s="156"/>
      <c r="Q92" t="str">
        <f t="shared" ca="1" si="3"/>
        <v>Italy</v>
      </c>
      <c r="R92" t="s">
        <v>740</v>
      </c>
      <c r="S92" t="s">
        <v>741</v>
      </c>
      <c r="T92" t="s">
        <v>742</v>
      </c>
    </row>
    <row r="93" spans="1:20" x14ac:dyDescent="0.35">
      <c r="A93" s="157" t="str">
        <f ca="1">OFFSET(B93,0,LangOffset,1,1)</f>
        <v xml:space="preserve">Number of high risk AGYW who received any PrEP product at least once during the reporting period. </v>
      </c>
      <c r="B93" s="97" t="s">
        <v>1133</v>
      </c>
      <c r="C93" s="61" t="s">
        <v>1449</v>
      </c>
      <c r="D93" s="61" t="s">
        <v>1450</v>
      </c>
      <c r="E93" s="156"/>
      <c r="F93" s="156"/>
      <c r="G93" s="156"/>
      <c r="H93" s="156"/>
      <c r="I93" s="156"/>
      <c r="J93" s="156"/>
      <c r="K93" s="156"/>
      <c r="L93" s="156"/>
      <c r="M93" s="156"/>
      <c r="N93" s="156"/>
      <c r="O93" s="156"/>
      <c r="P93" s="156"/>
      <c r="Q93" t="str">
        <f t="shared" ca="1" si="3"/>
        <v>Jamaica</v>
      </c>
      <c r="R93" t="s">
        <v>743</v>
      </c>
      <c r="S93" t="s">
        <v>744</v>
      </c>
      <c r="T93" t="s">
        <v>743</v>
      </c>
    </row>
    <row r="94" spans="1:20" x14ac:dyDescent="0.35">
      <c r="A94" s="157" t="e">
        <f ca="1">OFFSET(#REF!,0,LangOffset,1,1)</f>
        <v>#REF!</v>
      </c>
      <c r="E94" s="156"/>
      <c r="F94" s="156"/>
      <c r="G94" s="156"/>
      <c r="H94" s="156"/>
      <c r="I94" s="156"/>
      <c r="J94" s="156"/>
      <c r="K94" s="156"/>
      <c r="L94" s="156"/>
      <c r="M94" s="156"/>
      <c r="N94" s="156"/>
      <c r="O94" s="156"/>
      <c r="P94" s="156"/>
      <c r="Q94" t="str">
        <f t="shared" ca="1" si="3"/>
        <v>Japan</v>
      </c>
      <c r="R94" t="s">
        <v>745</v>
      </c>
      <c r="S94" t="s">
        <v>746</v>
      </c>
      <c r="T94" t="s">
        <v>747</v>
      </c>
    </row>
    <row r="95" spans="1:20" x14ac:dyDescent="0.35">
      <c r="A95" s="157">
        <f t="shared" ca="1" si="5"/>
        <v>0</v>
      </c>
      <c r="B95" s="59"/>
      <c r="C95" s="71" t="s">
        <v>1089</v>
      </c>
      <c r="D95" s="156" t="s">
        <v>1090</v>
      </c>
      <c r="E95" s="156"/>
      <c r="F95" s="156"/>
      <c r="G95" s="156"/>
      <c r="H95" s="156"/>
      <c r="I95" s="156"/>
      <c r="J95" s="156"/>
      <c r="K95" s="156"/>
      <c r="L95" s="156"/>
      <c r="M95" s="156"/>
      <c r="N95" s="156"/>
      <c r="O95" s="156"/>
      <c r="P95" s="156"/>
      <c r="Q95" t="str">
        <f t="shared" ca="1" si="3"/>
        <v>Jordan</v>
      </c>
      <c r="R95" t="s">
        <v>748</v>
      </c>
      <c r="S95" t="s">
        <v>749</v>
      </c>
      <c r="T95" t="s">
        <v>750</v>
      </c>
    </row>
    <row r="96" spans="1:20" x14ac:dyDescent="0.35">
      <c r="A96" s="157">
        <f t="shared" ca="1" si="5"/>
        <v>0</v>
      </c>
      <c r="B96" s="156"/>
      <c r="C96" s="71" t="s">
        <v>1092</v>
      </c>
      <c r="D96" s="70" t="s">
        <v>1093</v>
      </c>
      <c r="E96" s="156"/>
      <c r="F96" s="156"/>
      <c r="G96" s="156"/>
      <c r="H96" s="156"/>
      <c r="I96" s="156"/>
      <c r="J96" s="156"/>
      <c r="K96" s="156"/>
      <c r="L96" s="156"/>
      <c r="M96" s="156"/>
      <c r="N96" s="156"/>
      <c r="O96" s="156"/>
      <c r="P96" s="156"/>
      <c r="Q96" t="str">
        <f t="shared" ca="1" si="3"/>
        <v>Kazakhstan</v>
      </c>
      <c r="R96" t="s">
        <v>751</v>
      </c>
      <c r="S96" t="s">
        <v>751</v>
      </c>
      <c r="T96" t="s">
        <v>752</v>
      </c>
    </row>
    <row r="97" spans="1:20" x14ac:dyDescent="0.35">
      <c r="A97" s="156"/>
      <c r="B97" s="156"/>
      <c r="C97" s="156" t="s">
        <v>1098</v>
      </c>
      <c r="D97" s="156" t="s">
        <v>1099</v>
      </c>
      <c r="E97" s="156"/>
      <c r="F97" s="156"/>
      <c r="G97" s="156"/>
      <c r="H97" s="156"/>
      <c r="I97" s="156"/>
      <c r="J97" s="156"/>
      <c r="K97" s="156"/>
      <c r="L97" s="156"/>
      <c r="M97" s="156"/>
      <c r="N97" s="156"/>
      <c r="O97" s="156"/>
      <c r="P97" s="156"/>
      <c r="Q97" t="str">
        <f t="shared" ca="1" si="3"/>
        <v>Kenya</v>
      </c>
      <c r="R97" t="s">
        <v>753</v>
      </c>
      <c r="S97" t="s">
        <v>753</v>
      </c>
      <c r="T97" t="s">
        <v>753</v>
      </c>
    </row>
    <row r="98" spans="1:20" x14ac:dyDescent="0.35">
      <c r="A98" s="156"/>
      <c r="B98" s="16" t="s">
        <v>1429</v>
      </c>
      <c r="C98" s="156"/>
      <c r="D98" s="156"/>
      <c r="E98" s="156"/>
      <c r="F98" s="156"/>
      <c r="G98" s="156"/>
      <c r="H98" s="156"/>
      <c r="I98" s="156"/>
      <c r="J98" s="156"/>
      <c r="K98" s="156"/>
      <c r="L98" s="156"/>
      <c r="M98" s="156"/>
      <c r="N98" s="156"/>
      <c r="O98" s="156"/>
      <c r="P98" s="156"/>
      <c r="Q98" t="str">
        <f t="shared" ca="1" si="3"/>
        <v>Kiribati</v>
      </c>
      <c r="R98" t="s">
        <v>754</v>
      </c>
      <c r="S98" t="s">
        <v>754</v>
      </c>
      <c r="T98" t="s">
        <v>754</v>
      </c>
    </row>
    <row r="99" spans="1:20" x14ac:dyDescent="0.35">
      <c r="A99" s="29" t="s">
        <v>12</v>
      </c>
      <c r="B99" s="29" t="s">
        <v>7</v>
      </c>
      <c r="C99" s="32" t="s">
        <v>13</v>
      </c>
      <c r="D99" s="29" t="s">
        <v>14</v>
      </c>
      <c r="E99" s="30"/>
      <c r="F99" s="156"/>
      <c r="G99" s="156"/>
      <c r="H99" s="156"/>
      <c r="I99" s="156"/>
      <c r="J99" s="156"/>
      <c r="K99" s="156"/>
      <c r="L99" s="156"/>
      <c r="M99" s="156"/>
      <c r="N99" s="156"/>
      <c r="O99" s="156"/>
      <c r="P99" s="156"/>
      <c r="Q99" t="str">
        <f t="shared" ca="1" si="3"/>
        <v>Korea (Democratic Peoples Republic)</v>
      </c>
      <c r="R99" t="s">
        <v>755</v>
      </c>
      <c r="S99" t="s">
        <v>756</v>
      </c>
      <c r="T99" t="s">
        <v>757</v>
      </c>
    </row>
    <row r="100" spans="1:20" x14ac:dyDescent="0.35">
      <c r="A100" s="157" t="str">
        <f t="shared" ref="A100:A107" ca="1" si="6">OFFSET(B100,0,LangOffset,1,1)</f>
        <v>Please select…</v>
      </c>
      <c r="B100" s="156" t="s">
        <v>2</v>
      </c>
      <c r="C100" s="156" t="s">
        <v>518</v>
      </c>
      <c r="D100" s="156" t="s">
        <v>514</v>
      </c>
      <c r="E100" s="156"/>
      <c r="F100" s="156"/>
      <c r="G100" s="156"/>
      <c r="H100" s="156"/>
      <c r="I100" s="156"/>
      <c r="J100" s="156"/>
      <c r="K100" s="156"/>
      <c r="L100" s="156"/>
      <c r="M100" s="156"/>
      <c r="N100" s="156"/>
      <c r="O100" s="156"/>
      <c r="P100" s="156"/>
      <c r="Q100" t="str">
        <f t="shared" ca="1" si="3"/>
        <v>Korea (Republic)</v>
      </c>
      <c r="R100" t="s">
        <v>758</v>
      </c>
      <c r="S100" t="s">
        <v>759</v>
      </c>
      <c r="T100" t="s">
        <v>760</v>
      </c>
    </row>
    <row r="101" spans="1:20" x14ac:dyDescent="0.35">
      <c r="A101" s="157" t="str">
        <f t="shared" ca="1" si="6"/>
        <v>Percentage of high risk AGYW that have received an HIV test during the reporting period  in AGYW programs</v>
      </c>
      <c r="B101" s="169" t="s">
        <v>1134</v>
      </c>
      <c r="C101" s="286" t="s">
        <v>1430</v>
      </c>
      <c r="D101" s="286" t="s">
        <v>1437</v>
      </c>
      <c r="E101" s="156"/>
      <c r="F101" s="156"/>
      <c r="G101" s="156"/>
      <c r="H101" s="156"/>
      <c r="I101" s="156"/>
      <c r="J101" s="156"/>
      <c r="K101" s="156"/>
      <c r="L101" s="156"/>
      <c r="M101" s="156"/>
      <c r="N101" s="156"/>
      <c r="O101" s="156"/>
      <c r="P101" s="156"/>
      <c r="Q101" t="str">
        <f t="shared" ca="1" si="3"/>
        <v>Kosovo</v>
      </c>
      <c r="R101" t="s">
        <v>761</v>
      </c>
      <c r="S101" t="s">
        <v>761</v>
      </c>
      <c r="T101" t="s">
        <v>761</v>
      </c>
    </row>
    <row r="102" spans="1:20" x14ac:dyDescent="0.35">
      <c r="A102" s="157" t="str">
        <f t="shared" ca="1" si="6"/>
        <v>Percentage of men who have sex with men (MSM) that have received an HIV test during the reporting period in KP-specific programs and know their results</v>
      </c>
      <c r="B102" s="168" t="s">
        <v>1135</v>
      </c>
      <c r="C102" s="286" t="s">
        <v>1431</v>
      </c>
      <c r="D102" s="286" t="s">
        <v>1438</v>
      </c>
      <c r="E102" s="156"/>
      <c r="F102" s="156"/>
      <c r="G102" s="156"/>
      <c r="H102" s="156"/>
      <c r="I102" s="156"/>
      <c r="J102" s="156"/>
      <c r="K102" s="156"/>
      <c r="L102" s="156"/>
      <c r="M102" s="156"/>
      <c r="N102" s="156"/>
      <c r="O102" s="156"/>
      <c r="P102" s="156"/>
      <c r="Q102" t="str">
        <f t="shared" ca="1" si="3"/>
        <v>Kuwait</v>
      </c>
      <c r="R102" t="s">
        <v>762</v>
      </c>
      <c r="S102" t="s">
        <v>763</v>
      </c>
      <c r="T102" t="s">
        <v>762</v>
      </c>
    </row>
    <row r="103" spans="1:20" x14ac:dyDescent="0.35">
      <c r="A103" s="157" t="str">
        <f t="shared" ca="1" si="6"/>
        <v>Percentage of transgender people (TG) that have received an HIV test during the reporting period in KP-specific programs and know their results</v>
      </c>
      <c r="B103" s="168" t="s">
        <v>1136</v>
      </c>
      <c r="C103" s="286" t="s">
        <v>1432</v>
      </c>
      <c r="D103" s="286" t="s">
        <v>1439</v>
      </c>
      <c r="E103" s="156"/>
      <c r="F103" s="156"/>
      <c r="G103" s="156"/>
      <c r="H103" s="156"/>
      <c r="I103" s="156"/>
      <c r="J103" s="156"/>
      <c r="K103" s="156"/>
      <c r="L103" s="156"/>
      <c r="M103" s="156"/>
      <c r="N103" s="156"/>
      <c r="O103" s="156"/>
      <c r="P103" s="156"/>
      <c r="Q103" t="str">
        <f t="shared" ca="1" si="3"/>
        <v>Kyrgyzstan</v>
      </c>
      <c r="R103" t="s">
        <v>764</v>
      </c>
      <c r="S103" t="s">
        <v>765</v>
      </c>
      <c r="T103" t="s">
        <v>766</v>
      </c>
    </row>
    <row r="104" spans="1:20" x14ac:dyDescent="0.35">
      <c r="A104" s="157" t="str">
        <f t="shared" ca="1" si="6"/>
        <v>Percentage of sex workers that have received an HIV test during the reporting period in KP-specific programs and know their results</v>
      </c>
      <c r="B104" s="168" t="s">
        <v>1137</v>
      </c>
      <c r="C104" s="286" t="s">
        <v>1433</v>
      </c>
      <c r="D104" s="286" t="s">
        <v>1440</v>
      </c>
      <c r="E104" s="156"/>
      <c r="F104" s="156"/>
      <c r="G104" s="156"/>
      <c r="H104" s="156"/>
      <c r="I104" s="156"/>
      <c r="J104" s="156"/>
      <c r="K104" s="156"/>
      <c r="L104" s="156"/>
      <c r="M104" s="156"/>
      <c r="N104" s="156"/>
      <c r="O104" s="156"/>
      <c r="P104" s="156"/>
      <c r="Q104" t="str">
        <f t="shared" ca="1" si="3"/>
        <v>Lao (Peoples Democratic Republic)</v>
      </c>
      <c r="R104" t="s">
        <v>767</v>
      </c>
      <c r="S104" t="s">
        <v>768</v>
      </c>
      <c r="T104" t="s">
        <v>769</v>
      </c>
    </row>
    <row r="105" spans="1:20" x14ac:dyDescent="0.35">
      <c r="A105" s="157" t="str">
        <f t="shared" ca="1" si="6"/>
        <v>Percentage of people who inject drugs that have received an HIV test during the reporting period in KP-specific programs and know their results</v>
      </c>
      <c r="B105" s="168" t="s">
        <v>1138</v>
      </c>
      <c r="C105" s="286" t="s">
        <v>1434</v>
      </c>
      <c r="D105" s="286" t="s">
        <v>1441</v>
      </c>
      <c r="E105" s="156"/>
      <c r="F105" s="156"/>
      <c r="G105" s="156"/>
      <c r="H105" s="156"/>
      <c r="I105" s="156"/>
      <c r="J105" s="156"/>
      <c r="K105" s="156"/>
      <c r="L105" s="156"/>
      <c r="M105" s="156"/>
      <c r="N105" s="156"/>
      <c r="O105" s="156"/>
      <c r="P105" s="156"/>
      <c r="Q105" t="str">
        <f t="shared" ca="1" si="3"/>
        <v>Latvia</v>
      </c>
      <c r="R105" t="s">
        <v>770</v>
      </c>
      <c r="S105" t="s">
        <v>771</v>
      </c>
      <c r="T105" t="s">
        <v>772</v>
      </c>
    </row>
    <row r="106" spans="1:20" x14ac:dyDescent="0.35">
      <c r="A106" s="157" t="str">
        <f t="shared" ca="1" si="6"/>
        <v>Percentage of people in prisons and other closed settings that have received an HIV test during the reporting period and know their results</v>
      </c>
      <c r="B106" s="168" t="s">
        <v>1139</v>
      </c>
      <c r="C106" s="286" t="s">
        <v>1436</v>
      </c>
      <c r="D106" s="286" t="s">
        <v>1443</v>
      </c>
      <c r="E106" s="156"/>
      <c r="F106" s="156"/>
      <c r="G106" s="156"/>
      <c r="H106" s="156"/>
      <c r="I106" s="156"/>
      <c r="J106" s="156"/>
      <c r="K106" s="156"/>
      <c r="L106" s="156"/>
      <c r="M106" s="156"/>
      <c r="N106" s="156"/>
      <c r="O106" s="156"/>
      <c r="P106" s="156"/>
      <c r="Q106" t="str">
        <f t="shared" ca="1" si="3"/>
        <v>Lebanon</v>
      </c>
      <c r="R106" t="s">
        <v>773</v>
      </c>
      <c r="S106" t="s">
        <v>774</v>
      </c>
      <c r="T106" t="s">
        <v>775</v>
      </c>
    </row>
    <row r="107" spans="1:20" x14ac:dyDescent="0.35">
      <c r="A107" s="157" t="str">
        <f t="shared" ca="1" si="6"/>
        <v>Percentage of other vulnerable populations that have received an HIV test during the reporting period and know their results</v>
      </c>
      <c r="B107" s="168" t="s">
        <v>1140</v>
      </c>
      <c r="C107" s="286" t="s">
        <v>1435</v>
      </c>
      <c r="D107" s="286" t="s">
        <v>1442</v>
      </c>
      <c r="E107" s="156"/>
      <c r="F107" s="156"/>
      <c r="G107" s="156"/>
      <c r="H107" s="156"/>
      <c r="I107" s="156"/>
      <c r="J107" s="156"/>
      <c r="K107" s="156"/>
      <c r="L107" s="156"/>
      <c r="M107" s="156"/>
      <c r="N107" s="156"/>
      <c r="O107" s="156"/>
      <c r="P107" s="156"/>
      <c r="Q107" t="str">
        <f t="shared" ca="1" si="3"/>
        <v>Lesotho</v>
      </c>
      <c r="R107" t="s">
        <v>776</v>
      </c>
      <c r="S107" t="s">
        <v>776</v>
      </c>
      <c r="T107" t="s">
        <v>776</v>
      </c>
    </row>
    <row r="108" spans="1:20" x14ac:dyDescent="0.35">
      <c r="A108" s="156"/>
      <c r="B108" s="156"/>
      <c r="C108" s="156"/>
      <c r="D108" s="156"/>
      <c r="E108" s="156"/>
      <c r="F108" s="156"/>
      <c r="G108" s="156"/>
      <c r="H108" s="156"/>
      <c r="I108" s="156"/>
      <c r="J108" s="156"/>
      <c r="K108" s="156"/>
      <c r="L108" s="156"/>
      <c r="M108" s="156"/>
      <c r="N108" s="156"/>
      <c r="O108" s="156"/>
      <c r="P108" s="156"/>
      <c r="Q108" t="str">
        <f t="shared" ca="1" si="3"/>
        <v>Liberia</v>
      </c>
      <c r="R108" t="s">
        <v>777</v>
      </c>
      <c r="S108" t="s">
        <v>777</v>
      </c>
      <c r="T108" t="s">
        <v>777</v>
      </c>
    </row>
    <row r="109" spans="1:20" x14ac:dyDescent="0.35">
      <c r="A109" s="156"/>
      <c r="B109" s="156"/>
      <c r="C109" s="156"/>
      <c r="D109" s="156"/>
      <c r="E109" s="156"/>
      <c r="F109" s="156"/>
      <c r="G109" s="156"/>
      <c r="H109" s="156"/>
      <c r="I109" s="156"/>
      <c r="J109" s="156"/>
      <c r="K109" s="156"/>
      <c r="L109" s="156"/>
      <c r="M109" s="156"/>
      <c r="N109" s="156"/>
      <c r="O109" s="156"/>
      <c r="P109" s="156"/>
      <c r="Q109" t="str">
        <f t="shared" ca="1" si="3"/>
        <v>Libya</v>
      </c>
      <c r="R109" t="s">
        <v>778</v>
      </c>
      <c r="S109" t="s">
        <v>779</v>
      </c>
      <c r="T109" t="s">
        <v>780</v>
      </c>
    </row>
    <row r="110" spans="1:20" x14ac:dyDescent="0.35">
      <c r="A110" s="156"/>
      <c r="B110" s="16" t="s">
        <v>1141</v>
      </c>
      <c r="C110" s="156"/>
      <c r="D110" s="156"/>
      <c r="E110" s="156"/>
      <c r="F110" s="156"/>
      <c r="G110" s="156"/>
      <c r="H110" s="16" t="s">
        <v>1142</v>
      </c>
      <c r="I110" s="156"/>
      <c r="J110" s="156"/>
      <c r="K110" s="156"/>
      <c r="L110" s="156"/>
      <c r="M110" s="156"/>
      <c r="N110" s="156"/>
      <c r="O110" s="156"/>
      <c r="P110" s="156"/>
      <c r="Q110" t="str">
        <f t="shared" ca="1" si="3"/>
        <v>Liechtenstein</v>
      </c>
      <c r="R110" t="s">
        <v>781</v>
      </c>
      <c r="S110" t="s">
        <v>781</v>
      </c>
      <c r="T110" t="s">
        <v>781</v>
      </c>
    </row>
    <row r="111" spans="1:20" x14ac:dyDescent="0.35">
      <c r="A111" s="29" t="s">
        <v>12</v>
      </c>
      <c r="B111" s="29" t="s">
        <v>7</v>
      </c>
      <c r="C111" s="32" t="s">
        <v>13</v>
      </c>
      <c r="D111" s="29" t="s">
        <v>14</v>
      </c>
      <c r="E111" s="30"/>
      <c r="F111" s="156"/>
      <c r="G111" s="29" t="s">
        <v>12</v>
      </c>
      <c r="H111" s="29" t="s">
        <v>7</v>
      </c>
      <c r="I111" s="32" t="s">
        <v>13</v>
      </c>
      <c r="J111" s="29" t="s">
        <v>14</v>
      </c>
      <c r="K111" s="30"/>
      <c r="L111" s="156"/>
      <c r="M111" s="156"/>
      <c r="N111" s="156"/>
      <c r="O111" s="156"/>
      <c r="P111" s="156"/>
      <c r="Q111" t="str">
        <f t="shared" ca="1" si="3"/>
        <v>Lithuania</v>
      </c>
      <c r="R111" t="s">
        <v>782</v>
      </c>
      <c r="S111" t="s">
        <v>783</v>
      </c>
      <c r="T111" t="s">
        <v>784</v>
      </c>
    </row>
    <row r="112" spans="1:20" x14ac:dyDescent="0.35">
      <c r="A112" s="157" t="str">
        <f t="shared" ref="A112:A119" ca="1" si="7">OFFSET(B112,0,LangOffset,1,1)</f>
        <v>Please select…</v>
      </c>
      <c r="B112" s="156" t="s">
        <v>2</v>
      </c>
      <c r="C112" s="156" t="s">
        <v>518</v>
      </c>
      <c r="D112" s="156" t="s">
        <v>514</v>
      </c>
      <c r="E112" s="156"/>
      <c r="F112" s="156"/>
      <c r="G112" s="157" t="str">
        <f t="shared" ref="G112:G119" ca="1" si="8">OFFSET(H112,0,LangOffset,1,1)</f>
        <v>Please select…</v>
      </c>
      <c r="H112" s="156" t="s">
        <v>2</v>
      </c>
      <c r="I112" s="156" t="s">
        <v>518</v>
      </c>
      <c r="J112" s="156" t="s">
        <v>514</v>
      </c>
      <c r="K112" s="156"/>
      <c r="L112" s="156"/>
      <c r="M112" s="156"/>
      <c r="N112" s="156"/>
      <c r="O112" s="156"/>
      <c r="P112" s="156"/>
      <c r="Q112" t="str">
        <f t="shared" ca="1" si="3"/>
        <v>Luxembourg</v>
      </c>
      <c r="R112" t="s">
        <v>785</v>
      </c>
      <c r="S112" t="s">
        <v>785</v>
      </c>
      <c r="T112" t="s">
        <v>786</v>
      </c>
    </row>
    <row r="113" spans="1:20" x14ac:dyDescent="0.35">
      <c r="A113" s="157" t="str">
        <f t="shared" ca="1" si="7"/>
        <v>Prevention package for AGYW and their male sexual partners in high HIV incidence settings</v>
      </c>
      <c r="B113" s="283" t="s">
        <v>1459</v>
      </c>
      <c r="C113" s="297" t="s">
        <v>1143</v>
      </c>
      <c r="D113" s="297" t="s">
        <v>1144</v>
      </c>
      <c r="E113" s="156"/>
      <c r="F113" s="156"/>
      <c r="G113" s="157" t="str">
        <f t="shared" ca="1" si="8"/>
        <v>Percentage of high risk adolescent girls and young women reached with HIV prevention programs- defined package of services</v>
      </c>
      <c r="H113" s="168" t="s">
        <v>1145</v>
      </c>
      <c r="I113" s="297" t="s">
        <v>1146</v>
      </c>
      <c r="J113" s="297" t="s">
        <v>1147</v>
      </c>
      <c r="K113" s="156"/>
      <c r="L113" s="156"/>
      <c r="M113" s="156"/>
      <c r="N113" s="156"/>
      <c r="O113" s="156"/>
      <c r="P113" s="156"/>
      <c r="Q113" t="str">
        <f t="shared" ca="1" si="3"/>
        <v>Madagascar</v>
      </c>
      <c r="R113" t="s">
        <v>787</v>
      </c>
      <c r="S113" t="s">
        <v>787</v>
      </c>
      <c r="T113" t="s">
        <v>787</v>
      </c>
    </row>
    <row r="114" spans="1:20" x14ac:dyDescent="0.35">
      <c r="A114" s="157" t="str">
        <f t="shared" ca="1" si="7"/>
        <v>Prevention package for men who have sex with men (MSM) and their sexual partners</v>
      </c>
      <c r="B114" s="168" t="s">
        <v>1148</v>
      </c>
      <c r="C114" s="297" t="s">
        <v>1149</v>
      </c>
      <c r="D114" s="297" t="s">
        <v>1150</v>
      </c>
      <c r="E114" s="156"/>
      <c r="F114" s="156"/>
      <c r="G114" s="157" t="str">
        <f t="shared" ca="1" si="8"/>
        <v>Percentage of men who have sex with men reached with HIV prevention programs - defined package of services</v>
      </c>
      <c r="H114" s="168" t="s">
        <v>1151</v>
      </c>
      <c r="I114" s="297" t="s">
        <v>1152</v>
      </c>
      <c r="J114" s="297" t="s">
        <v>1153</v>
      </c>
      <c r="K114" s="156"/>
      <c r="L114" s="156"/>
      <c r="M114" s="156"/>
      <c r="N114" s="156"/>
      <c r="O114" s="156"/>
      <c r="P114" s="156"/>
      <c r="Q114" t="str">
        <f t="shared" ca="1" si="3"/>
        <v>Malawi</v>
      </c>
      <c r="R114" t="s">
        <v>788</v>
      </c>
      <c r="S114" t="s">
        <v>788</v>
      </c>
      <c r="T114" t="s">
        <v>788</v>
      </c>
    </row>
    <row r="115" spans="1:20" x14ac:dyDescent="0.35">
      <c r="A115" s="157" t="str">
        <f t="shared" ca="1" si="7"/>
        <v>Prevention package for transgender people and their sexual partners</v>
      </c>
      <c r="B115" s="168" t="s">
        <v>1154</v>
      </c>
      <c r="C115" s="297" t="s">
        <v>1155</v>
      </c>
      <c r="D115" s="297" t="s">
        <v>1156</v>
      </c>
      <c r="E115" s="156"/>
      <c r="F115" s="156"/>
      <c r="G115" s="157" t="str">
        <f t="shared" ca="1" si="8"/>
        <v>Percentage of transgender people reached with HIV prevention programs - defined package of services</v>
      </c>
      <c r="H115" s="168" t="s">
        <v>1157</v>
      </c>
      <c r="I115" s="297" t="s">
        <v>1158</v>
      </c>
      <c r="J115" s="297" t="s">
        <v>1159</v>
      </c>
      <c r="K115" s="156"/>
      <c r="L115" s="156"/>
      <c r="M115" s="156"/>
      <c r="N115" s="156"/>
      <c r="O115" s="156"/>
      <c r="P115" s="156"/>
      <c r="Q115" t="str">
        <f t="shared" ca="1" si="3"/>
        <v>Malaysia</v>
      </c>
      <c r="R115" t="s">
        <v>789</v>
      </c>
      <c r="S115" t="s">
        <v>790</v>
      </c>
      <c r="T115" t="s">
        <v>791</v>
      </c>
    </row>
    <row r="116" spans="1:20" x14ac:dyDescent="0.35">
      <c r="A116" s="157" t="str">
        <f t="shared" ca="1" si="7"/>
        <v>Prevention package for sex workers, their clients and other sexual partners</v>
      </c>
      <c r="B116" s="283" t="s">
        <v>1421</v>
      </c>
      <c r="C116" s="298" t="s">
        <v>1518</v>
      </c>
      <c r="D116" s="298" t="s">
        <v>1519</v>
      </c>
      <c r="E116" s="156"/>
      <c r="F116" s="156"/>
      <c r="G116" s="157" t="str">
        <f t="shared" ca="1" si="8"/>
        <v>Percentage of sex workers reached with HIV prevention programs - defined package of services</v>
      </c>
      <c r="H116" s="168" t="s">
        <v>1160</v>
      </c>
      <c r="I116" s="297" t="s">
        <v>1161</v>
      </c>
      <c r="J116" s="297" t="s">
        <v>1162</v>
      </c>
      <c r="K116" s="156"/>
      <c r="L116" s="156"/>
      <c r="M116" s="156"/>
      <c r="N116" s="156"/>
      <c r="O116" s="156"/>
      <c r="P116" s="156"/>
      <c r="Q116" t="str">
        <f t="shared" ca="1" si="3"/>
        <v>Maldives</v>
      </c>
      <c r="R116" t="s">
        <v>792</v>
      </c>
      <c r="S116" t="s">
        <v>792</v>
      </c>
      <c r="T116" t="s">
        <v>793</v>
      </c>
    </row>
    <row r="117" spans="1:20" x14ac:dyDescent="0.35">
      <c r="A117" s="157" t="str">
        <f t="shared" ca="1" si="7"/>
        <v xml:space="preserve">Prevention package for people who use drugs (PUD) (injecting and non-injecting) and their sexual partners </v>
      </c>
      <c r="B117" s="168" t="s">
        <v>1163</v>
      </c>
      <c r="C117" s="297" t="s">
        <v>1164</v>
      </c>
      <c r="D117" s="297" t="s">
        <v>1165</v>
      </c>
      <c r="E117" s="156"/>
      <c r="F117" s="156"/>
      <c r="G117" s="157" t="str">
        <f t="shared" ca="1" si="8"/>
        <v>Percentage of people who inject drugs reached with HIV prevention programs - defined package of services</v>
      </c>
      <c r="H117" s="168" t="s">
        <v>1166</v>
      </c>
      <c r="I117" s="297" t="s">
        <v>1167</v>
      </c>
      <c r="J117" s="297" t="s">
        <v>1168</v>
      </c>
      <c r="K117" s="156"/>
      <c r="L117" s="156"/>
      <c r="M117" s="156"/>
      <c r="N117" s="156"/>
      <c r="O117" s="156"/>
      <c r="P117" s="156"/>
      <c r="Q117" t="str">
        <f t="shared" ca="1" si="3"/>
        <v>Mali</v>
      </c>
      <c r="R117" t="s">
        <v>794</v>
      </c>
      <c r="S117" t="s">
        <v>794</v>
      </c>
      <c r="T117" t="s">
        <v>795</v>
      </c>
    </row>
    <row r="118" spans="1:20" x14ac:dyDescent="0.35">
      <c r="A118" s="157" t="str">
        <f t="shared" ca="1" si="7"/>
        <v>Prevention package for other vulnerable populations</v>
      </c>
      <c r="B118" s="168" t="s">
        <v>1169</v>
      </c>
      <c r="C118" s="297" t="s">
        <v>1170</v>
      </c>
      <c r="D118" s="297" t="s">
        <v>1171</v>
      </c>
      <c r="E118" s="156"/>
      <c r="F118" s="156"/>
      <c r="G118" s="157" t="str">
        <f t="shared" ca="1" si="8"/>
        <v>Percentage of other vulnerable populations reached with HIV prevention programs - defined package of services</v>
      </c>
      <c r="H118" s="168" t="s">
        <v>1172</v>
      </c>
      <c r="I118" s="297" t="s">
        <v>1173</v>
      </c>
      <c r="J118" s="297" t="s">
        <v>1174</v>
      </c>
      <c r="K118" s="156"/>
      <c r="L118" s="156"/>
      <c r="M118" s="156"/>
      <c r="N118" s="156"/>
      <c r="O118" s="156"/>
      <c r="P118" s="156"/>
      <c r="Q118" t="str">
        <f t="shared" ca="1" si="3"/>
        <v>Malta</v>
      </c>
      <c r="R118" t="s">
        <v>796</v>
      </c>
      <c r="S118" t="s">
        <v>797</v>
      </c>
      <c r="T118" t="s">
        <v>796</v>
      </c>
    </row>
    <row r="119" spans="1:20" x14ac:dyDescent="0.35">
      <c r="A119" s="157" t="str">
        <f t="shared" ca="1" si="7"/>
        <v>Prevention package for people in prisons and other closed settings</v>
      </c>
      <c r="B119" s="168" t="s">
        <v>1175</v>
      </c>
      <c r="C119" s="297" t="s">
        <v>1176</v>
      </c>
      <c r="D119" s="297" t="s">
        <v>1177</v>
      </c>
      <c r="E119" s="156"/>
      <c r="F119" s="156"/>
      <c r="G119" s="169" t="str">
        <f t="shared" ca="1" si="8"/>
        <v>Number of people in prisons and other closed settings reached with HIV prevention programs - defined package of services</v>
      </c>
      <c r="H119" s="169" t="s">
        <v>1178</v>
      </c>
      <c r="I119" s="297" t="s">
        <v>1179</v>
      </c>
      <c r="J119" s="297" t="s">
        <v>1180</v>
      </c>
      <c r="K119" s="156"/>
      <c r="L119" s="156"/>
      <c r="M119" s="156"/>
      <c r="N119" s="156"/>
      <c r="O119" s="156"/>
      <c r="P119" s="156"/>
      <c r="Q119" t="str">
        <f t="shared" ca="1" si="3"/>
        <v>Marshall Islands</v>
      </c>
      <c r="R119" t="s">
        <v>798</v>
      </c>
      <c r="S119" t="s">
        <v>799</v>
      </c>
      <c r="T119" t="s">
        <v>800</v>
      </c>
    </row>
    <row r="120" spans="1:20" x14ac:dyDescent="0.35">
      <c r="A120" s="156"/>
      <c r="B120" s="156"/>
      <c r="C120" s="156"/>
      <c r="D120" s="156"/>
      <c r="E120" s="156"/>
      <c r="F120" s="156"/>
      <c r="G120" s="156"/>
      <c r="H120" s="156"/>
      <c r="I120" s="156"/>
      <c r="J120" s="156"/>
      <c r="K120" s="156"/>
      <c r="L120" s="156"/>
      <c r="M120" s="156"/>
      <c r="N120" s="156"/>
      <c r="O120" s="156"/>
      <c r="P120" s="156"/>
      <c r="Q120" t="str">
        <f t="shared" ca="1" si="3"/>
        <v>Mauritania</v>
      </c>
      <c r="R120" t="s">
        <v>801</v>
      </c>
      <c r="S120" t="s">
        <v>802</v>
      </c>
      <c r="T120" t="s">
        <v>801</v>
      </c>
    </row>
    <row r="121" spans="1:20" x14ac:dyDescent="0.35">
      <c r="A121" s="156"/>
      <c r="B121" s="156"/>
      <c r="C121" s="156"/>
      <c r="D121" s="156"/>
      <c r="E121" s="156"/>
      <c r="F121" s="156"/>
      <c r="G121" s="156"/>
      <c r="H121" s="156"/>
      <c r="I121" s="156"/>
      <c r="J121" s="156"/>
      <c r="K121" s="156"/>
      <c r="L121" s="156"/>
      <c r="M121" s="156"/>
      <c r="N121" s="156"/>
      <c r="O121" s="156"/>
      <c r="P121" s="156"/>
      <c r="Q121" t="str">
        <f t="shared" ca="1" si="3"/>
        <v>Mauritius</v>
      </c>
      <c r="R121" t="s">
        <v>803</v>
      </c>
      <c r="S121" t="s">
        <v>804</v>
      </c>
      <c r="T121" t="s">
        <v>805</v>
      </c>
    </row>
    <row r="122" spans="1:20" x14ac:dyDescent="0.35">
      <c r="A122" s="156"/>
      <c r="B122" s="156"/>
      <c r="C122" s="156"/>
      <c r="D122" s="156"/>
      <c r="E122" s="156"/>
      <c r="F122" s="156"/>
      <c r="G122" s="156"/>
      <c r="H122" s="156"/>
      <c r="I122" s="156"/>
      <c r="J122" s="156"/>
      <c r="K122" s="156"/>
      <c r="L122" s="156"/>
      <c r="M122" s="156"/>
      <c r="N122" s="156"/>
      <c r="O122" s="156"/>
      <c r="P122" s="156"/>
      <c r="Q122" t="str">
        <f t="shared" ca="1" si="3"/>
        <v>Mexico</v>
      </c>
      <c r="R122" t="s">
        <v>806</v>
      </c>
      <c r="S122" t="s">
        <v>807</v>
      </c>
      <c r="T122" t="s">
        <v>808</v>
      </c>
    </row>
    <row r="123" spans="1:20" x14ac:dyDescent="0.35">
      <c r="A123" s="156"/>
      <c r="B123" s="16" t="s">
        <v>1181</v>
      </c>
      <c r="C123" s="156"/>
      <c r="D123" s="156"/>
      <c r="E123" s="156"/>
      <c r="F123" s="156"/>
      <c r="G123" s="156"/>
      <c r="H123" s="156"/>
      <c r="I123" s="156"/>
      <c r="J123" s="156"/>
      <c r="K123" s="156"/>
      <c r="L123" s="156"/>
      <c r="M123" s="156"/>
      <c r="N123" s="156"/>
      <c r="O123" s="156"/>
      <c r="P123" s="156"/>
      <c r="Q123" t="str">
        <f t="shared" ca="1" si="3"/>
        <v>Micronesia (Federated States)</v>
      </c>
      <c r="R123" t="s">
        <v>809</v>
      </c>
      <c r="S123" t="s">
        <v>810</v>
      </c>
      <c r="T123" t="s">
        <v>811</v>
      </c>
    </row>
    <row r="124" spans="1:20" x14ac:dyDescent="0.35">
      <c r="A124" s="29" t="s">
        <v>12</v>
      </c>
      <c r="B124" s="29" t="s">
        <v>7</v>
      </c>
      <c r="C124" s="32" t="s">
        <v>13</v>
      </c>
      <c r="D124" s="29" t="s">
        <v>14</v>
      </c>
      <c r="E124" s="156"/>
      <c r="F124" s="156"/>
      <c r="G124" s="29" t="s">
        <v>12</v>
      </c>
      <c r="H124" s="29" t="s">
        <v>7</v>
      </c>
      <c r="I124" s="32" t="s">
        <v>13</v>
      </c>
      <c r="J124" s="29" t="s">
        <v>14</v>
      </c>
      <c r="K124" s="156"/>
      <c r="L124" s="156"/>
      <c r="M124" s="156"/>
      <c r="N124" s="156"/>
      <c r="O124" s="156"/>
      <c r="P124" s="156"/>
      <c r="Q124" t="str">
        <f t="shared" ca="1" si="3"/>
        <v>Moldova</v>
      </c>
      <c r="R124" t="s">
        <v>812</v>
      </c>
      <c r="S124" t="s">
        <v>813</v>
      </c>
      <c r="T124" t="s">
        <v>814</v>
      </c>
    </row>
    <row r="125" spans="1:20" x14ac:dyDescent="0.35">
      <c r="A125" s="157" t="str">
        <f t="shared" ref="A125:A129" ca="1" si="9">OFFSET(B125,0,LangOffset,1,1)</f>
        <v>Please select…</v>
      </c>
      <c r="B125" s="156" t="s">
        <v>2</v>
      </c>
      <c r="C125" s="156" t="s">
        <v>518</v>
      </c>
      <c r="D125" s="156" t="s">
        <v>514</v>
      </c>
      <c r="E125" s="156"/>
      <c r="F125" s="156"/>
      <c r="G125" s="157" t="str">
        <f t="shared" ref="G125:G130" ca="1" si="10">OFFSET(H125,0,LangOffset,1,1)</f>
        <v>Please select…</v>
      </c>
      <c r="H125" s="156" t="s">
        <v>2</v>
      </c>
      <c r="I125" s="156" t="s">
        <v>518</v>
      </c>
      <c r="J125" s="156" t="s">
        <v>514</v>
      </c>
      <c r="K125" s="156"/>
      <c r="L125" s="156"/>
      <c r="M125" s="156"/>
      <c r="N125" s="156"/>
      <c r="O125" s="156"/>
      <c r="P125" s="156"/>
      <c r="Q125" t="str">
        <f t="shared" ca="1" si="3"/>
        <v>Monaco</v>
      </c>
      <c r="R125" t="s">
        <v>815</v>
      </c>
      <c r="S125" t="s">
        <v>815</v>
      </c>
      <c r="T125" t="s">
        <v>816</v>
      </c>
    </row>
    <row r="126" spans="1:20" x14ac:dyDescent="0.35">
      <c r="A126" s="157" t="str">
        <f t="shared" ca="1" si="9"/>
        <v>Percentage of men who have sex with men reached with HIV prevention programs - defined package of services</v>
      </c>
      <c r="B126" s="168" t="s">
        <v>1151</v>
      </c>
      <c r="C126" s="298" t="s">
        <v>1528</v>
      </c>
      <c r="D126" s="298" t="s">
        <v>1529</v>
      </c>
      <c r="E126" s="156"/>
      <c r="F126" s="156"/>
      <c r="G126" s="157" t="str">
        <f t="shared" ca="1" si="10"/>
        <v>Number of condoms (male and female) distributed by the program for men who have sex with men</v>
      </c>
      <c r="H126" s="159" t="s">
        <v>1182</v>
      </c>
      <c r="I126" s="297" t="s">
        <v>1183</v>
      </c>
      <c r="J126" s="297" t="s">
        <v>1184</v>
      </c>
      <c r="K126" s="156"/>
      <c r="L126" s="156"/>
      <c r="M126" s="156"/>
      <c r="N126" s="156"/>
      <c r="O126" s="156"/>
      <c r="P126" s="156"/>
      <c r="Q126" t="str">
        <f t="shared" ca="1" si="3"/>
        <v>Mongolia</v>
      </c>
      <c r="R126" t="s">
        <v>817</v>
      </c>
      <c r="S126" t="s">
        <v>818</v>
      </c>
      <c r="T126" t="s">
        <v>817</v>
      </c>
    </row>
    <row r="127" spans="1:20" x14ac:dyDescent="0.35">
      <c r="A127" s="157" t="str">
        <f t="shared" ca="1" si="9"/>
        <v>Percentage of transgender people reached with HIV prevention programs - defined package of services</v>
      </c>
      <c r="B127" s="168" t="s">
        <v>1157</v>
      </c>
      <c r="C127" s="298" t="s">
        <v>1530</v>
      </c>
      <c r="D127" s="298" t="s">
        <v>1531</v>
      </c>
      <c r="E127" s="156"/>
      <c r="F127" s="156"/>
      <c r="G127" s="157" t="str">
        <f t="shared" ca="1" si="10"/>
        <v>Number of condoms (male and female) distributed by the program for sex workers</v>
      </c>
      <c r="H127" s="284" t="s">
        <v>1424</v>
      </c>
      <c r="I127" s="299" t="s">
        <v>1426</v>
      </c>
      <c r="J127" s="299" t="s">
        <v>1428</v>
      </c>
      <c r="K127" s="156"/>
      <c r="L127" s="156"/>
      <c r="M127" s="156"/>
      <c r="N127" s="156"/>
      <c r="O127" s="156"/>
      <c r="P127" s="156"/>
      <c r="Q127" t="str">
        <f t="shared" ca="1" si="3"/>
        <v>Montenegro</v>
      </c>
      <c r="R127" t="s">
        <v>819</v>
      </c>
      <c r="S127" t="s">
        <v>820</v>
      </c>
      <c r="T127" t="s">
        <v>819</v>
      </c>
    </row>
    <row r="128" spans="1:20" x14ac:dyDescent="0.35">
      <c r="A128" s="157" t="str">
        <f t="shared" ca="1" si="9"/>
        <v>Percentage of sex workers reached with HIV prevention programs - defined package of services</v>
      </c>
      <c r="B128" s="168" t="s">
        <v>1160</v>
      </c>
      <c r="C128" s="298" t="s">
        <v>1532</v>
      </c>
      <c r="D128" s="298" t="s">
        <v>1533</v>
      </c>
      <c r="E128" s="156"/>
      <c r="F128" s="156"/>
      <c r="G128" s="157" t="str">
        <f t="shared" ca="1" si="10"/>
        <v>Number of condoms (male and female) distributed by the program for transgender people</v>
      </c>
      <c r="H128" s="159" t="s">
        <v>1185</v>
      </c>
      <c r="I128" s="297" t="s">
        <v>1186</v>
      </c>
      <c r="J128" s="297" t="s">
        <v>1187</v>
      </c>
      <c r="K128" s="156"/>
      <c r="L128" s="156"/>
      <c r="M128" s="156"/>
      <c r="N128" s="156"/>
      <c r="O128" s="156"/>
      <c r="P128" s="156"/>
      <c r="Q128" t="str">
        <f t="shared" ca="1" si="3"/>
        <v>Morocco</v>
      </c>
      <c r="R128" t="s">
        <v>821</v>
      </c>
      <c r="S128" t="s">
        <v>822</v>
      </c>
      <c r="T128" t="s">
        <v>823</v>
      </c>
    </row>
    <row r="129" spans="1:20" x14ac:dyDescent="0.35">
      <c r="A129" s="157" t="str">
        <f t="shared" ca="1" si="9"/>
        <v>Percentage of people who inject drugs reached with HIV prevention programs - defined package of services</v>
      </c>
      <c r="B129" s="168" t="s">
        <v>1166</v>
      </c>
      <c r="C129" s="298" t="s">
        <v>1534</v>
      </c>
      <c r="D129" s="298" t="s">
        <v>1535</v>
      </c>
      <c r="E129" s="156"/>
      <c r="F129" s="156"/>
      <c r="G129" s="157" t="str">
        <f t="shared" ca="1" si="10"/>
        <v>Number of condoms (male and female) distributed by the program for people who inject drugs</v>
      </c>
      <c r="H129" s="284" t="s">
        <v>1425</v>
      </c>
      <c r="I129" s="298" t="s">
        <v>1520</v>
      </c>
      <c r="J129" s="299" t="s">
        <v>1427</v>
      </c>
      <c r="K129" s="156"/>
      <c r="L129" s="156"/>
      <c r="M129" s="156"/>
      <c r="N129" s="156"/>
      <c r="O129" s="156"/>
      <c r="P129" s="156"/>
      <c r="Q129" t="str">
        <f t="shared" ca="1" si="3"/>
        <v>Mozambique</v>
      </c>
      <c r="R129" t="s">
        <v>824</v>
      </c>
      <c r="S129" t="s">
        <v>824</v>
      </c>
      <c r="T129" t="s">
        <v>824</v>
      </c>
    </row>
    <row r="130" spans="1:20" x14ac:dyDescent="0.35">
      <c r="A130" s="157" t="str">
        <f ca="1">OFFSET(B129,0,LangOffset,1,1)</f>
        <v>Percentage of people who inject drugs reached with HIV prevention programs - defined package of services</v>
      </c>
      <c r="B130" s="168" t="s">
        <v>1145</v>
      </c>
      <c r="C130" s="298" t="s">
        <v>1536</v>
      </c>
      <c r="D130" s="298" t="s">
        <v>1537</v>
      </c>
      <c r="E130" s="156"/>
      <c r="F130" s="156"/>
      <c r="G130" s="157" t="str">
        <f t="shared" ca="1" si="10"/>
        <v>Number of condoms (male and female) distributed by the program for adolescent girls and young women in high incidence settings</v>
      </c>
      <c r="H130" s="284" t="s">
        <v>1422</v>
      </c>
      <c r="I130" s="298" t="s">
        <v>1521</v>
      </c>
      <c r="J130" s="299" t="s">
        <v>1423</v>
      </c>
      <c r="K130" s="156"/>
      <c r="L130" s="156"/>
      <c r="M130" s="156"/>
      <c r="N130" s="156"/>
      <c r="O130" s="156"/>
      <c r="P130" s="156"/>
      <c r="Q130" t="str">
        <f t="shared" ca="1" si="3"/>
        <v>Myanmar</v>
      </c>
      <c r="R130" t="s">
        <v>825</v>
      </c>
      <c r="S130" t="s">
        <v>826</v>
      </c>
      <c r="T130" t="s">
        <v>825</v>
      </c>
    </row>
    <row r="131" spans="1:20" x14ac:dyDescent="0.35">
      <c r="A131" s="157"/>
      <c r="C131" s="156"/>
      <c r="D131" s="156"/>
      <c r="E131" s="156"/>
      <c r="F131" s="156"/>
      <c r="G131" s="156"/>
      <c r="H131" s="156"/>
      <c r="I131" s="156"/>
      <c r="J131" s="156"/>
      <c r="K131" s="156"/>
      <c r="L131" s="156"/>
      <c r="M131" s="156"/>
      <c r="N131" s="156"/>
      <c r="O131" s="156"/>
      <c r="P131" s="156"/>
      <c r="Q131" t="str">
        <f t="shared" ca="1" si="3"/>
        <v>Namibia</v>
      </c>
      <c r="R131" t="s">
        <v>827</v>
      </c>
      <c r="S131" t="s">
        <v>828</v>
      </c>
      <c r="T131" t="s">
        <v>827</v>
      </c>
    </row>
    <row r="132" spans="1:20" x14ac:dyDescent="0.35">
      <c r="A132" s="156"/>
      <c r="B132" s="156"/>
      <c r="C132" s="156"/>
      <c r="D132" s="156"/>
      <c r="E132" s="156"/>
      <c r="F132" s="156"/>
      <c r="G132" s="156"/>
      <c r="H132" s="156"/>
      <c r="I132" s="156"/>
      <c r="J132" s="156"/>
      <c r="K132" s="156"/>
      <c r="L132" s="156"/>
      <c r="M132" s="156"/>
      <c r="N132" s="156"/>
      <c r="O132" s="156"/>
      <c r="P132" s="156"/>
      <c r="Q132" t="str">
        <f t="shared" ref="Q132:Q195" ca="1" si="11">OFFSET($R132,0,LangOffset,1,1)</f>
        <v>Nauru</v>
      </c>
      <c r="R132" t="s">
        <v>829</v>
      </c>
      <c r="S132" t="s">
        <v>829</v>
      </c>
      <c r="T132" t="s">
        <v>829</v>
      </c>
    </row>
    <row r="133" spans="1:20" x14ac:dyDescent="0.35">
      <c r="A133" s="156"/>
      <c r="B133" s="156"/>
      <c r="C133" s="156"/>
      <c r="D133" s="156"/>
      <c r="E133" s="156"/>
      <c r="F133" s="156"/>
      <c r="G133" s="156"/>
      <c r="H133" s="156"/>
      <c r="I133" s="156"/>
      <c r="J133" s="156"/>
      <c r="K133" s="156"/>
      <c r="L133" s="156"/>
      <c r="M133" s="156"/>
      <c r="N133" s="156"/>
      <c r="O133" s="156"/>
      <c r="P133" s="156"/>
      <c r="Q133" t="str">
        <f t="shared" ca="1" si="11"/>
        <v>Nepal</v>
      </c>
      <c r="R133" t="s">
        <v>830</v>
      </c>
      <c r="S133" t="s">
        <v>831</v>
      </c>
      <c r="T133" t="s">
        <v>830</v>
      </c>
    </row>
    <row r="134" spans="1:20" x14ac:dyDescent="0.35">
      <c r="A134" s="156"/>
      <c r="B134" s="16" t="s">
        <v>1188</v>
      </c>
      <c r="C134" s="156"/>
      <c r="D134" s="156"/>
      <c r="E134" s="156"/>
      <c r="F134" s="156"/>
      <c r="G134" s="156"/>
      <c r="H134" s="16" t="s">
        <v>1189</v>
      </c>
      <c r="I134" s="156"/>
      <c r="J134" s="156"/>
      <c r="K134" s="156"/>
      <c r="L134" s="156"/>
      <c r="M134" s="156"/>
      <c r="N134" s="156"/>
      <c r="O134" s="156"/>
      <c r="P134" s="156"/>
      <c r="Q134" t="str">
        <f t="shared" ca="1" si="11"/>
        <v>Netherlands</v>
      </c>
      <c r="R134" t="s">
        <v>832</v>
      </c>
      <c r="S134" t="s">
        <v>833</v>
      </c>
      <c r="T134" t="s">
        <v>834</v>
      </c>
    </row>
    <row r="135" spans="1:20" x14ac:dyDescent="0.35">
      <c r="A135" s="29" t="s">
        <v>12</v>
      </c>
      <c r="B135" s="29" t="s">
        <v>7</v>
      </c>
      <c r="C135" s="32" t="s">
        <v>13</v>
      </c>
      <c r="D135" s="29" t="s">
        <v>14</v>
      </c>
      <c r="E135" s="156"/>
      <c r="F135" s="156"/>
      <c r="G135" s="29" t="s">
        <v>12</v>
      </c>
      <c r="H135" s="29" t="s">
        <v>7</v>
      </c>
      <c r="I135" s="32" t="s">
        <v>13</v>
      </c>
      <c r="J135" s="29" t="s">
        <v>14</v>
      </c>
      <c r="K135" s="156"/>
      <c r="L135" s="156"/>
      <c r="M135" s="156"/>
      <c r="N135" s="156"/>
      <c r="O135" s="156"/>
      <c r="P135" s="156"/>
      <c r="Q135" t="str">
        <f t="shared" ca="1" si="11"/>
        <v>New Zealand</v>
      </c>
      <c r="R135" t="s">
        <v>835</v>
      </c>
      <c r="S135" t="s">
        <v>836</v>
      </c>
      <c r="T135" t="s">
        <v>837</v>
      </c>
    </row>
    <row r="136" spans="1:20" x14ac:dyDescent="0.35">
      <c r="A136" s="157" t="str">
        <f t="shared" ref="A136" ca="1" si="12">OFFSET(B136,0,LangOffset,1,1)</f>
        <v>Treatment, care and support</v>
      </c>
      <c r="B136" s="162" t="s">
        <v>1190</v>
      </c>
      <c r="C136" s="285" t="s">
        <v>1191</v>
      </c>
      <c r="D136" s="285" t="s">
        <v>1192</v>
      </c>
      <c r="E136" s="156"/>
      <c r="F136" s="156"/>
      <c r="G136" s="157" t="str">
        <f t="shared" ref="G136:G139" ca="1" si="13">OFFSET(H136,0,LangOffset,1,1)</f>
        <v>Please select…</v>
      </c>
      <c r="H136" s="156" t="s">
        <v>2</v>
      </c>
      <c r="I136" s="156" t="s">
        <v>518</v>
      </c>
      <c r="J136" s="156" t="s">
        <v>514</v>
      </c>
      <c r="K136" s="156"/>
      <c r="L136" s="156"/>
      <c r="M136" s="156"/>
      <c r="N136" s="156"/>
      <c r="O136" s="156"/>
      <c r="P136" s="156"/>
      <c r="Q136" t="str">
        <f t="shared" ca="1" si="11"/>
        <v>Nicaragua</v>
      </c>
      <c r="R136" t="s">
        <v>838</v>
      </c>
      <c r="S136" t="s">
        <v>838</v>
      </c>
      <c r="T136" t="s">
        <v>838</v>
      </c>
    </row>
    <row r="137" spans="1:20" x14ac:dyDescent="0.35">
      <c r="A137" s="156"/>
      <c r="B137" s="156"/>
      <c r="C137" s="156"/>
      <c r="D137" s="156"/>
      <c r="E137" s="156"/>
      <c r="F137" s="156"/>
      <c r="G137" s="157" t="str">
        <f t="shared" ca="1" si="13"/>
        <v>Percentage of people on ART among all people living with HIV at the end of the reporting period</v>
      </c>
      <c r="H137" s="162" t="s">
        <v>1193</v>
      </c>
      <c r="I137" s="289" t="s">
        <v>1194</v>
      </c>
      <c r="J137" s="286" t="s">
        <v>1195</v>
      </c>
      <c r="K137" s="156"/>
      <c r="L137" s="156"/>
      <c r="M137" s="156"/>
      <c r="N137" s="156"/>
      <c r="O137" s="156"/>
      <c r="P137" s="156"/>
      <c r="Q137" t="str">
        <f t="shared" ca="1" si="11"/>
        <v>Niger</v>
      </c>
      <c r="R137" t="s">
        <v>839</v>
      </c>
      <c r="S137" t="s">
        <v>839</v>
      </c>
      <c r="T137" t="s">
        <v>840</v>
      </c>
    </row>
    <row r="138" spans="1:20" x14ac:dyDescent="0.35">
      <c r="A138" s="156"/>
      <c r="B138" s="156"/>
      <c r="C138" s="156"/>
      <c r="D138" s="156"/>
      <c r="E138" s="156"/>
      <c r="F138" s="156"/>
      <c r="G138" s="157" t="str">
        <f t="shared" ca="1" si="13"/>
        <v>Percentage of adults (15 and above) on ART among all adults living with HIV at the end of the reporting period</v>
      </c>
      <c r="H138" s="162" t="s">
        <v>1196</v>
      </c>
      <c r="I138" s="161" t="s">
        <v>1197</v>
      </c>
      <c r="J138" s="161" t="s">
        <v>1198</v>
      </c>
      <c r="K138" s="156"/>
      <c r="L138" s="156"/>
      <c r="M138" s="156"/>
      <c r="N138" s="156"/>
      <c r="O138" s="156"/>
      <c r="P138" s="156"/>
      <c r="Q138" t="str">
        <f t="shared" ca="1" si="11"/>
        <v>Nigeria</v>
      </c>
      <c r="R138" t="s">
        <v>841</v>
      </c>
      <c r="S138" t="s">
        <v>841</v>
      </c>
      <c r="T138" t="s">
        <v>841</v>
      </c>
    </row>
    <row r="139" spans="1:20" x14ac:dyDescent="0.35">
      <c r="A139" s="156"/>
      <c r="B139" s="156"/>
      <c r="C139" s="156"/>
      <c r="D139" s="156"/>
      <c r="E139" s="156"/>
      <c r="F139" s="156"/>
      <c r="G139" s="157" t="str">
        <f t="shared" ca="1" si="13"/>
        <v>Percentage of children (under 15) on ART among all children living with HIV at the end of the reporting period</v>
      </c>
      <c r="H139" s="162" t="s">
        <v>1199</v>
      </c>
      <c r="I139" s="161" t="s">
        <v>1200</v>
      </c>
      <c r="J139" s="161" t="s">
        <v>1201</v>
      </c>
      <c r="K139" s="156"/>
      <c r="L139" s="156"/>
      <c r="M139" s="156"/>
      <c r="N139" s="156"/>
      <c r="O139" s="156"/>
      <c r="P139" s="156"/>
      <c r="Q139" t="str">
        <f t="shared" ca="1" si="11"/>
        <v>Niue</v>
      </c>
      <c r="R139" t="s">
        <v>842</v>
      </c>
      <c r="S139" t="s">
        <v>842</v>
      </c>
      <c r="T139" t="s">
        <v>842</v>
      </c>
    </row>
    <row r="140" spans="1:20" x14ac:dyDescent="0.35">
      <c r="A140" s="156"/>
      <c r="B140" s="156"/>
      <c r="C140" s="156"/>
      <c r="D140" s="156"/>
      <c r="E140" s="156"/>
      <c r="F140" s="156"/>
      <c r="G140" s="156"/>
      <c r="H140" s="156"/>
      <c r="I140" s="156"/>
      <c r="J140" s="156"/>
      <c r="K140" s="156"/>
      <c r="L140" s="156"/>
      <c r="M140" s="156"/>
      <c r="N140" s="156"/>
      <c r="O140" s="156"/>
      <c r="P140" s="156"/>
      <c r="Q140" t="str">
        <f t="shared" ca="1" si="11"/>
        <v>North Macedonia</v>
      </c>
      <c r="R140" t="s">
        <v>843</v>
      </c>
      <c r="S140" t="s">
        <v>844</v>
      </c>
      <c r="T140" t="s">
        <v>845</v>
      </c>
    </row>
    <row r="141" spans="1:20" x14ac:dyDescent="0.35">
      <c r="A141" s="156"/>
      <c r="B141" s="156"/>
      <c r="C141" s="156"/>
      <c r="D141" s="156"/>
      <c r="E141" s="156"/>
      <c r="F141" s="156"/>
      <c r="G141" s="156"/>
      <c r="H141" s="156"/>
      <c r="I141" s="156"/>
      <c r="J141" s="156"/>
      <c r="K141" s="156"/>
      <c r="L141" s="156"/>
      <c r="M141" s="156"/>
      <c r="N141" s="156"/>
      <c r="O141" s="156"/>
      <c r="P141" s="156"/>
      <c r="Q141" t="str">
        <f t="shared" ca="1" si="11"/>
        <v>Norway</v>
      </c>
      <c r="R141" t="s">
        <v>846</v>
      </c>
      <c r="S141" t="s">
        <v>847</v>
      </c>
      <c r="T141" t="s">
        <v>848</v>
      </c>
    </row>
    <row r="142" spans="1:20" x14ac:dyDescent="0.35">
      <c r="A142" s="156"/>
      <c r="B142" s="156"/>
      <c r="C142" s="156"/>
      <c r="D142" s="156"/>
      <c r="E142" s="156"/>
      <c r="F142" s="156"/>
      <c r="G142" s="156"/>
      <c r="H142" s="156"/>
      <c r="I142" s="156"/>
      <c r="J142" s="156"/>
      <c r="K142" s="156"/>
      <c r="L142" s="156"/>
      <c r="M142" s="156"/>
      <c r="N142" s="156"/>
      <c r="O142" s="156"/>
      <c r="P142" s="156"/>
      <c r="Q142" t="str">
        <f t="shared" ca="1" si="11"/>
        <v>Oman</v>
      </c>
      <c r="R142" t="s">
        <v>849</v>
      </c>
      <c r="S142" t="s">
        <v>849</v>
      </c>
      <c r="T142" t="s">
        <v>850</v>
      </c>
    </row>
    <row r="143" spans="1:20" x14ac:dyDescent="0.35">
      <c r="A143" s="29" t="s">
        <v>12</v>
      </c>
      <c r="B143" s="29" t="s">
        <v>7</v>
      </c>
      <c r="C143" s="32" t="s">
        <v>13</v>
      </c>
      <c r="D143" s="29" t="s">
        <v>14</v>
      </c>
      <c r="E143" s="156"/>
      <c r="F143" s="156"/>
      <c r="G143" s="29" t="s">
        <v>12</v>
      </c>
      <c r="H143" s="29" t="s">
        <v>7</v>
      </c>
      <c r="I143" s="32" t="s">
        <v>13</v>
      </c>
      <c r="J143" s="29" t="s">
        <v>14</v>
      </c>
      <c r="K143" s="156"/>
      <c r="L143" s="156"/>
      <c r="M143" s="156"/>
      <c r="N143" s="156"/>
      <c r="O143" s="156"/>
      <c r="P143" s="156"/>
      <c r="Q143" t="str">
        <f t="shared" ca="1" si="11"/>
        <v>Pakistan</v>
      </c>
      <c r="R143" t="s">
        <v>851</v>
      </c>
      <c r="S143" t="s">
        <v>851</v>
      </c>
      <c r="T143" t="s">
        <v>852</v>
      </c>
    </row>
    <row r="144" spans="1:20" x14ac:dyDescent="0.35">
      <c r="A144" s="157" t="str">
        <f t="shared" ref="A144" ca="1" si="14">OFFSET(B144,0,LangOffset,1,1)</f>
        <v>Elimination of vertical transmission of HIV, syphilis and hepatitis B</v>
      </c>
      <c r="B144" s="162" t="s">
        <v>1043</v>
      </c>
      <c r="C144" s="296" t="s">
        <v>1460</v>
      </c>
      <c r="D144" s="296" t="s">
        <v>1461</v>
      </c>
      <c r="E144" s="156"/>
      <c r="F144" s="156"/>
      <c r="G144" s="157" t="str">
        <f t="shared" ref="G144" ca="1" si="15">OFFSET(H144,0,LangOffset,1,1)</f>
        <v>Percentage of pregnant women living with HIV who received antiretroviral medicine to reduce the risk of vertical transmission of HIV</v>
      </c>
      <c r="H144" s="162" t="s">
        <v>1202</v>
      </c>
      <c r="I144" s="156" t="s">
        <v>1203</v>
      </c>
      <c r="J144" s="156" t="s">
        <v>1204</v>
      </c>
      <c r="K144" s="156"/>
      <c r="L144" s="156"/>
      <c r="M144" s="156"/>
      <c r="N144" s="156"/>
      <c r="O144" s="156"/>
      <c r="P144" s="156"/>
      <c r="Q144" t="str">
        <f t="shared" ca="1" si="11"/>
        <v>Palau</v>
      </c>
      <c r="R144" t="s">
        <v>853</v>
      </c>
      <c r="S144" t="s">
        <v>854</v>
      </c>
      <c r="T144" t="s">
        <v>853</v>
      </c>
    </row>
    <row r="145" spans="1:20" x14ac:dyDescent="0.35">
      <c r="A145" s="156"/>
      <c r="B145" s="156"/>
      <c r="C145" s="156"/>
      <c r="D145" s="156"/>
      <c r="E145" s="156"/>
      <c r="F145" s="156"/>
      <c r="G145" s="156"/>
      <c r="H145" s="156"/>
      <c r="I145" s="156"/>
      <c r="J145" s="156"/>
      <c r="K145" s="156"/>
      <c r="L145" s="156"/>
      <c r="M145" s="156"/>
      <c r="N145" s="156"/>
      <c r="O145" s="156"/>
      <c r="P145" s="156"/>
      <c r="Q145" t="str">
        <f t="shared" ca="1" si="11"/>
        <v>Palestine</v>
      </c>
      <c r="R145" t="s">
        <v>855</v>
      </c>
      <c r="S145" t="s">
        <v>855</v>
      </c>
      <c r="T145" t="s">
        <v>856</v>
      </c>
    </row>
    <row r="146" spans="1:20" x14ac:dyDescent="0.35">
      <c r="A146" s="156"/>
      <c r="B146" s="156"/>
      <c r="C146" s="156"/>
      <c r="D146" s="156"/>
      <c r="E146" s="156"/>
      <c r="F146" s="156"/>
      <c r="G146" s="156"/>
      <c r="H146" s="156"/>
      <c r="I146" s="156"/>
      <c r="J146" s="156"/>
      <c r="K146" s="156"/>
      <c r="L146" s="156"/>
      <c r="M146" s="156"/>
      <c r="N146" s="156"/>
      <c r="O146" s="156"/>
      <c r="P146" s="156"/>
      <c r="Q146" t="str">
        <f t="shared" ca="1" si="11"/>
        <v>Panama</v>
      </c>
      <c r="R146" t="s">
        <v>857</v>
      </c>
      <c r="S146" t="s">
        <v>857</v>
      </c>
      <c r="T146" t="s">
        <v>858</v>
      </c>
    </row>
    <row r="147" spans="1:20" x14ac:dyDescent="0.35">
      <c r="A147" s="156"/>
      <c r="B147" s="156"/>
      <c r="C147" s="156"/>
      <c r="D147" s="156"/>
      <c r="E147" s="156"/>
      <c r="F147" s="156"/>
      <c r="G147" s="156"/>
      <c r="H147" s="156"/>
      <c r="I147" s="156"/>
      <c r="J147" s="156"/>
      <c r="K147" s="156"/>
      <c r="L147" s="156"/>
      <c r="M147" s="156"/>
      <c r="N147" s="156"/>
      <c r="O147" s="156"/>
      <c r="P147" s="156"/>
      <c r="Q147" t="str">
        <f t="shared" ca="1" si="11"/>
        <v>Papua New Guinea</v>
      </c>
      <c r="R147" t="s">
        <v>859</v>
      </c>
      <c r="S147" t="s">
        <v>860</v>
      </c>
      <c r="T147" t="s">
        <v>861</v>
      </c>
    </row>
    <row r="148" spans="1:20" x14ac:dyDescent="0.35">
      <c r="A148" s="156"/>
      <c r="B148" s="156"/>
      <c r="C148" s="156"/>
      <c r="D148" s="156"/>
      <c r="E148" s="156"/>
      <c r="F148" s="156"/>
      <c r="G148" s="156"/>
      <c r="H148" s="156"/>
      <c r="I148" s="156"/>
      <c r="J148" s="156"/>
      <c r="K148" s="156"/>
      <c r="L148" s="156"/>
      <c r="M148" s="156"/>
      <c r="N148" s="156"/>
      <c r="O148" s="156"/>
      <c r="P148" s="156"/>
      <c r="Q148" t="str">
        <f t="shared" ca="1" si="11"/>
        <v>Paraguay</v>
      </c>
      <c r="R148" t="s">
        <v>862</v>
      </c>
      <c r="S148" t="s">
        <v>862</v>
      </c>
      <c r="T148" t="s">
        <v>862</v>
      </c>
    </row>
    <row r="149" spans="1:20" x14ac:dyDescent="0.35">
      <c r="A149" s="156"/>
      <c r="B149" s="156"/>
      <c r="C149" s="156"/>
      <c r="D149" s="156"/>
      <c r="E149" s="156"/>
      <c r="F149" s="156"/>
      <c r="G149" s="156"/>
      <c r="H149" s="156"/>
      <c r="I149" s="156"/>
      <c r="J149" s="156"/>
      <c r="K149" s="156"/>
      <c r="L149" s="156"/>
      <c r="M149" s="156"/>
      <c r="N149" s="156"/>
      <c r="O149" s="156"/>
      <c r="P149" s="156"/>
      <c r="Q149" t="str">
        <f t="shared" ca="1" si="11"/>
        <v>Peru</v>
      </c>
      <c r="R149" t="s">
        <v>863</v>
      </c>
      <c r="S149" t="s">
        <v>864</v>
      </c>
      <c r="T149" t="s">
        <v>865</v>
      </c>
    </row>
    <row r="150" spans="1:20" x14ac:dyDescent="0.35">
      <c r="A150" s="156"/>
      <c r="B150" s="156"/>
      <c r="C150" s="156"/>
      <c r="D150" s="156"/>
      <c r="E150" s="156"/>
      <c r="F150" s="156"/>
      <c r="G150" s="156"/>
      <c r="H150" s="156"/>
      <c r="I150" s="156"/>
      <c r="J150" s="156"/>
      <c r="K150" s="156"/>
      <c r="L150" s="156"/>
      <c r="M150" s="156"/>
      <c r="N150" s="156"/>
      <c r="O150" s="156"/>
      <c r="P150" s="156"/>
      <c r="Q150" t="str">
        <f t="shared" ca="1" si="11"/>
        <v>Philippines</v>
      </c>
      <c r="R150" t="s">
        <v>866</v>
      </c>
      <c r="S150" t="s">
        <v>866</v>
      </c>
      <c r="T150" t="s">
        <v>867</v>
      </c>
    </row>
    <row r="151" spans="1:20" x14ac:dyDescent="0.35">
      <c r="A151" s="156"/>
      <c r="B151" s="156"/>
      <c r="C151" s="156"/>
      <c r="D151" s="156"/>
      <c r="E151" s="156"/>
      <c r="F151" s="156"/>
      <c r="G151" s="156"/>
      <c r="H151" s="156"/>
      <c r="I151" s="156"/>
      <c r="J151" s="156"/>
      <c r="K151" s="156"/>
      <c r="L151" s="156"/>
      <c r="M151" s="156"/>
      <c r="N151" s="156"/>
      <c r="O151" s="156"/>
      <c r="P151" s="156"/>
      <c r="Q151" t="str">
        <f t="shared" ca="1" si="11"/>
        <v>Poland</v>
      </c>
      <c r="R151" t="s">
        <v>868</v>
      </c>
      <c r="S151" t="s">
        <v>869</v>
      </c>
      <c r="T151" t="s">
        <v>870</v>
      </c>
    </row>
    <row r="152" spans="1:20" x14ac:dyDescent="0.35">
      <c r="A152" s="156"/>
      <c r="B152" s="156"/>
      <c r="C152" s="156"/>
      <c r="D152" s="156"/>
      <c r="E152" s="156"/>
      <c r="F152" s="156"/>
      <c r="G152" s="156"/>
      <c r="H152" s="156"/>
      <c r="I152" s="156"/>
      <c r="J152" s="156"/>
      <c r="K152" s="156"/>
      <c r="L152" s="156"/>
      <c r="M152" s="156"/>
      <c r="N152" s="156"/>
      <c r="O152" s="156"/>
      <c r="P152" s="156"/>
      <c r="Q152" t="str">
        <f t="shared" ca="1" si="11"/>
        <v>Portugal</v>
      </c>
      <c r="R152" t="s">
        <v>871</v>
      </c>
      <c r="S152" t="s">
        <v>871</v>
      </c>
      <c r="T152" t="s">
        <v>871</v>
      </c>
    </row>
    <row r="153" spans="1:20" x14ac:dyDescent="0.35">
      <c r="A153" s="156"/>
      <c r="B153" s="156"/>
      <c r="C153" s="156"/>
      <c r="D153" s="156"/>
      <c r="E153" s="156"/>
      <c r="F153" s="156"/>
      <c r="G153" s="156"/>
      <c r="H153" s="156"/>
      <c r="I153" s="156"/>
      <c r="J153" s="156"/>
      <c r="K153" s="156"/>
      <c r="L153" s="156"/>
      <c r="M153" s="156"/>
      <c r="N153" s="156"/>
      <c r="O153" s="156"/>
      <c r="P153" s="156"/>
      <c r="Q153" t="str">
        <f t="shared" ca="1" si="11"/>
        <v>Qatar</v>
      </c>
      <c r="R153" t="s">
        <v>872</v>
      </c>
      <c r="S153" t="s">
        <v>872</v>
      </c>
      <c r="T153" t="s">
        <v>872</v>
      </c>
    </row>
    <row r="154" spans="1:20" x14ac:dyDescent="0.35">
      <c r="A154" s="156"/>
      <c r="B154" s="156"/>
      <c r="C154" s="156"/>
      <c r="D154" s="156"/>
      <c r="E154" s="156"/>
      <c r="F154" s="156"/>
      <c r="G154" s="156"/>
      <c r="H154" s="156"/>
      <c r="I154" s="156"/>
      <c r="J154" s="156"/>
      <c r="K154" s="156"/>
      <c r="L154" s="156"/>
      <c r="M154" s="156"/>
      <c r="N154" s="156"/>
      <c r="O154" s="156"/>
      <c r="P154" s="156"/>
      <c r="Q154" t="str">
        <f t="shared" ca="1" si="11"/>
        <v>Romania</v>
      </c>
      <c r="R154" t="s">
        <v>873</v>
      </c>
      <c r="S154" t="s">
        <v>874</v>
      </c>
      <c r="T154" t="s">
        <v>875</v>
      </c>
    </row>
    <row r="155" spans="1:20" x14ac:dyDescent="0.35">
      <c r="A155" s="156"/>
      <c r="B155" s="156"/>
      <c r="C155" s="156"/>
      <c r="D155" s="156"/>
      <c r="E155" s="156"/>
      <c r="F155" s="156"/>
      <c r="G155" s="156"/>
      <c r="H155" s="156"/>
      <c r="I155" s="156"/>
      <c r="J155" s="156"/>
      <c r="K155" s="156"/>
      <c r="L155" s="156"/>
      <c r="M155" s="156"/>
      <c r="N155" s="156"/>
      <c r="O155" s="156"/>
      <c r="P155" s="156"/>
      <c r="Q155" t="str">
        <f t="shared" ca="1" si="11"/>
        <v>Russian Federation</v>
      </c>
      <c r="R155" t="s">
        <v>876</v>
      </c>
      <c r="S155" t="s">
        <v>877</v>
      </c>
      <c r="T155" t="s">
        <v>878</v>
      </c>
    </row>
    <row r="156" spans="1:20" x14ac:dyDescent="0.35">
      <c r="A156" s="156"/>
      <c r="B156" s="156"/>
      <c r="C156" s="156"/>
      <c r="D156" s="156"/>
      <c r="E156" s="156"/>
      <c r="F156" s="156"/>
      <c r="G156" s="156"/>
      <c r="H156" s="156"/>
      <c r="I156" s="156"/>
      <c r="J156" s="156"/>
      <c r="K156" s="156"/>
      <c r="L156" s="156"/>
      <c r="M156" s="156"/>
      <c r="N156" s="156"/>
      <c r="O156" s="156"/>
      <c r="P156" s="156"/>
      <c r="Q156" t="str">
        <f t="shared" ca="1" si="11"/>
        <v>Rwanda</v>
      </c>
      <c r="R156" t="s">
        <v>879</v>
      </c>
      <c r="S156" t="s">
        <v>879</v>
      </c>
      <c r="T156" t="s">
        <v>879</v>
      </c>
    </row>
    <row r="157" spans="1:20" x14ac:dyDescent="0.35">
      <c r="A157" s="156"/>
      <c r="B157" s="156"/>
      <c r="C157" s="156"/>
      <c r="D157" s="156"/>
      <c r="E157" s="156"/>
      <c r="F157" s="156"/>
      <c r="G157" s="156"/>
      <c r="H157" s="156"/>
      <c r="I157" s="156"/>
      <c r="J157" s="156"/>
      <c r="K157" s="156"/>
      <c r="L157" s="156"/>
      <c r="M157" s="156"/>
      <c r="N157" s="156"/>
      <c r="O157" s="156"/>
      <c r="P157" s="156"/>
      <c r="Q157" t="str">
        <f t="shared" ca="1" si="11"/>
        <v>Saint Kitts and Nevis</v>
      </c>
      <c r="R157" t="s">
        <v>880</v>
      </c>
      <c r="S157" t="s">
        <v>881</v>
      </c>
      <c r="T157" t="s">
        <v>882</v>
      </c>
    </row>
    <row r="158" spans="1:20" x14ac:dyDescent="0.35">
      <c r="A158" s="156"/>
      <c r="B158" s="156"/>
      <c r="C158" s="156"/>
      <c r="D158" s="156"/>
      <c r="E158" s="156"/>
      <c r="F158" s="156"/>
      <c r="G158" s="156"/>
      <c r="H158" s="156"/>
      <c r="I158" s="156"/>
      <c r="J158" s="156"/>
      <c r="K158" s="156"/>
      <c r="L158" s="156"/>
      <c r="M158" s="156"/>
      <c r="N158" s="156"/>
      <c r="O158" s="156"/>
      <c r="P158" s="156"/>
      <c r="Q158" t="str">
        <f t="shared" ca="1" si="11"/>
        <v>Saint Lucia</v>
      </c>
      <c r="R158" t="s">
        <v>883</v>
      </c>
      <c r="S158" t="s">
        <v>884</v>
      </c>
      <c r="T158" t="s">
        <v>885</v>
      </c>
    </row>
    <row r="159" spans="1:20" x14ac:dyDescent="0.35">
      <c r="A159" s="156"/>
      <c r="B159" s="156"/>
      <c r="C159" s="156"/>
      <c r="D159" s="156"/>
      <c r="E159" s="156"/>
      <c r="F159" s="156"/>
      <c r="G159" s="156"/>
      <c r="H159" s="156"/>
      <c r="I159" s="156"/>
      <c r="J159" s="156"/>
      <c r="K159" s="156"/>
      <c r="L159" s="156"/>
      <c r="M159" s="156"/>
      <c r="N159" s="156"/>
      <c r="O159" s="156"/>
      <c r="P159" s="156"/>
      <c r="Q159" t="str">
        <f t="shared" ca="1" si="11"/>
        <v>Saint Vincent and Grenadines</v>
      </c>
      <c r="R159" t="s">
        <v>886</v>
      </c>
      <c r="S159" t="s">
        <v>887</v>
      </c>
      <c r="T159" t="s">
        <v>888</v>
      </c>
    </row>
    <row r="160" spans="1:20" x14ac:dyDescent="0.35">
      <c r="A160" s="156"/>
      <c r="B160" s="156"/>
      <c r="C160" s="156"/>
      <c r="D160" s="156"/>
      <c r="E160" s="156"/>
      <c r="F160" s="156"/>
      <c r="G160" s="156"/>
      <c r="H160" s="156"/>
      <c r="I160" s="156"/>
      <c r="J160" s="156"/>
      <c r="K160" s="156"/>
      <c r="L160" s="156"/>
      <c r="M160" s="156"/>
      <c r="N160" s="156"/>
      <c r="O160" s="156"/>
      <c r="P160" s="156"/>
      <c r="Q160" t="str">
        <f t="shared" ca="1" si="11"/>
        <v>Samoa</v>
      </c>
      <c r="R160" t="s">
        <v>889</v>
      </c>
      <c r="S160" t="s">
        <v>889</v>
      </c>
      <c r="T160" t="s">
        <v>889</v>
      </c>
    </row>
    <row r="161" spans="17:20" x14ac:dyDescent="0.35">
      <c r="Q161" t="str">
        <f t="shared" ca="1" si="11"/>
        <v>San Marino</v>
      </c>
      <c r="R161" t="s">
        <v>890</v>
      </c>
      <c r="S161" t="s">
        <v>891</v>
      </c>
      <c r="T161" t="s">
        <v>890</v>
      </c>
    </row>
    <row r="162" spans="17:20" x14ac:dyDescent="0.35">
      <c r="Q162" t="str">
        <f t="shared" ca="1" si="11"/>
        <v>Sao Tome and Principe</v>
      </c>
      <c r="R162" t="s">
        <v>892</v>
      </c>
      <c r="S162" t="s">
        <v>893</v>
      </c>
      <c r="T162" t="s">
        <v>894</v>
      </c>
    </row>
    <row r="163" spans="17:20" x14ac:dyDescent="0.35">
      <c r="Q163" t="str">
        <f t="shared" ca="1" si="11"/>
        <v>Saudi Arabia</v>
      </c>
      <c r="R163" t="s">
        <v>895</v>
      </c>
      <c r="S163" t="s">
        <v>896</v>
      </c>
      <c r="T163" t="s">
        <v>897</v>
      </c>
    </row>
    <row r="164" spans="17:20" x14ac:dyDescent="0.35">
      <c r="Q164" t="str">
        <f t="shared" ca="1" si="11"/>
        <v>Senegal</v>
      </c>
      <c r="R164" t="s">
        <v>898</v>
      </c>
      <c r="S164" t="s">
        <v>899</v>
      </c>
      <c r="T164" t="s">
        <v>898</v>
      </c>
    </row>
    <row r="165" spans="17:20" x14ac:dyDescent="0.35">
      <c r="Q165" t="str">
        <f t="shared" ca="1" si="11"/>
        <v>Serbia</v>
      </c>
      <c r="R165" t="s">
        <v>900</v>
      </c>
      <c r="S165" t="s">
        <v>901</v>
      </c>
      <c r="T165" t="s">
        <v>900</v>
      </c>
    </row>
    <row r="166" spans="17:20" x14ac:dyDescent="0.35">
      <c r="Q166" t="str">
        <f t="shared" ca="1" si="11"/>
        <v>Seychelles</v>
      </c>
      <c r="R166" t="s">
        <v>902</v>
      </c>
      <c r="S166" t="s">
        <v>902</v>
      </c>
      <c r="T166" t="s">
        <v>902</v>
      </c>
    </row>
    <row r="167" spans="17:20" x14ac:dyDescent="0.35">
      <c r="Q167" t="str">
        <f t="shared" ca="1" si="11"/>
        <v>Sierra Leone</v>
      </c>
      <c r="R167" t="s">
        <v>903</v>
      </c>
      <c r="S167" t="s">
        <v>903</v>
      </c>
      <c r="T167" t="s">
        <v>904</v>
      </c>
    </row>
    <row r="168" spans="17:20" x14ac:dyDescent="0.35">
      <c r="Q168" t="str">
        <f t="shared" ca="1" si="11"/>
        <v>Singapore</v>
      </c>
      <c r="R168" t="s">
        <v>905</v>
      </c>
      <c r="S168" t="s">
        <v>906</v>
      </c>
      <c r="T168" t="s">
        <v>907</v>
      </c>
    </row>
    <row r="169" spans="17:20" x14ac:dyDescent="0.35">
      <c r="Q169" t="str">
        <f t="shared" ca="1" si="11"/>
        <v>Sint Maarten (Dutch part)</v>
      </c>
      <c r="R169" t="s">
        <v>908</v>
      </c>
      <c r="S169" t="s">
        <v>909</v>
      </c>
      <c r="T169" t="s">
        <v>910</v>
      </c>
    </row>
    <row r="170" spans="17:20" x14ac:dyDescent="0.35">
      <c r="Q170" t="str">
        <f t="shared" ca="1" si="11"/>
        <v>Slovakia</v>
      </c>
      <c r="R170" t="s">
        <v>911</v>
      </c>
      <c r="S170" t="s">
        <v>912</v>
      </c>
      <c r="T170" t="s">
        <v>913</v>
      </c>
    </row>
    <row r="171" spans="17:20" x14ac:dyDescent="0.35">
      <c r="Q171" t="str">
        <f t="shared" ca="1" si="11"/>
        <v>Slovenia</v>
      </c>
      <c r="R171" t="s">
        <v>914</v>
      </c>
      <c r="S171" t="s">
        <v>915</v>
      </c>
      <c r="T171" t="s">
        <v>916</v>
      </c>
    </row>
    <row r="172" spans="17:20" x14ac:dyDescent="0.35">
      <c r="Q172" t="str">
        <f t="shared" ca="1" si="11"/>
        <v>Solomon Islands</v>
      </c>
      <c r="R172" t="s">
        <v>917</v>
      </c>
      <c r="S172" t="s">
        <v>918</v>
      </c>
      <c r="T172" t="s">
        <v>919</v>
      </c>
    </row>
    <row r="173" spans="17:20" x14ac:dyDescent="0.35">
      <c r="Q173" t="str">
        <f t="shared" ca="1" si="11"/>
        <v>Somalia</v>
      </c>
      <c r="R173" t="s">
        <v>920</v>
      </c>
      <c r="S173" t="s">
        <v>921</v>
      </c>
      <c r="T173" t="s">
        <v>920</v>
      </c>
    </row>
    <row r="174" spans="17:20" x14ac:dyDescent="0.35">
      <c r="Q174" t="str">
        <f t="shared" ca="1" si="11"/>
        <v>South Africa</v>
      </c>
      <c r="R174" t="s">
        <v>922</v>
      </c>
      <c r="S174" t="s">
        <v>923</v>
      </c>
      <c r="T174" t="s">
        <v>924</v>
      </c>
    </row>
    <row r="175" spans="17:20" x14ac:dyDescent="0.35">
      <c r="Q175" t="str">
        <f t="shared" ca="1" si="11"/>
        <v>South Sudan</v>
      </c>
      <c r="R175" t="s">
        <v>925</v>
      </c>
      <c r="S175" t="s">
        <v>926</v>
      </c>
      <c r="T175" t="s">
        <v>927</v>
      </c>
    </row>
    <row r="176" spans="17:20" x14ac:dyDescent="0.35">
      <c r="Q176" t="str">
        <f t="shared" ca="1" si="11"/>
        <v>Spain</v>
      </c>
      <c r="R176" t="s">
        <v>928</v>
      </c>
      <c r="S176" t="s">
        <v>929</v>
      </c>
      <c r="T176" t="s">
        <v>930</v>
      </c>
    </row>
    <row r="177" spans="17:20" x14ac:dyDescent="0.35">
      <c r="Q177" t="str">
        <f t="shared" ca="1" si="11"/>
        <v>Sri Lanka</v>
      </c>
      <c r="R177" t="s">
        <v>931</v>
      </c>
      <c r="S177" t="s">
        <v>931</v>
      </c>
      <c r="T177" t="s">
        <v>931</v>
      </c>
    </row>
    <row r="178" spans="17:20" x14ac:dyDescent="0.35">
      <c r="Q178" t="str">
        <f t="shared" ca="1" si="11"/>
        <v>Sudan</v>
      </c>
      <c r="R178" t="s">
        <v>932</v>
      </c>
      <c r="S178" t="s">
        <v>933</v>
      </c>
      <c r="T178" t="s">
        <v>934</v>
      </c>
    </row>
    <row r="179" spans="17:20" x14ac:dyDescent="0.35">
      <c r="Q179" t="str">
        <f t="shared" ca="1" si="11"/>
        <v>Suriname</v>
      </c>
      <c r="R179" t="s">
        <v>935</v>
      </c>
      <c r="S179" t="s">
        <v>935</v>
      </c>
      <c r="T179" t="s">
        <v>935</v>
      </c>
    </row>
    <row r="180" spans="17:20" x14ac:dyDescent="0.35">
      <c r="Q180" t="str">
        <f t="shared" ca="1" si="11"/>
        <v>Sweden</v>
      </c>
      <c r="R180" t="s">
        <v>936</v>
      </c>
      <c r="S180" t="s">
        <v>937</v>
      </c>
      <c r="T180" t="s">
        <v>938</v>
      </c>
    </row>
    <row r="181" spans="17:20" x14ac:dyDescent="0.35">
      <c r="Q181" t="str">
        <f t="shared" ca="1" si="11"/>
        <v>Switzerland</v>
      </c>
      <c r="R181" t="s">
        <v>939</v>
      </c>
      <c r="S181" t="s">
        <v>940</v>
      </c>
      <c r="T181" t="s">
        <v>941</v>
      </c>
    </row>
    <row r="182" spans="17:20" x14ac:dyDescent="0.35">
      <c r="Q182" t="str">
        <f t="shared" ca="1" si="11"/>
        <v>Syrian Arab Republic</v>
      </c>
      <c r="R182" t="s">
        <v>942</v>
      </c>
      <c r="S182" t="s">
        <v>943</v>
      </c>
      <c r="T182" t="s">
        <v>944</v>
      </c>
    </row>
    <row r="183" spans="17:20" x14ac:dyDescent="0.35">
      <c r="Q183" t="str">
        <f t="shared" ca="1" si="11"/>
        <v>Taiwan</v>
      </c>
      <c r="R183" t="s">
        <v>945</v>
      </c>
      <c r="S183" t="s">
        <v>946</v>
      </c>
      <c r="T183" t="s">
        <v>947</v>
      </c>
    </row>
    <row r="184" spans="17:20" x14ac:dyDescent="0.35">
      <c r="Q184" t="str">
        <f t="shared" ca="1" si="11"/>
        <v>Tajikistan</v>
      </c>
      <c r="R184" t="s">
        <v>948</v>
      </c>
      <c r="S184" t="s">
        <v>949</v>
      </c>
      <c r="T184" t="s">
        <v>950</v>
      </c>
    </row>
    <row r="185" spans="17:20" x14ac:dyDescent="0.35">
      <c r="Q185" t="str">
        <f t="shared" ca="1" si="11"/>
        <v>Tanzania (United Republic)</v>
      </c>
      <c r="R185" t="s">
        <v>951</v>
      </c>
      <c r="S185" t="s">
        <v>952</v>
      </c>
      <c r="T185" t="s">
        <v>953</v>
      </c>
    </row>
    <row r="186" spans="17:20" x14ac:dyDescent="0.35">
      <c r="Q186" t="str">
        <f t="shared" ca="1" si="11"/>
        <v>Thailand</v>
      </c>
      <c r="R186" t="s">
        <v>954</v>
      </c>
      <c r="S186" t="s">
        <v>955</v>
      </c>
      <c r="T186" t="s">
        <v>956</v>
      </c>
    </row>
    <row r="187" spans="17:20" x14ac:dyDescent="0.35">
      <c r="Q187" t="str">
        <f t="shared" ca="1" si="11"/>
        <v>Timor-Leste</v>
      </c>
      <c r="R187" t="s">
        <v>957</v>
      </c>
      <c r="S187" t="s">
        <v>958</v>
      </c>
      <c r="T187" t="s">
        <v>957</v>
      </c>
    </row>
    <row r="188" spans="17:20" x14ac:dyDescent="0.35">
      <c r="Q188" t="str">
        <f t="shared" ca="1" si="11"/>
        <v>Togo</v>
      </c>
      <c r="R188" t="s">
        <v>959</v>
      </c>
      <c r="S188" t="s">
        <v>959</v>
      </c>
      <c r="T188" t="s">
        <v>959</v>
      </c>
    </row>
    <row r="189" spans="17:20" x14ac:dyDescent="0.35">
      <c r="Q189" t="str">
        <f t="shared" ca="1" si="11"/>
        <v>Tokelau</v>
      </c>
      <c r="R189" t="s">
        <v>960</v>
      </c>
      <c r="S189" t="s">
        <v>960</v>
      </c>
      <c r="T189" t="s">
        <v>960</v>
      </c>
    </row>
    <row r="190" spans="17:20" x14ac:dyDescent="0.35">
      <c r="Q190" t="str">
        <f t="shared" ca="1" si="11"/>
        <v>Tonga</v>
      </c>
      <c r="R190" t="s">
        <v>961</v>
      </c>
      <c r="S190" t="s">
        <v>961</v>
      </c>
      <c r="T190" t="s">
        <v>961</v>
      </c>
    </row>
    <row r="191" spans="17:20" x14ac:dyDescent="0.35">
      <c r="Q191" t="str">
        <f t="shared" ca="1" si="11"/>
        <v>Trinidad and Tobago</v>
      </c>
      <c r="R191" t="s">
        <v>962</v>
      </c>
      <c r="S191" t="s">
        <v>963</v>
      </c>
      <c r="T191" t="s">
        <v>964</v>
      </c>
    </row>
    <row r="192" spans="17:20" x14ac:dyDescent="0.35">
      <c r="Q192" t="str">
        <f t="shared" ca="1" si="11"/>
        <v>Tunisia</v>
      </c>
      <c r="R192" t="s">
        <v>965</v>
      </c>
      <c r="S192" t="s">
        <v>966</v>
      </c>
      <c r="T192" t="s">
        <v>967</v>
      </c>
    </row>
    <row r="193" spans="17:20" x14ac:dyDescent="0.35">
      <c r="Q193" t="str">
        <f t="shared" ca="1" si="11"/>
        <v>Turkey</v>
      </c>
      <c r="R193" t="s">
        <v>968</v>
      </c>
      <c r="S193" t="s">
        <v>969</v>
      </c>
      <c r="T193" t="s">
        <v>970</v>
      </c>
    </row>
    <row r="194" spans="17:20" x14ac:dyDescent="0.35">
      <c r="Q194" t="str">
        <f t="shared" ca="1" si="11"/>
        <v>Turkmenistan</v>
      </c>
      <c r="R194" t="s">
        <v>971</v>
      </c>
      <c r="S194" t="s">
        <v>972</v>
      </c>
      <c r="T194" t="s">
        <v>973</v>
      </c>
    </row>
    <row r="195" spans="17:20" x14ac:dyDescent="0.35">
      <c r="Q195" t="str">
        <f t="shared" ca="1" si="11"/>
        <v>Tuvalu</v>
      </c>
      <c r="R195" t="s">
        <v>974</v>
      </c>
      <c r="S195" t="s">
        <v>974</v>
      </c>
      <c r="T195" t="s">
        <v>974</v>
      </c>
    </row>
    <row r="196" spans="17:20" x14ac:dyDescent="0.35">
      <c r="Q196" t="str">
        <f t="shared" ref="Q196:Q210" ca="1" si="16">OFFSET($R196,0,LangOffset,1,1)</f>
        <v>Uganda</v>
      </c>
      <c r="R196" t="s">
        <v>975</v>
      </c>
      <c r="S196" t="s">
        <v>976</v>
      </c>
      <c r="T196" t="s">
        <v>975</v>
      </c>
    </row>
    <row r="197" spans="17:20" x14ac:dyDescent="0.35">
      <c r="Q197" t="str">
        <f t="shared" ca="1" si="16"/>
        <v>Ukraine</v>
      </c>
      <c r="R197" t="s">
        <v>977</v>
      </c>
      <c r="S197" t="s">
        <v>977</v>
      </c>
      <c r="T197" t="s">
        <v>978</v>
      </c>
    </row>
    <row r="198" spans="17:20" x14ac:dyDescent="0.35">
      <c r="Q198" t="str">
        <f t="shared" ca="1" si="16"/>
        <v>United Arab Emirates</v>
      </c>
      <c r="R198" t="s">
        <v>979</v>
      </c>
      <c r="S198" t="s">
        <v>980</v>
      </c>
      <c r="T198" t="s">
        <v>981</v>
      </c>
    </row>
    <row r="199" spans="17:20" x14ac:dyDescent="0.35">
      <c r="Q199" t="str">
        <f t="shared" ca="1" si="16"/>
        <v>United Kingdom</v>
      </c>
      <c r="R199" t="s">
        <v>982</v>
      </c>
      <c r="S199" t="s">
        <v>983</v>
      </c>
      <c r="T199" t="s">
        <v>984</v>
      </c>
    </row>
    <row r="200" spans="17:20" x14ac:dyDescent="0.35">
      <c r="Q200" t="str">
        <f t="shared" ca="1" si="16"/>
        <v>United States</v>
      </c>
      <c r="R200" t="s">
        <v>985</v>
      </c>
      <c r="S200" t="s">
        <v>986</v>
      </c>
      <c r="T200" t="s">
        <v>987</v>
      </c>
    </row>
    <row r="201" spans="17:20" x14ac:dyDescent="0.35">
      <c r="Q201" t="str">
        <f t="shared" ca="1" si="16"/>
        <v>Uruguay</v>
      </c>
      <c r="R201" t="s">
        <v>988</v>
      </c>
      <c r="S201" t="s">
        <v>988</v>
      </c>
      <c r="T201" t="s">
        <v>988</v>
      </c>
    </row>
    <row r="202" spans="17:20" x14ac:dyDescent="0.35">
      <c r="Q202" t="str">
        <f t="shared" ca="1" si="16"/>
        <v>Uzbekistan</v>
      </c>
      <c r="R202" t="s">
        <v>989</v>
      </c>
      <c r="S202" t="s">
        <v>990</v>
      </c>
      <c r="T202" t="s">
        <v>991</v>
      </c>
    </row>
    <row r="203" spans="17:20" x14ac:dyDescent="0.35">
      <c r="Q203" t="str">
        <f t="shared" ca="1" si="16"/>
        <v>Vanuatu</v>
      </c>
      <c r="R203" t="s">
        <v>992</v>
      </c>
      <c r="S203" t="s">
        <v>992</v>
      </c>
      <c r="T203" t="s">
        <v>992</v>
      </c>
    </row>
    <row r="204" spans="17:20" x14ac:dyDescent="0.35">
      <c r="Q204" t="str">
        <f t="shared" ca="1" si="16"/>
        <v>Venezuela</v>
      </c>
      <c r="R204" t="s">
        <v>993</v>
      </c>
      <c r="S204" t="s">
        <v>993</v>
      </c>
      <c r="T204" t="s">
        <v>993</v>
      </c>
    </row>
    <row r="205" spans="17:20" x14ac:dyDescent="0.35">
      <c r="Q205" t="str">
        <f t="shared" ca="1" si="16"/>
        <v>Viet Nam</v>
      </c>
      <c r="R205" t="s">
        <v>994</v>
      </c>
      <c r="S205" t="s">
        <v>995</v>
      </c>
      <c r="T205" t="s">
        <v>994</v>
      </c>
    </row>
    <row r="206" spans="17:20" x14ac:dyDescent="0.35">
      <c r="Q206" t="str">
        <f t="shared" ca="1" si="16"/>
        <v>Western Sahara</v>
      </c>
      <c r="R206" t="s">
        <v>996</v>
      </c>
      <c r="S206" t="s">
        <v>997</v>
      </c>
      <c r="T206" t="s">
        <v>998</v>
      </c>
    </row>
    <row r="207" spans="17:20" x14ac:dyDescent="0.35">
      <c r="Q207" t="str">
        <f t="shared" ca="1" si="16"/>
        <v>Yemen</v>
      </c>
      <c r="R207" t="s">
        <v>999</v>
      </c>
      <c r="S207" t="s">
        <v>1000</v>
      </c>
      <c r="T207" t="s">
        <v>999</v>
      </c>
    </row>
    <row r="208" spans="17:20" x14ac:dyDescent="0.35">
      <c r="Q208" t="str">
        <f t="shared" ca="1" si="16"/>
        <v>Zambia</v>
      </c>
      <c r="R208" t="s">
        <v>1001</v>
      </c>
      <c r="S208" t="s">
        <v>1002</v>
      </c>
      <c r="T208" t="s">
        <v>1001</v>
      </c>
    </row>
    <row r="209" spans="17:20" x14ac:dyDescent="0.35">
      <c r="Q209" t="str">
        <f t="shared" ca="1" si="16"/>
        <v>Zimbabwe</v>
      </c>
      <c r="R209" t="s">
        <v>1003</v>
      </c>
      <c r="S209" t="s">
        <v>1003</v>
      </c>
      <c r="T209" t="s">
        <v>1003</v>
      </c>
    </row>
    <row r="210" spans="17:20" x14ac:dyDescent="0.35">
      <c r="Q210" t="str">
        <f t="shared" ca="1" si="16"/>
        <v>Zanzibar</v>
      </c>
      <c r="R210" t="s">
        <v>1004</v>
      </c>
      <c r="S210" t="s">
        <v>1004</v>
      </c>
      <c r="T210" t="s">
        <v>1004</v>
      </c>
    </row>
    <row r="272" spans="19:19" x14ac:dyDescent="0.35">
      <c r="S272" s="33"/>
    </row>
  </sheetData>
  <sheetProtection algorithmName="SHA-512" hashValue="G0USam+g6xPQb37vv80zPMMQgvK42cuSvHEYuCRW05AN8vA4Eq4bS+1LioIwYzo1ZvK6ippcWrMINQ9lWBHKZw==" saltValue="wSCNEu0Qrbm4++oQj6aaSg==" spinCount="100000" sheet="1" objects="1" scenarios="1"/>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tabColor rgb="FFFF5050"/>
    <pageSetUpPr fitToPage="1"/>
  </sheetPr>
  <dimension ref="A1:U111"/>
  <sheetViews>
    <sheetView view="pageBreakPreview" topLeftCell="A71" zoomScale="80" zoomScaleNormal="80" zoomScaleSheetLayoutView="80" zoomScalePageLayoutView="80" workbookViewId="0">
      <selection activeCell="F85" sqref="F85:F86"/>
    </sheetView>
  </sheetViews>
  <sheetFormatPr defaultColWidth="9" defaultRowHeight="14.5" x14ac:dyDescent="0.35"/>
  <cols>
    <col min="1" max="1" width="30.58203125" style="46" customWidth="1"/>
    <col min="2" max="2" width="11.58203125" style="46" customWidth="1"/>
    <col min="3" max="5" width="11.58203125" style="173" customWidth="1"/>
    <col min="6" max="6" width="68.33203125" style="46" customWidth="1"/>
    <col min="7" max="7" width="21.58203125" style="46" customWidth="1"/>
    <col min="8" max="8" width="9" style="46"/>
    <col min="9" max="9" width="10.08203125" style="46" customWidth="1"/>
    <col min="10" max="10" width="10.58203125" style="46" customWidth="1"/>
    <col min="11" max="11" width="12.08203125" style="46" customWidth="1"/>
    <col min="12" max="16384" width="9" style="46"/>
  </cols>
  <sheetData>
    <row r="1" spans="1:21" s="12" customFormat="1" ht="22" customHeight="1" x14ac:dyDescent="0.3">
      <c r="A1" s="421" t="s">
        <v>3</v>
      </c>
      <c r="B1" s="421"/>
      <c r="C1" s="421"/>
      <c r="D1" s="421"/>
      <c r="E1" s="421"/>
      <c r="F1" s="443" t="str">
        <f ca="1">TranslationsHIV!$G$118</f>
        <v>Latest version updated: 13 March 2023</v>
      </c>
      <c r="G1" s="3"/>
      <c r="H1" s="1"/>
      <c r="I1" s="1"/>
      <c r="J1" s="1"/>
      <c r="K1" s="1"/>
      <c r="L1" s="1"/>
      <c r="M1" s="1"/>
      <c r="N1" s="2"/>
      <c r="O1" s="2"/>
      <c r="P1" s="2"/>
      <c r="Q1" s="2"/>
      <c r="R1" s="2"/>
      <c r="S1" s="2"/>
      <c r="T1" s="2"/>
      <c r="U1" s="2"/>
    </row>
    <row r="2" spans="1:21" s="12" customFormat="1" ht="22" customHeight="1" x14ac:dyDescent="0.3">
      <c r="A2" s="421" t="s">
        <v>4</v>
      </c>
      <c r="B2" s="421"/>
      <c r="C2" s="421"/>
      <c r="D2" s="421"/>
      <c r="E2" s="421"/>
      <c r="F2" s="444"/>
      <c r="G2" s="3"/>
      <c r="H2" s="1"/>
      <c r="I2" s="1"/>
      <c r="J2" s="1"/>
      <c r="K2" s="1"/>
      <c r="L2" s="1"/>
      <c r="M2" s="1"/>
      <c r="N2" s="2"/>
      <c r="O2" s="2"/>
      <c r="P2" s="2"/>
      <c r="Q2" s="2"/>
      <c r="R2" s="2"/>
      <c r="S2" s="2"/>
      <c r="T2" s="2"/>
      <c r="U2" s="2"/>
    </row>
    <row r="3" spans="1:21" s="12" customFormat="1" ht="22" customHeight="1" x14ac:dyDescent="0.3">
      <c r="A3" s="421" t="s">
        <v>5</v>
      </c>
      <c r="B3" s="421"/>
      <c r="C3" s="421"/>
      <c r="D3" s="421"/>
      <c r="E3" s="421"/>
      <c r="F3" s="445"/>
      <c r="G3" s="3"/>
      <c r="H3" s="1"/>
      <c r="I3" s="1"/>
      <c r="J3" s="1"/>
      <c r="K3" s="1"/>
      <c r="L3" s="1"/>
      <c r="M3" s="1"/>
      <c r="N3" s="2"/>
      <c r="O3" s="2"/>
      <c r="P3" s="2"/>
      <c r="Q3" s="2"/>
      <c r="R3" s="2"/>
      <c r="S3" s="2"/>
      <c r="T3" s="2"/>
      <c r="U3" s="2"/>
    </row>
    <row r="4" spans="1:21" ht="45" customHeight="1" x14ac:dyDescent="0.35">
      <c r="A4" s="436" t="str">
        <f ca="1">TranslationsHIV!$G$116</f>
        <v xml:space="preserve">Carefully read the instructions in the "Instructions" tab before completing the programmatic gap analysis table. 
The instructions have been tailored to each specific module/intervention. </v>
      </c>
      <c r="B4" s="436"/>
      <c r="C4" s="436"/>
      <c r="D4" s="436"/>
      <c r="E4" s="436"/>
      <c r="F4" s="436"/>
      <c r="G4" s="88"/>
    </row>
    <row r="5" spans="1:21" ht="30" customHeight="1" x14ac:dyDescent="0.35">
      <c r="A5" s="146" t="str">
        <f ca="1">TranslationsHIV!$A$127</f>
        <v>Treatment Programmatic Gap Table 1</v>
      </c>
      <c r="B5" s="147"/>
      <c r="C5" s="186"/>
      <c r="D5" s="186"/>
      <c r="E5" s="186"/>
      <c r="F5" s="148"/>
    </row>
    <row r="6" spans="1:21" ht="45" customHeight="1" x14ac:dyDescent="0.35">
      <c r="A6" s="129" t="str">
        <f ca="1">TranslationsHIV!$A$21</f>
        <v>Priority Module</v>
      </c>
      <c r="B6" s="440" t="str">
        <f ca="1">'HIV dropdown'!$A$136</f>
        <v>Treatment, care and support</v>
      </c>
      <c r="C6" s="441"/>
      <c r="D6" s="441"/>
      <c r="E6" s="441"/>
      <c r="F6" s="442"/>
    </row>
    <row r="7" spans="1:21" ht="45" customHeight="1" x14ac:dyDescent="0.35">
      <c r="A7" s="129" t="str">
        <f ca="1">TranslationsHIV!$A$22</f>
        <v>Selected coverage indicator</v>
      </c>
      <c r="B7" s="446" t="s">
        <v>1196</v>
      </c>
      <c r="C7" s="447"/>
      <c r="D7" s="447"/>
      <c r="E7" s="447"/>
      <c r="F7" s="448"/>
    </row>
    <row r="8" spans="1:21" ht="17.5" customHeight="1" x14ac:dyDescent="0.35">
      <c r="A8" s="211" t="str">
        <f ca="1">TranslationsHIV!$A$24</f>
        <v>Current national coverage</v>
      </c>
      <c r="B8" s="212"/>
      <c r="C8" s="150"/>
      <c r="D8" s="150"/>
      <c r="E8" s="150"/>
      <c r="F8" s="213"/>
    </row>
    <row r="9" spans="1:21" ht="45" customHeight="1" x14ac:dyDescent="0.35">
      <c r="A9" s="131" t="str">
        <f ca="1">TranslationsHIV!$A$25</f>
        <v>Insert latest results</v>
      </c>
      <c r="B9" s="222">
        <f>420364/454969.25</f>
        <v>0.9239393651329183</v>
      </c>
      <c r="C9" s="155" t="str">
        <f ca="1">TranslationsHIV!$A$26</f>
        <v>Year</v>
      </c>
      <c r="D9" s="215">
        <v>2021</v>
      </c>
      <c r="E9" s="155" t="str">
        <f ca="1">TranslationsHIV!$A$27</f>
        <v>Data source</v>
      </c>
      <c r="F9" s="18" t="s">
        <v>1723</v>
      </c>
    </row>
    <row r="10" spans="1:21" ht="191" customHeight="1" x14ac:dyDescent="0.35">
      <c r="A10" s="237" t="str">
        <f ca="1">TranslationsHIV!$A$28</f>
        <v>Comments</v>
      </c>
      <c r="B10" s="437" t="s">
        <v>1753</v>
      </c>
      <c r="C10" s="438"/>
      <c r="D10" s="438"/>
      <c r="E10" s="438"/>
      <c r="F10" s="439"/>
    </row>
    <row r="11" spans="1:21" ht="45" customHeight="1" x14ac:dyDescent="0.35">
      <c r="A11" s="197"/>
      <c r="B11" s="223"/>
      <c r="C11" s="130" t="str">
        <f ca="1">TranslationsHIV!$A$29</f>
        <v>Year 1</v>
      </c>
      <c r="D11" s="130" t="str">
        <f ca="1">TranslationsHIV!$A$30</f>
        <v>Year 2</v>
      </c>
      <c r="E11" s="130" t="str">
        <f ca="1">TranslationsHIV!$A$31</f>
        <v>Year 3</v>
      </c>
      <c r="F11" s="401" t="str">
        <f ca="1">TranslationsHIV!$A$34</f>
        <v>Comments / Assumptions</v>
      </c>
    </row>
    <row r="12" spans="1:21" ht="45" customHeight="1" x14ac:dyDescent="0.35">
      <c r="A12" s="198"/>
      <c r="B12" s="224"/>
      <c r="C12" s="238">
        <v>2024</v>
      </c>
      <c r="D12" s="140">
        <v>2025</v>
      </c>
      <c r="E12" s="140">
        <v>2026</v>
      </c>
      <c r="F12" s="401"/>
    </row>
    <row r="13" spans="1:21" ht="17.5" customHeight="1" x14ac:dyDescent="0.35">
      <c r="A13" s="211" t="str">
        <f ca="1">TranslationsHIV!$A$35</f>
        <v>Current estimated country need</v>
      </c>
      <c r="B13" s="212"/>
      <c r="C13" s="150"/>
      <c r="D13" s="150"/>
      <c r="E13" s="150"/>
      <c r="F13" s="213"/>
    </row>
    <row r="14" spans="1:21" ht="145" customHeight="1" x14ac:dyDescent="0.35">
      <c r="A14" s="231" t="str">
        <f ca="1">TranslationsHIV!$A$137</f>
        <v>A. Total estimated number of all adults and/or children living with HIV</v>
      </c>
      <c r="B14" s="199" t="s">
        <v>8</v>
      </c>
      <c r="C14" s="326">
        <v>429606</v>
      </c>
      <c r="D14" s="326">
        <v>431950</v>
      </c>
      <c r="E14" s="326">
        <v>433627</v>
      </c>
      <c r="F14" s="216" t="s">
        <v>1754</v>
      </c>
    </row>
    <row r="15" spans="1:21" ht="45" customHeight="1" x14ac:dyDescent="0.35">
      <c r="A15" s="419" t="str">
        <f ca="1">TranslationsHIV!$A$109</f>
        <v>B1. Global targets as per the Global AIDS Strategy</v>
      </c>
      <c r="B15" s="200" t="s">
        <v>8</v>
      </c>
      <c r="C15" s="189">
        <f>IF(C14="","",(C14*C16))</f>
        <v>408125.69999999995</v>
      </c>
      <c r="D15" s="189">
        <f>IF(D14="","",(D14*D16))</f>
        <v>410352.5</v>
      </c>
      <c r="E15" s="189">
        <f>IF(E14="","",(E14*E16))</f>
        <v>411945.64999999997</v>
      </c>
      <c r="F15" s="420"/>
    </row>
    <row r="16" spans="1:21" ht="45" customHeight="1" x14ac:dyDescent="0.35">
      <c r="A16" s="425"/>
      <c r="B16" s="200" t="s">
        <v>9</v>
      </c>
      <c r="C16" s="327">
        <f>95/100</f>
        <v>0.95</v>
      </c>
      <c r="D16" s="327">
        <f t="shared" ref="D16:E16" si="0">95/100</f>
        <v>0.95</v>
      </c>
      <c r="E16" s="327">
        <f t="shared" si="0"/>
        <v>0.95</v>
      </c>
      <c r="F16" s="426"/>
    </row>
    <row r="17" spans="1:6" ht="45" customHeight="1" x14ac:dyDescent="0.35">
      <c r="A17" s="419" t="str">
        <f ca="1">TranslationsHIV!$A$37</f>
        <v>B2. Country targets 
(from National Strategic Plan)</v>
      </c>
      <c r="B17" s="200" t="s">
        <v>8</v>
      </c>
      <c r="C17" s="328">
        <v>390941</v>
      </c>
      <c r="D17" s="328">
        <v>401714</v>
      </c>
      <c r="E17" s="328">
        <v>411946</v>
      </c>
      <c r="F17" s="232" t="s">
        <v>1755</v>
      </c>
    </row>
    <row r="18" spans="1:6" ht="45" customHeight="1" x14ac:dyDescent="0.35">
      <c r="A18" s="425"/>
      <c r="B18" s="200" t="s">
        <v>9</v>
      </c>
      <c r="C18" s="190">
        <f>IF(C17=0,"",+C17/C14)</f>
        <v>0.90999892925145365</v>
      </c>
      <c r="D18" s="190">
        <f>IF(D17=0,"",+D17/D14)</f>
        <v>0.93000115754138213</v>
      </c>
      <c r="E18" s="190">
        <f>IF(E17=0,"",+E17/E14)</f>
        <v>0.95000080714531154</v>
      </c>
      <c r="F18" s="232"/>
    </row>
    <row r="19" spans="1:6" ht="17.5" customHeight="1" x14ac:dyDescent="0.35">
      <c r="A19" s="211" t="str">
        <f ca="1">TranslationsHIV!$A$38</f>
        <v>Country need to meet global targets already covered</v>
      </c>
      <c r="B19" s="212"/>
      <c r="C19" s="150"/>
      <c r="D19" s="150"/>
      <c r="E19" s="150"/>
      <c r="F19" s="213"/>
    </row>
    <row r="20" spans="1:6" ht="45" customHeight="1" x14ac:dyDescent="0.35">
      <c r="A20" s="419" t="str">
        <f ca="1">TranslationsHIV!$A$39</f>
        <v>C1. Global target planned to be covered by domestic resources</v>
      </c>
      <c r="B20" s="199" t="s">
        <v>8</v>
      </c>
      <c r="C20" s="328">
        <v>3909.4146000000001</v>
      </c>
      <c r="D20" s="328">
        <v>4017.1350000000002</v>
      </c>
      <c r="E20" s="328">
        <v>4119.4564999999993</v>
      </c>
      <c r="F20" s="420" t="s">
        <v>1756</v>
      </c>
    </row>
    <row r="21" spans="1:6" ht="45" customHeight="1" x14ac:dyDescent="0.35">
      <c r="A21" s="425"/>
      <c r="B21" s="199" t="s">
        <v>9</v>
      </c>
      <c r="C21" s="190">
        <f>IF(C20=0,"",+C20/C15)</f>
        <v>9.5789473684210532E-3</v>
      </c>
      <c r="D21" s="190">
        <f t="shared" ref="D21:E21" si="1">IF(D20=0,"",+D20/D15)</f>
        <v>9.7894736842105267E-3</v>
      </c>
      <c r="E21" s="190">
        <f t="shared" si="1"/>
        <v>9.9999999999999985E-3</v>
      </c>
      <c r="F21" s="426"/>
    </row>
    <row r="22" spans="1:6" ht="45" customHeight="1" x14ac:dyDescent="0.35">
      <c r="A22" s="419" t="str">
        <f ca="1">TranslationsHIV!$A$40</f>
        <v>C2. Global target planned to be covered by external resources</v>
      </c>
      <c r="B22" s="199" t="s">
        <v>8</v>
      </c>
      <c r="C22" s="329">
        <f>156068.11387634-5448.45999999996</f>
        <v>150619.65387634005</v>
      </c>
      <c r="D22" s="329">
        <f>160368.430259771+1160.5</f>
        <v>161528.930259771</v>
      </c>
      <c r="E22" s="329">
        <f>164453.21664032-10.6499999999651</f>
        <v>164442.56664032003</v>
      </c>
      <c r="F22" s="233" t="s">
        <v>1761</v>
      </c>
    </row>
    <row r="23" spans="1:6" ht="45" customHeight="1" x14ac:dyDescent="0.35">
      <c r="A23" s="425"/>
      <c r="B23" s="199" t="s">
        <v>9</v>
      </c>
      <c r="C23" s="190">
        <f>IF(C22="","",+C22/C15)</f>
        <v>0.36905211770868646</v>
      </c>
      <c r="D23" s="190">
        <f t="shared" ref="D23:E23" si="2">IF(D22="","",+D22/D15)</f>
        <v>0.39363457091103626</v>
      </c>
      <c r="E23" s="190">
        <f t="shared" si="2"/>
        <v>0.39918510279285641</v>
      </c>
      <c r="F23" s="119"/>
    </row>
    <row r="24" spans="1:6" ht="45" customHeight="1" x14ac:dyDescent="0.35">
      <c r="A24" s="419" t="str">
        <f ca="1">TranslationsHIV!$A$41</f>
        <v>C3. Total global target already covered</v>
      </c>
      <c r="B24" s="199" t="s">
        <v>8</v>
      </c>
      <c r="C24" s="330">
        <f>C20+C22</f>
        <v>154529.06847634003</v>
      </c>
      <c r="D24" s="330">
        <f t="shared" ref="D24:E24" si="3">D20+D22</f>
        <v>165546.06525977101</v>
      </c>
      <c r="E24" s="330">
        <f t="shared" si="3"/>
        <v>168562.02314032003</v>
      </c>
      <c r="F24" s="232"/>
    </row>
    <row r="25" spans="1:6" ht="45" customHeight="1" x14ac:dyDescent="0.35">
      <c r="A25" s="425"/>
      <c r="B25" s="199" t="s">
        <v>9</v>
      </c>
      <c r="C25" s="190">
        <f>IF(C24=0,"",C24/C15)</f>
        <v>0.37863106507710748</v>
      </c>
      <c r="D25" s="190">
        <f t="shared" ref="D25:E25" si="4">IF(D24=0,"",D24/D15)</f>
        <v>0.40342404459524678</v>
      </c>
      <c r="E25" s="190">
        <f t="shared" si="4"/>
        <v>0.40918510279285641</v>
      </c>
      <c r="F25" s="232"/>
    </row>
    <row r="26" spans="1:6" ht="17.5" customHeight="1" x14ac:dyDescent="0.35">
      <c r="A26" s="211" t="str">
        <f ca="1">TranslationsHIV!$A$42</f>
        <v>Programmatic gap</v>
      </c>
      <c r="B26" s="212"/>
      <c r="C26" s="150"/>
      <c r="D26" s="150"/>
      <c r="E26" s="150"/>
      <c r="F26" s="213"/>
    </row>
    <row r="27" spans="1:6" ht="45" customHeight="1" x14ac:dyDescent="0.35">
      <c r="A27" s="419" t="str">
        <f ca="1">TranslationsHIV!$A$43</f>
        <v>D. Expected annual gap in meeting the need: B1 - C3</v>
      </c>
      <c r="B27" s="199" t="s">
        <v>8</v>
      </c>
      <c r="C27" s="189">
        <f>IF(C24=0,C15,C15-(C24))</f>
        <v>253596.63152365992</v>
      </c>
      <c r="D27" s="189">
        <f t="shared" ref="D27:E27" si="5">IF(D24=0,D15,D15-(D24))</f>
        <v>244806.43474022899</v>
      </c>
      <c r="E27" s="189">
        <f t="shared" si="5"/>
        <v>243383.62685967993</v>
      </c>
      <c r="F27" s="420"/>
    </row>
    <row r="28" spans="1:6" ht="45" customHeight="1" x14ac:dyDescent="0.35">
      <c r="A28" s="425"/>
      <c r="B28" s="199" t="s">
        <v>9</v>
      </c>
      <c r="C28" s="190">
        <f>IF(C27="","",+C27/C15)</f>
        <v>0.62136893492289247</v>
      </c>
      <c r="D28" s="190">
        <f t="shared" ref="D28:E28" si="6">IF(D27="","",+D27/D15)</f>
        <v>0.59657595540475317</v>
      </c>
      <c r="E28" s="190">
        <f t="shared" si="6"/>
        <v>0.59081489720714364</v>
      </c>
      <c r="F28" s="426"/>
    </row>
    <row r="29" spans="1:6" ht="17.5" customHeight="1" x14ac:dyDescent="0.35">
      <c r="A29" s="211" t="str">
        <f ca="1">TranslationsHIV!$A$44</f>
        <v>Country need to meet global targets covered with the allocation amount</v>
      </c>
      <c r="B29" s="212"/>
      <c r="C29" s="150"/>
      <c r="D29" s="150"/>
      <c r="E29" s="150"/>
      <c r="F29" s="213"/>
    </row>
    <row r="30" spans="1:6" ht="45" customHeight="1" x14ac:dyDescent="0.35">
      <c r="A30" s="419" t="str">
        <f ca="1">TranslationsHIV!$A$45</f>
        <v>E. Targets to be financed by allocation amount</v>
      </c>
      <c r="B30" s="200" t="s">
        <v>8</v>
      </c>
      <c r="C30" s="328">
        <v>230963.93152366005</v>
      </c>
      <c r="D30" s="328">
        <v>237327.9347402289</v>
      </c>
      <c r="E30" s="328">
        <v>243372.97685968029</v>
      </c>
      <c r="F30" s="420" t="s">
        <v>1757</v>
      </c>
    </row>
    <row r="31" spans="1:6" ht="101.5" customHeight="1" x14ac:dyDescent="0.35">
      <c r="A31" s="425"/>
      <c r="B31" s="200" t="s">
        <v>9</v>
      </c>
      <c r="C31" s="190">
        <f>IF(C30=0,"",+C30/C15)</f>
        <v>0.56591371610182861</v>
      </c>
      <c r="D31" s="190">
        <f t="shared" ref="D31:E31" si="7">IF(D30=0,"",+D30/D15)</f>
        <v>0.57835138019197863</v>
      </c>
      <c r="E31" s="190">
        <f t="shared" si="7"/>
        <v>0.59078904428212875</v>
      </c>
      <c r="F31" s="426"/>
    </row>
    <row r="32" spans="1:6" ht="45" customHeight="1" x14ac:dyDescent="0.35">
      <c r="A32" s="419" t="str">
        <f ca="1">TranslationsHIV!$A$46</f>
        <v>F. Coverage from allocation amount and other resources: E + C3</v>
      </c>
      <c r="B32" s="200" t="s">
        <v>8</v>
      </c>
      <c r="C32" s="189">
        <f>IF(C24="",C30,C30+C24)</f>
        <v>385493.00000000012</v>
      </c>
      <c r="D32" s="189">
        <f t="shared" ref="D32:E32" si="8">IF(D24="",D30,D30+D24)</f>
        <v>402873.99999999988</v>
      </c>
      <c r="E32" s="189">
        <f t="shared" si="8"/>
        <v>411935.00000000035</v>
      </c>
      <c r="F32" s="420"/>
    </row>
    <row r="33" spans="1:6" ht="45" customHeight="1" x14ac:dyDescent="0.35">
      <c r="A33" s="425"/>
      <c r="B33" s="200" t="s">
        <v>9</v>
      </c>
      <c r="C33" s="190">
        <f>IF(C32=0,"",+C32/C15)</f>
        <v>0.94454478117893614</v>
      </c>
      <c r="D33" s="190">
        <f t="shared" ref="D33:E33" si="9">IF(D32=0,"",+D32/D15)</f>
        <v>0.98177542478722535</v>
      </c>
      <c r="E33" s="190">
        <f t="shared" si="9"/>
        <v>0.99997414707498522</v>
      </c>
      <c r="F33" s="426"/>
    </row>
    <row r="34" spans="1:6" ht="45" customHeight="1" x14ac:dyDescent="0.35">
      <c r="A34" s="419" t="str">
        <f ca="1">TranslationsHIV!$A$47</f>
        <v xml:space="preserve">G. Remaining gap: B1 - F </v>
      </c>
      <c r="B34" s="200" t="s">
        <v>8</v>
      </c>
      <c r="C34" s="189">
        <f>IF(C32=0,C15,C15-(C32))</f>
        <v>22632.699999999837</v>
      </c>
      <c r="D34" s="189">
        <f t="shared" ref="D34:E34" si="10">IF(D32=0,D15,D15-(D32))</f>
        <v>7478.5000000001164</v>
      </c>
      <c r="E34" s="189">
        <f t="shared" si="10"/>
        <v>10.649999999615829</v>
      </c>
      <c r="F34" s="420"/>
    </row>
    <row r="35" spans="1:6" ht="45" customHeight="1" x14ac:dyDescent="0.35">
      <c r="A35" s="425"/>
      <c r="B35" s="200" t="s">
        <v>9</v>
      </c>
      <c r="C35" s="190">
        <f>IF(C34="","",C34/C15)</f>
        <v>5.5455218821063801E-2</v>
      </c>
      <c r="D35" s="190">
        <f t="shared" ref="D35:E35" si="11">IF(D34="","",D34/D15)</f>
        <v>1.8224575212774666E-2</v>
      </c>
      <c r="E35" s="190">
        <f t="shared" si="11"/>
        <v>2.5852925014782486E-5</v>
      </c>
      <c r="F35" s="426"/>
    </row>
    <row r="36" spans="1:6" ht="15" customHeight="1" x14ac:dyDescent="0.35">
      <c r="A36" s="141"/>
      <c r="B36" s="141"/>
      <c r="C36" s="172"/>
      <c r="D36" s="172"/>
      <c r="E36" s="172"/>
      <c r="F36" s="141"/>
    </row>
    <row r="37" spans="1:6" ht="15" customHeight="1" x14ac:dyDescent="0.35">
      <c r="A37" s="141"/>
      <c r="B37" s="141"/>
      <c r="C37" s="172"/>
      <c r="D37" s="172"/>
      <c r="E37" s="172"/>
      <c r="F37" s="141"/>
    </row>
    <row r="38" spans="1:6" ht="30" customHeight="1" x14ac:dyDescent="0.35">
      <c r="A38" s="146" t="str">
        <f ca="1">TranslationsHIV!$A$128</f>
        <v>Treatment Programmatic Gap Table 2</v>
      </c>
      <c r="B38" s="147"/>
      <c r="C38" s="186"/>
      <c r="D38" s="186"/>
      <c r="E38" s="186"/>
      <c r="F38" s="148"/>
    </row>
    <row r="39" spans="1:6" ht="45" customHeight="1" x14ac:dyDescent="0.35">
      <c r="A39" s="138" t="str">
        <f ca="1">TranslationsHIV!$A$21</f>
        <v>Priority Module</v>
      </c>
      <c r="B39" s="416" t="str">
        <f ca="1">'HIV dropdown'!$A$136</f>
        <v>Treatment, care and support</v>
      </c>
      <c r="C39" s="417"/>
      <c r="D39" s="417"/>
      <c r="E39" s="417"/>
      <c r="F39" s="418"/>
    </row>
    <row r="40" spans="1:6" ht="45" customHeight="1" x14ac:dyDescent="0.35">
      <c r="A40" s="138" t="str">
        <f ca="1">TranslationsHIV!$A$22</f>
        <v>Selected coverage indicator</v>
      </c>
      <c r="B40" s="446" t="s">
        <v>1199</v>
      </c>
      <c r="C40" s="447"/>
      <c r="D40" s="447"/>
      <c r="E40" s="447"/>
      <c r="F40" s="448"/>
    </row>
    <row r="41" spans="1:6" ht="17.5" customHeight="1" thickBot="1" x14ac:dyDescent="0.4">
      <c r="A41" s="211" t="str">
        <f ca="1">TranslationsHIV!$A$24</f>
        <v>Current national coverage</v>
      </c>
      <c r="B41" s="212"/>
      <c r="C41" s="150"/>
      <c r="D41" s="150"/>
      <c r="E41" s="150"/>
      <c r="F41" s="213"/>
    </row>
    <row r="42" spans="1:6" ht="45" customHeight="1" x14ac:dyDescent="0.35">
      <c r="A42" s="131" t="str">
        <f ca="1">TranslationsHIV!$A$25</f>
        <v>Insert latest results</v>
      </c>
      <c r="B42" s="87">
        <f>24135/59768</f>
        <v>0.40381140409583721</v>
      </c>
      <c r="C42" s="149" t="str">
        <f ca="1">TranslationsHIV!$A$26</f>
        <v>Year</v>
      </c>
      <c r="D42" s="215">
        <v>2021</v>
      </c>
      <c r="E42" s="149" t="str">
        <f ca="1">TranslationsHIV!$A$27</f>
        <v>Data source</v>
      </c>
      <c r="F42" s="18" t="s">
        <v>1665</v>
      </c>
    </row>
    <row r="43" spans="1:6" ht="45" customHeight="1" x14ac:dyDescent="0.35">
      <c r="A43" s="230" t="str">
        <f ca="1">TranslationsHIV!$A$28</f>
        <v>Comments</v>
      </c>
      <c r="B43" s="437" t="s">
        <v>1758</v>
      </c>
      <c r="C43" s="451"/>
      <c r="D43" s="451"/>
      <c r="E43" s="451"/>
      <c r="F43" s="439"/>
    </row>
    <row r="44" spans="1:6" ht="45" customHeight="1" x14ac:dyDescent="0.35">
      <c r="A44" s="197"/>
      <c r="B44" s="223"/>
      <c r="C44" s="191" t="str">
        <f ca="1">TranslationsHIV!$A$29</f>
        <v>Year 1</v>
      </c>
      <c r="D44" s="130" t="str">
        <f ca="1">TranslationsHIV!$A$30</f>
        <v>Year 2</v>
      </c>
      <c r="E44" s="130" t="str">
        <f ca="1">TranslationsHIV!$A$31</f>
        <v>Year 3</v>
      </c>
      <c r="F44" s="401" t="str">
        <f ca="1">TranslationsHIV!$A$34</f>
        <v>Comments / Assumptions</v>
      </c>
    </row>
    <row r="45" spans="1:6" ht="45" customHeight="1" x14ac:dyDescent="0.35">
      <c r="A45" s="198"/>
      <c r="B45" s="224"/>
      <c r="C45" s="238">
        <v>2024</v>
      </c>
      <c r="D45" s="140">
        <v>2025</v>
      </c>
      <c r="E45" s="140">
        <v>2026</v>
      </c>
      <c r="F45" s="401"/>
    </row>
    <row r="46" spans="1:6" ht="17.5" customHeight="1" x14ac:dyDescent="0.35">
      <c r="A46" s="211" t="str">
        <f ca="1">TranslationsHIV!$A$35</f>
        <v>Current estimated country need</v>
      </c>
      <c r="B46" s="214"/>
      <c r="C46" s="150"/>
      <c r="D46" s="150"/>
      <c r="E46" s="150"/>
      <c r="F46" s="213"/>
    </row>
    <row r="47" spans="1:6" ht="45" customHeight="1" x14ac:dyDescent="0.35">
      <c r="A47" s="231" t="str">
        <f ca="1">TranslationsHIV!$A$137</f>
        <v>A. Total estimated number of all adults and/or children living with HIV</v>
      </c>
      <c r="B47" s="199" t="s">
        <v>8</v>
      </c>
      <c r="C47" s="326">
        <v>87769</v>
      </c>
      <c r="D47" s="326">
        <v>85161</v>
      </c>
      <c r="E47" s="326">
        <v>81563</v>
      </c>
      <c r="F47" s="216" t="s">
        <v>1759</v>
      </c>
    </row>
    <row r="48" spans="1:6" ht="45" customHeight="1" x14ac:dyDescent="0.35">
      <c r="A48" s="419" t="str">
        <f ca="1">TranslationsHIV!$A$109</f>
        <v>B1. Global targets as per the Global AIDS Strategy</v>
      </c>
      <c r="B48" s="200" t="s">
        <v>8</v>
      </c>
      <c r="C48" s="189">
        <f>IF(C47="","",(C47*C49))</f>
        <v>83380.55</v>
      </c>
      <c r="D48" s="189">
        <f>IF(D47="","",(D47*D49))</f>
        <v>80902.95</v>
      </c>
      <c r="E48" s="189">
        <f>IF(E47="","",(E47*E49))</f>
        <v>77484.849999999991</v>
      </c>
      <c r="F48" s="420"/>
    </row>
    <row r="49" spans="1:6" ht="45" customHeight="1" x14ac:dyDescent="0.35">
      <c r="A49" s="425"/>
      <c r="B49" s="200" t="s">
        <v>9</v>
      </c>
      <c r="C49" s="327">
        <f>95/100</f>
        <v>0.95</v>
      </c>
      <c r="D49" s="327">
        <f t="shared" ref="D49:E49" si="12">95/100</f>
        <v>0.95</v>
      </c>
      <c r="E49" s="327">
        <f t="shared" si="12"/>
        <v>0.95</v>
      </c>
      <c r="F49" s="426"/>
    </row>
    <row r="50" spans="1:6" ht="45" customHeight="1" x14ac:dyDescent="0.35">
      <c r="A50" s="419" t="str">
        <f ca="1">TranslationsHIV!$A$37</f>
        <v>B2. Country targets 
(from National Strategic Plan)</v>
      </c>
      <c r="B50" s="200" t="s">
        <v>8</v>
      </c>
      <c r="C50" s="328">
        <v>48273</v>
      </c>
      <c r="D50" s="328">
        <v>57909</v>
      </c>
      <c r="E50" s="328">
        <v>66066</v>
      </c>
      <c r="F50" s="232" t="s">
        <v>1760</v>
      </c>
    </row>
    <row r="51" spans="1:6" ht="45" customHeight="1" x14ac:dyDescent="0.35">
      <c r="A51" s="425"/>
      <c r="B51" s="200" t="s">
        <v>9</v>
      </c>
      <c r="C51" s="190">
        <f>IF(C50=0,"",+C50/C47)</f>
        <v>0.55000056967722089</v>
      </c>
      <c r="D51" s="190">
        <f>IF(D50=0,"",+D50/D47)</f>
        <v>0.67999436361714871</v>
      </c>
      <c r="E51" s="190">
        <f>IF(E50=0,"",+E50/E47)</f>
        <v>0.80999963218616289</v>
      </c>
      <c r="F51" s="232"/>
    </row>
    <row r="52" spans="1:6" ht="17.5" customHeight="1" x14ac:dyDescent="0.35">
      <c r="A52" s="211" t="str">
        <f ca="1">TranslationsHIV!$A$38</f>
        <v>Country need to meet global targets already covered</v>
      </c>
      <c r="B52" s="212"/>
      <c r="C52" s="150"/>
      <c r="D52" s="150"/>
      <c r="E52" s="150"/>
      <c r="F52" s="213"/>
    </row>
    <row r="53" spans="1:6" ht="45" customHeight="1" x14ac:dyDescent="0.35">
      <c r="A53" s="419" t="str">
        <f ca="1">TranslationsHIV!$A$39</f>
        <v>C1. Global target planned to be covered by domestic resources</v>
      </c>
      <c r="B53" s="199" t="s">
        <v>8</v>
      </c>
      <c r="C53" s="328">
        <v>482.72950000000003</v>
      </c>
      <c r="D53" s="328">
        <v>579.09480000000008</v>
      </c>
      <c r="E53" s="328">
        <v>660.66030000000001</v>
      </c>
      <c r="F53" s="420" t="s">
        <v>1762</v>
      </c>
    </row>
    <row r="54" spans="1:6" ht="45" customHeight="1" x14ac:dyDescent="0.35">
      <c r="A54" s="425"/>
      <c r="B54" s="199" t="s">
        <v>9</v>
      </c>
      <c r="C54" s="190">
        <f>IF(C53=0,"",+C53/C48)</f>
        <v>5.7894736842105266E-3</v>
      </c>
      <c r="D54" s="190">
        <f t="shared" ref="D54:E54" si="13">IF(D53=0,"",+D53/D48)</f>
        <v>7.1578947368421061E-3</v>
      </c>
      <c r="E54" s="190">
        <f t="shared" si="13"/>
        <v>8.5263157894736857E-3</v>
      </c>
      <c r="F54" s="426"/>
    </row>
    <row r="55" spans="1:6" ht="45" customHeight="1" x14ac:dyDescent="0.35">
      <c r="A55" s="419" t="str">
        <f ca="1">TranslationsHIV!$A$40</f>
        <v>C2. Global target planned to be covered by external resources</v>
      </c>
      <c r="B55" s="199" t="s">
        <v>8</v>
      </c>
      <c r="C55" s="329">
        <f>29078.2801943136-1874.95</f>
        <v>27203.330194313599</v>
      </c>
      <c r="D55" s="329">
        <f>34883-2774.48</f>
        <v>32108.52</v>
      </c>
      <c r="E55" s="329">
        <f>39796-3574.03</f>
        <v>36221.97</v>
      </c>
      <c r="F55" s="18" t="s">
        <v>1763</v>
      </c>
    </row>
    <row r="56" spans="1:6" ht="45" customHeight="1" x14ac:dyDescent="0.35">
      <c r="A56" s="425"/>
      <c r="B56" s="199" t="s">
        <v>9</v>
      </c>
      <c r="C56" s="190">
        <f>IF(C55="","",+C55/C48)</f>
        <v>0.32625510618859671</v>
      </c>
      <c r="D56" s="190">
        <f t="shared" ref="D56:E56" si="14">IF(D55="","",+D55/D48)</f>
        <v>0.39687699892278344</v>
      </c>
      <c r="E56" s="190">
        <f t="shared" si="14"/>
        <v>0.4674716412305116</v>
      </c>
      <c r="F56" s="119"/>
    </row>
    <row r="57" spans="1:6" ht="45" customHeight="1" x14ac:dyDescent="0.35">
      <c r="A57" s="419" t="str">
        <f ca="1">TranslationsHIV!$A$41</f>
        <v>C3. Total global target already covered</v>
      </c>
      <c r="B57" s="199" t="s">
        <v>8</v>
      </c>
      <c r="C57" s="330">
        <f>C53+C55</f>
        <v>27686.059694313601</v>
      </c>
      <c r="D57" s="330">
        <f t="shared" ref="D57:E57" si="15">D53+D55</f>
        <v>32687.614799999999</v>
      </c>
      <c r="E57" s="330">
        <f t="shared" si="15"/>
        <v>36882.630300000004</v>
      </c>
      <c r="F57" s="232"/>
    </row>
    <row r="58" spans="1:6" ht="45" customHeight="1" x14ac:dyDescent="0.35">
      <c r="A58" s="425"/>
      <c r="B58" s="199" t="s">
        <v>9</v>
      </c>
      <c r="C58" s="190">
        <f>IF(C57=0,"",C57/C48)</f>
        <v>0.33204457987280728</v>
      </c>
      <c r="D58" s="190">
        <f t="shared" ref="D58:E58" si="16">IF(D57=0,"",D57/D48)</f>
        <v>0.40403489365962553</v>
      </c>
      <c r="E58" s="190">
        <f t="shared" si="16"/>
        <v>0.47599795701998532</v>
      </c>
      <c r="F58" s="232"/>
    </row>
    <row r="59" spans="1:6" ht="17.5" customHeight="1" x14ac:dyDescent="0.35">
      <c r="A59" s="211" t="str">
        <f ca="1">TranslationsHIV!$A$42</f>
        <v>Programmatic gap</v>
      </c>
      <c r="B59" s="212"/>
      <c r="C59" s="150"/>
      <c r="D59" s="150"/>
      <c r="E59" s="150"/>
      <c r="F59" s="213"/>
    </row>
    <row r="60" spans="1:6" ht="45" customHeight="1" x14ac:dyDescent="0.35">
      <c r="A60" s="419" t="str">
        <f ca="1">TranslationsHIV!$A$43</f>
        <v>D. Expected annual gap in meeting the need: B1 - C3</v>
      </c>
      <c r="B60" s="199" t="s">
        <v>8</v>
      </c>
      <c r="C60" s="189">
        <f>IF(C57=0,C48,C48-(C57))</f>
        <v>55694.490305686399</v>
      </c>
      <c r="D60" s="189">
        <f t="shared" ref="D60:E60" si="17">IF(D57=0,D48,D48-(D57))</f>
        <v>48215.335200000001</v>
      </c>
      <c r="E60" s="189">
        <f t="shared" si="17"/>
        <v>40602.219699999987</v>
      </c>
      <c r="F60" s="420"/>
    </row>
    <row r="61" spans="1:6" ht="45" customHeight="1" x14ac:dyDescent="0.35">
      <c r="A61" s="425"/>
      <c r="B61" s="199" t="s">
        <v>9</v>
      </c>
      <c r="C61" s="190">
        <f>IF(C60="","",+C60/C48)</f>
        <v>0.66795542012719267</v>
      </c>
      <c r="D61" s="190">
        <f t="shared" ref="D61:E61" si="18">IF(D60="","",+D60/D48)</f>
        <v>0.59596510634037447</v>
      </c>
      <c r="E61" s="190">
        <f t="shared" si="18"/>
        <v>0.52400204298001474</v>
      </c>
      <c r="F61" s="426"/>
    </row>
    <row r="62" spans="1:6" ht="17.5" customHeight="1" x14ac:dyDescent="0.35">
      <c r="A62" s="211" t="str">
        <f ca="1">TranslationsHIV!$A$44</f>
        <v>Country need to meet global targets covered with the allocation amount</v>
      </c>
      <c r="B62" s="212"/>
      <c r="C62" s="150"/>
      <c r="D62" s="150"/>
      <c r="E62" s="150"/>
      <c r="F62" s="213"/>
    </row>
    <row r="63" spans="1:6" ht="45" customHeight="1" x14ac:dyDescent="0.35">
      <c r="A63" s="419" t="str">
        <f ca="1">TranslationsHIV!$A$45</f>
        <v>E. Targets to be financed by allocation amount</v>
      </c>
      <c r="B63" s="200" t="s">
        <v>8</v>
      </c>
      <c r="C63" s="328">
        <v>18711.940305686407</v>
      </c>
      <c r="D63" s="328">
        <v>22447.327807671601</v>
      </c>
      <c r="E63" s="328">
        <v>25609.033829374155</v>
      </c>
      <c r="F63" s="420" t="s">
        <v>1764</v>
      </c>
    </row>
    <row r="64" spans="1:6" ht="45" customHeight="1" x14ac:dyDescent="0.35">
      <c r="A64" s="425"/>
      <c r="B64" s="200" t="s">
        <v>9</v>
      </c>
      <c r="C64" s="190">
        <f>IF(C63=0,"",+C63/C48)</f>
        <v>0.22441612948926826</v>
      </c>
      <c r="D64" s="190">
        <f t="shared" ref="D64:E64" si="19">IF(D63=0,"",+D63/D48)</f>
        <v>0.27745994191400442</v>
      </c>
      <c r="E64" s="190">
        <f t="shared" si="19"/>
        <v>0.33050375433874052</v>
      </c>
      <c r="F64" s="426"/>
    </row>
    <row r="65" spans="1:6" ht="45" customHeight="1" x14ac:dyDescent="0.35">
      <c r="A65" s="419" t="str">
        <f ca="1">TranslationsHIV!$A$46</f>
        <v>F. Coverage from allocation amount and other resources: E + C3</v>
      </c>
      <c r="B65" s="200" t="s">
        <v>8</v>
      </c>
      <c r="C65" s="189">
        <f>IF(C57="",C63,C63+C57)</f>
        <v>46398.000000000007</v>
      </c>
      <c r="D65" s="189">
        <f t="shared" ref="D65:E65" si="20">IF(D57="",D63,D63+D57)</f>
        <v>55134.942607671604</v>
      </c>
      <c r="E65" s="189">
        <f t="shared" si="20"/>
        <v>62491.664129374156</v>
      </c>
      <c r="F65" s="420"/>
    </row>
    <row r="66" spans="1:6" ht="45" customHeight="1" x14ac:dyDescent="0.35">
      <c r="A66" s="425"/>
      <c r="B66" s="200" t="s">
        <v>9</v>
      </c>
      <c r="C66" s="190">
        <f>IF(C65=0,"",+C65/C48)</f>
        <v>0.55646070936207548</v>
      </c>
      <c r="D66" s="190">
        <f t="shared" ref="D66:E66" si="21">IF(D65=0,"",+D65/D48)</f>
        <v>0.68149483557363</v>
      </c>
      <c r="E66" s="190">
        <f t="shared" si="21"/>
        <v>0.80650171135872573</v>
      </c>
      <c r="F66" s="426"/>
    </row>
    <row r="67" spans="1:6" ht="45" customHeight="1" x14ac:dyDescent="0.35">
      <c r="A67" s="419" t="str">
        <f ca="1">TranslationsHIV!$A$47</f>
        <v xml:space="preserve">G. Remaining gap: B1 - F </v>
      </c>
      <c r="B67" s="200" t="s">
        <v>8</v>
      </c>
      <c r="C67" s="189">
        <f>IF(C65=0,C48,C48-(C65))</f>
        <v>36982.549999999996</v>
      </c>
      <c r="D67" s="189">
        <f t="shared" ref="D67:E67" si="22">IF(D65=0,D48,D48-(D65))</f>
        <v>25768.007392328393</v>
      </c>
      <c r="E67" s="189">
        <f t="shared" si="22"/>
        <v>14993.185870625835</v>
      </c>
      <c r="F67" s="420"/>
    </row>
    <row r="68" spans="1:6" ht="45" customHeight="1" x14ac:dyDescent="0.35">
      <c r="A68" s="425"/>
      <c r="B68" s="200" t="s">
        <v>9</v>
      </c>
      <c r="C68" s="190">
        <f>IF(C67="","",C67/C48)</f>
        <v>0.44353929063792447</v>
      </c>
      <c r="D68" s="190">
        <f t="shared" ref="D68:E68" si="23">IF(D67="","",D67/D48)</f>
        <v>0.31850516442637006</v>
      </c>
      <c r="E68" s="190">
        <f t="shared" si="23"/>
        <v>0.19349828864127422</v>
      </c>
      <c r="F68" s="426"/>
    </row>
    <row r="69" spans="1:6" ht="30" customHeight="1" x14ac:dyDescent="0.35">
      <c r="A69" s="141"/>
      <c r="B69" s="141"/>
      <c r="C69" s="172"/>
      <c r="D69" s="172"/>
      <c r="E69" s="172"/>
      <c r="F69" s="141"/>
    </row>
    <row r="70" spans="1:6" ht="30" customHeight="1" x14ac:dyDescent="0.35">
      <c r="A70" s="146" t="str">
        <f ca="1">TranslationsHIV!$A$129</f>
        <v>Treatment Programmatic Gap Table 3</v>
      </c>
      <c r="B70" s="147"/>
      <c r="C70" s="186"/>
      <c r="D70" s="186"/>
      <c r="E70" s="186"/>
      <c r="F70" s="148"/>
    </row>
    <row r="71" spans="1:6" ht="45" customHeight="1" x14ac:dyDescent="0.35">
      <c r="A71" s="217" t="str">
        <f ca="1">TranslationsHIV!$A$21</f>
        <v>Priority Module</v>
      </c>
      <c r="B71" s="440" t="str">
        <f ca="1">'HIV dropdown'!$A$136</f>
        <v>Treatment, care and support</v>
      </c>
      <c r="C71" s="441"/>
      <c r="D71" s="441"/>
      <c r="E71" s="441"/>
      <c r="F71" s="442"/>
    </row>
    <row r="72" spans="1:6" ht="45" customHeight="1" x14ac:dyDescent="0.35">
      <c r="A72" s="138" t="str">
        <f ca="1">TranslationsHIV!$A$22</f>
        <v>Selected coverage indicator</v>
      </c>
      <c r="B72" s="446" t="s">
        <v>1193</v>
      </c>
      <c r="C72" s="447"/>
      <c r="D72" s="447"/>
      <c r="E72" s="447"/>
      <c r="F72" s="448"/>
    </row>
    <row r="73" spans="1:6" ht="17.5" customHeight="1" thickBot="1" x14ac:dyDescent="0.4">
      <c r="A73" s="211" t="str">
        <f ca="1">TranslationsHIV!$A$24</f>
        <v>Current national coverage</v>
      </c>
      <c r="B73" s="212"/>
      <c r="C73" s="150"/>
      <c r="D73" s="150"/>
      <c r="E73" s="150"/>
      <c r="F73" s="213"/>
    </row>
    <row r="74" spans="1:6" ht="45" customHeight="1" x14ac:dyDescent="0.35">
      <c r="A74" s="131" t="str">
        <f ca="1">TranslationsHIV!$A$25</f>
        <v>Insert latest results</v>
      </c>
      <c r="B74" s="87">
        <v>0.82010000000000005</v>
      </c>
      <c r="C74" s="149" t="str">
        <f ca="1">TranslationsHIV!$A$26</f>
        <v>Year</v>
      </c>
      <c r="D74" s="215">
        <v>2021</v>
      </c>
      <c r="E74" s="149" t="str">
        <f ca="1">TranslationsHIV!$A$27</f>
        <v>Data source</v>
      </c>
      <c r="F74" s="18" t="s">
        <v>1666</v>
      </c>
    </row>
    <row r="75" spans="1:6" ht="45" customHeight="1" x14ac:dyDescent="0.35">
      <c r="A75" s="230" t="str">
        <f ca="1">TranslationsHIV!$A$28</f>
        <v>Comments</v>
      </c>
      <c r="B75" s="437" t="s">
        <v>1765</v>
      </c>
      <c r="C75" s="451"/>
      <c r="D75" s="451"/>
      <c r="E75" s="451"/>
      <c r="F75" s="439"/>
    </row>
    <row r="76" spans="1:6" ht="45" customHeight="1" x14ac:dyDescent="0.35">
      <c r="A76" s="197"/>
      <c r="B76" s="223"/>
      <c r="C76" s="191" t="str">
        <f ca="1">TranslationsHIV!$A$29</f>
        <v>Year 1</v>
      </c>
      <c r="D76" s="130" t="str">
        <f ca="1">TranslationsHIV!$A$30</f>
        <v>Year 2</v>
      </c>
      <c r="E76" s="130" t="str">
        <f ca="1">TranslationsHIV!$A$31</f>
        <v>Year 3</v>
      </c>
      <c r="F76" s="401" t="str">
        <f ca="1">TranslationsHIV!$A$34</f>
        <v>Comments / Assumptions</v>
      </c>
    </row>
    <row r="77" spans="1:6" ht="45" customHeight="1" x14ac:dyDescent="0.35">
      <c r="A77" s="198"/>
      <c r="B77" s="224"/>
      <c r="C77" s="238">
        <v>2024</v>
      </c>
      <c r="D77" s="140">
        <v>2025</v>
      </c>
      <c r="E77" s="140">
        <v>2026</v>
      </c>
      <c r="F77" s="401"/>
    </row>
    <row r="78" spans="1:6" ht="17.5" customHeight="1" x14ac:dyDescent="0.35">
      <c r="A78" s="211" t="str">
        <f ca="1">TranslationsHIV!$A$35</f>
        <v>Current estimated country need</v>
      </c>
      <c r="B78" s="214"/>
      <c r="C78" s="150"/>
      <c r="D78" s="150"/>
      <c r="E78" s="150"/>
      <c r="F78" s="213"/>
    </row>
    <row r="79" spans="1:6" ht="45" customHeight="1" x14ac:dyDescent="0.35">
      <c r="A79" s="231" t="str">
        <f ca="1">TranslationsHIV!$A$137</f>
        <v>A. Total estimated number of all adults and/or children living with HIV</v>
      </c>
      <c r="B79" s="199" t="s">
        <v>8</v>
      </c>
      <c r="C79" s="326">
        <f>+C47+C14</f>
        <v>517375</v>
      </c>
      <c r="D79" s="326">
        <f>+D47+D14</f>
        <v>517111</v>
      </c>
      <c r="E79" s="326">
        <f>+E47+E14</f>
        <v>515190</v>
      </c>
      <c r="F79" s="216" t="s">
        <v>1754</v>
      </c>
    </row>
    <row r="80" spans="1:6" ht="45" customHeight="1" x14ac:dyDescent="0.35">
      <c r="A80" s="419" t="str">
        <f ca="1">TranslationsHIV!$A$109</f>
        <v>B1. Global targets as per the Global AIDS Strategy</v>
      </c>
      <c r="B80" s="200" t="s">
        <v>8</v>
      </c>
      <c r="C80" s="189">
        <f>IF(C79="","",(C79*C81))</f>
        <v>491506.25</v>
      </c>
      <c r="D80" s="189">
        <f>IF(D79="","",(D79*D81))</f>
        <v>491255.44999999995</v>
      </c>
      <c r="E80" s="189">
        <f>IF(E79="","",(E79*E81))</f>
        <v>489430.5</v>
      </c>
      <c r="F80" s="420"/>
    </row>
    <row r="81" spans="1:6" ht="45" customHeight="1" x14ac:dyDescent="0.35">
      <c r="A81" s="425"/>
      <c r="B81" s="200" t="s">
        <v>9</v>
      </c>
      <c r="C81" s="327">
        <f>95/100</f>
        <v>0.95</v>
      </c>
      <c r="D81" s="327">
        <f t="shared" ref="D81:E81" si="24">95/100</f>
        <v>0.95</v>
      </c>
      <c r="E81" s="327">
        <f t="shared" si="24"/>
        <v>0.95</v>
      </c>
      <c r="F81" s="426"/>
    </row>
    <row r="82" spans="1:6" ht="45" customHeight="1" x14ac:dyDescent="0.35">
      <c r="A82" s="419" t="str">
        <f ca="1">TranslationsHIV!$A$37</f>
        <v>B2. Country targets 
(from National Strategic Plan)</v>
      </c>
      <c r="B82" s="200" t="s">
        <v>8</v>
      </c>
      <c r="C82" s="326">
        <f>+C50+C17</f>
        <v>439214</v>
      </c>
      <c r="D82" s="326">
        <f>+D50+D17</f>
        <v>459623</v>
      </c>
      <c r="E82" s="326">
        <f>+E50+E17</f>
        <v>478012</v>
      </c>
      <c r="F82" s="232" t="s">
        <v>1766</v>
      </c>
    </row>
    <row r="83" spans="1:6" ht="45" customHeight="1" x14ac:dyDescent="0.35">
      <c r="A83" s="425"/>
      <c r="B83" s="200" t="s">
        <v>9</v>
      </c>
      <c r="C83" s="190">
        <f>IF(C82=0,"",+C82/C79)</f>
        <v>0.84892776032858175</v>
      </c>
      <c r="D83" s="190">
        <f>IF(D82=0,"",+D82/D79)</f>
        <v>0.88882851070659874</v>
      </c>
      <c r="E83" s="190">
        <f>IF(E82=0,"",+E82/E79)</f>
        <v>0.92783633222694539</v>
      </c>
      <c r="F83" s="232"/>
    </row>
    <row r="84" spans="1:6" ht="17.5" customHeight="1" x14ac:dyDescent="0.35">
      <c r="A84" s="211" t="str">
        <f ca="1">TranslationsHIV!$A$38</f>
        <v>Country need to meet global targets already covered</v>
      </c>
      <c r="B84" s="212"/>
      <c r="C84" s="150"/>
      <c r="D84" s="150"/>
      <c r="E84" s="150"/>
      <c r="F84" s="213"/>
    </row>
    <row r="85" spans="1:6" ht="45" customHeight="1" x14ac:dyDescent="0.35">
      <c r="A85" s="419" t="str">
        <f ca="1">TranslationsHIV!$A$39</f>
        <v>C1. Global target planned to be covered by domestic resources</v>
      </c>
      <c r="B85" s="199" t="s">
        <v>8</v>
      </c>
      <c r="C85" s="326">
        <f>+C53+C20</f>
        <v>4392.1441000000004</v>
      </c>
      <c r="D85" s="326">
        <f>+D53+D20</f>
        <v>4596.2298000000001</v>
      </c>
      <c r="E85" s="326">
        <f>+E53+E20</f>
        <v>4780.1167999999998</v>
      </c>
      <c r="F85" s="420" t="s">
        <v>1756</v>
      </c>
    </row>
    <row r="86" spans="1:6" ht="45" customHeight="1" x14ac:dyDescent="0.35">
      <c r="A86" s="425"/>
      <c r="B86" s="199" t="s">
        <v>9</v>
      </c>
      <c r="C86" s="190">
        <f>IF(C85=0,"",+C85/C80)</f>
        <v>8.9360900293739918E-3</v>
      </c>
      <c r="D86" s="190">
        <f t="shared" ref="D86:E86" si="25">IF(D85=0,"",+D85/D80)</f>
        <v>9.3560891792650869E-3</v>
      </c>
      <c r="E86" s="190">
        <f t="shared" si="25"/>
        <v>9.7666916957565991E-3</v>
      </c>
      <c r="F86" s="426"/>
    </row>
    <row r="87" spans="1:6" ht="45" customHeight="1" x14ac:dyDescent="0.35">
      <c r="A87" s="419" t="str">
        <f ca="1">TranslationsHIV!$A$40</f>
        <v>C2. Global target planned to be covered by external resources</v>
      </c>
      <c r="B87" s="199" t="s">
        <v>8</v>
      </c>
      <c r="C87" s="326">
        <f>+C55+C22</f>
        <v>177822.98407065365</v>
      </c>
      <c r="D87" s="326">
        <f>+D55+D22</f>
        <v>193637.45025977099</v>
      </c>
      <c r="E87" s="326">
        <f>+E55+E22</f>
        <v>200664.53664032003</v>
      </c>
      <c r="F87" s="18" t="s">
        <v>1767</v>
      </c>
    </row>
    <row r="88" spans="1:6" ht="45" customHeight="1" x14ac:dyDescent="0.35">
      <c r="A88" s="425"/>
      <c r="B88" s="199" t="s">
        <v>9</v>
      </c>
      <c r="C88" s="190">
        <f>IF(C87="","",+C87/C80)</f>
        <v>0.36179190818154122</v>
      </c>
      <c r="D88" s="190">
        <f t="shared" ref="D88:E88" si="26">IF(D87="","",+D87/D80)</f>
        <v>0.39416855377333931</v>
      </c>
      <c r="E88" s="190">
        <f t="shared" si="26"/>
        <v>0.40999597826518785</v>
      </c>
      <c r="F88" s="119"/>
    </row>
    <row r="89" spans="1:6" ht="45" customHeight="1" x14ac:dyDescent="0.35">
      <c r="A89" s="419" t="str">
        <f ca="1">TranslationsHIV!$A$41</f>
        <v>C3. Total global target already covered</v>
      </c>
      <c r="B89" s="199" t="s">
        <v>8</v>
      </c>
      <c r="C89" s="330">
        <f>C85+C87</f>
        <v>182215.12817065365</v>
      </c>
      <c r="D89" s="330">
        <f t="shared" ref="D89:E89" si="27">D85+D87</f>
        <v>198233.680059771</v>
      </c>
      <c r="E89" s="330">
        <f t="shared" si="27"/>
        <v>205444.65344032002</v>
      </c>
      <c r="F89" s="232"/>
    </row>
    <row r="90" spans="1:6" ht="45" customHeight="1" x14ac:dyDescent="0.35">
      <c r="A90" s="425"/>
      <c r="B90" s="199" t="s">
        <v>9</v>
      </c>
      <c r="C90" s="190">
        <f>IF(C89=0,"",C89/C80)</f>
        <v>0.37072799821091523</v>
      </c>
      <c r="D90" s="190">
        <f t="shared" ref="D90:E90" si="28">IF(D89=0,"",D89/D80)</f>
        <v>0.40352464295260443</v>
      </c>
      <c r="E90" s="190">
        <f t="shared" si="28"/>
        <v>0.41976266996094447</v>
      </c>
      <c r="F90" s="232"/>
    </row>
    <row r="91" spans="1:6" ht="17.5" customHeight="1" x14ac:dyDescent="0.35">
      <c r="A91" s="211" t="str">
        <f ca="1">TranslationsHIV!$A$42</f>
        <v>Programmatic gap</v>
      </c>
      <c r="B91" s="212"/>
      <c r="C91" s="150"/>
      <c r="D91" s="150"/>
      <c r="E91" s="150"/>
      <c r="F91" s="213"/>
    </row>
    <row r="92" spans="1:6" ht="45" customHeight="1" x14ac:dyDescent="0.35">
      <c r="A92" s="419" t="str">
        <f ca="1">TranslationsHIV!$A$43</f>
        <v>D. Expected annual gap in meeting the need: B1 - C3</v>
      </c>
      <c r="B92" s="199" t="s">
        <v>8</v>
      </c>
      <c r="C92" s="189">
        <f>IF(C89=0,C80,C80-(C89))</f>
        <v>309291.12182934635</v>
      </c>
      <c r="D92" s="189">
        <f t="shared" ref="D92:E92" si="29">IF(D89=0,D80,D80-(D89))</f>
        <v>293021.76994022896</v>
      </c>
      <c r="E92" s="189">
        <f t="shared" si="29"/>
        <v>283985.84655967995</v>
      </c>
      <c r="F92" s="420"/>
    </row>
    <row r="93" spans="1:6" ht="45" customHeight="1" x14ac:dyDescent="0.35">
      <c r="A93" s="425"/>
      <c r="B93" s="199" t="s">
        <v>9</v>
      </c>
      <c r="C93" s="190">
        <f>IF(C92="","",+C92/C80)</f>
        <v>0.62927200178908482</v>
      </c>
      <c r="D93" s="190">
        <f t="shared" ref="D93:E93" si="30">IF(D92="","",+D92/D80)</f>
        <v>0.59647535704739563</v>
      </c>
      <c r="E93" s="190">
        <f t="shared" si="30"/>
        <v>0.58023733003905553</v>
      </c>
      <c r="F93" s="426"/>
    </row>
    <row r="94" spans="1:6" ht="17.5" customHeight="1" x14ac:dyDescent="0.35">
      <c r="A94" s="211" t="str">
        <f ca="1">TranslationsHIV!$A$44</f>
        <v>Country need to meet global targets covered with the allocation amount</v>
      </c>
      <c r="B94" s="212"/>
      <c r="C94" s="150"/>
      <c r="D94" s="150"/>
      <c r="E94" s="150"/>
      <c r="F94" s="213"/>
    </row>
    <row r="95" spans="1:6" ht="45" customHeight="1" x14ac:dyDescent="0.35">
      <c r="A95" s="419" t="str">
        <f ca="1">TranslationsHIV!$A$45</f>
        <v>E. Targets to be financed by allocation amount</v>
      </c>
      <c r="B95" s="200" t="s">
        <v>8</v>
      </c>
      <c r="C95" s="326">
        <f>+C63+C30</f>
        <v>249675.87182934646</v>
      </c>
      <c r="D95" s="326">
        <f>+D63+D30</f>
        <v>259775.26254790049</v>
      </c>
      <c r="E95" s="326">
        <f>+E63+E30</f>
        <v>268982.01068905444</v>
      </c>
      <c r="F95" s="420" t="s">
        <v>1768</v>
      </c>
    </row>
    <row r="96" spans="1:6" ht="45" customHeight="1" x14ac:dyDescent="0.35">
      <c r="A96" s="425"/>
      <c r="B96" s="200" t="s">
        <v>9</v>
      </c>
      <c r="C96" s="190">
        <f>IF(C95=0,"",+C95/C80)</f>
        <v>0.50798107212135446</v>
      </c>
      <c r="D96" s="190">
        <f t="shared" ref="D96:E96" si="31">IF(D95=0,"",+D95/D80)</f>
        <v>0.52879873912421838</v>
      </c>
      <c r="E96" s="190">
        <f t="shared" si="31"/>
        <v>0.54958162739971139</v>
      </c>
      <c r="F96" s="426"/>
    </row>
    <row r="97" spans="1:6" ht="45" customHeight="1" x14ac:dyDescent="0.35">
      <c r="A97" s="419" t="str">
        <f ca="1">TranslationsHIV!$A$46</f>
        <v>F. Coverage from allocation amount and other resources: E + C3</v>
      </c>
      <c r="B97" s="200" t="s">
        <v>8</v>
      </c>
      <c r="C97" s="189">
        <f>IF(C89="",C95,C95+C89)</f>
        <v>431891.00000000012</v>
      </c>
      <c r="D97" s="189">
        <f t="shared" ref="D97:E97" si="32">IF(D89="",D95,D95+D89)</f>
        <v>458008.94260767149</v>
      </c>
      <c r="E97" s="189">
        <f t="shared" si="32"/>
        <v>474426.66412937443</v>
      </c>
      <c r="F97" s="420"/>
    </row>
    <row r="98" spans="1:6" ht="45" customHeight="1" x14ac:dyDescent="0.35">
      <c r="A98" s="425"/>
      <c r="B98" s="200" t="s">
        <v>9</v>
      </c>
      <c r="C98" s="190">
        <f>IF(C97=0,"",+C97/C80)</f>
        <v>0.87870907033226964</v>
      </c>
      <c r="D98" s="190">
        <f t="shared" ref="D98:E98" si="33">IF(D97=0,"",+D97/D80)</f>
        <v>0.93232338207682286</v>
      </c>
      <c r="E98" s="190">
        <f t="shared" si="33"/>
        <v>0.96934429736065575</v>
      </c>
      <c r="F98" s="426"/>
    </row>
    <row r="99" spans="1:6" ht="45" customHeight="1" x14ac:dyDescent="0.35">
      <c r="A99" s="419" t="str">
        <f ca="1">TranslationsHIV!$A$47</f>
        <v xml:space="preserve">G. Remaining gap: B1 - F </v>
      </c>
      <c r="B99" s="200" t="s">
        <v>8</v>
      </c>
      <c r="C99" s="189">
        <f>IF(C97=0,C80,C80-(C97))</f>
        <v>59615.249999999884</v>
      </c>
      <c r="D99" s="189">
        <f t="shared" ref="D99:E99" si="34">IF(D97=0,D80,D80-(D97))</f>
        <v>33246.507392328465</v>
      </c>
      <c r="E99" s="189">
        <f t="shared" si="34"/>
        <v>15003.835870625568</v>
      </c>
      <c r="F99" s="420"/>
    </row>
    <row r="100" spans="1:6" ht="45" customHeight="1" x14ac:dyDescent="0.35">
      <c r="A100" s="449"/>
      <c r="B100" s="239" t="s">
        <v>9</v>
      </c>
      <c r="C100" s="190">
        <f>IF(C99="","",C99/C80)</f>
        <v>0.12129092966773034</v>
      </c>
      <c r="D100" s="190">
        <f t="shared" ref="D100:E100" si="35">IF(D99="","",D99/D80)</f>
        <v>6.7676617923177168E-2</v>
      </c>
      <c r="E100" s="190">
        <f t="shared" si="35"/>
        <v>3.0655702639344234E-2</v>
      </c>
      <c r="F100" s="450"/>
    </row>
    <row r="101" spans="1:6" x14ac:dyDescent="0.35">
      <c r="A101" s="427" t="s">
        <v>10</v>
      </c>
      <c r="B101" s="428"/>
      <c r="C101" s="428"/>
      <c r="D101" s="428"/>
      <c r="E101" s="428"/>
      <c r="F101" s="429"/>
    </row>
    <row r="102" spans="1:6" x14ac:dyDescent="0.35">
      <c r="A102" s="430"/>
      <c r="B102" s="431"/>
      <c r="C102" s="431"/>
      <c r="D102" s="431"/>
      <c r="E102" s="431"/>
      <c r="F102" s="432"/>
    </row>
    <row r="103" spans="1:6" x14ac:dyDescent="0.35">
      <c r="A103" s="430"/>
      <c r="B103" s="431"/>
      <c r="C103" s="431"/>
      <c r="D103" s="431"/>
      <c r="E103" s="431"/>
      <c r="F103" s="432"/>
    </row>
    <row r="104" spans="1:6" x14ac:dyDescent="0.35">
      <c r="A104" s="430"/>
      <c r="B104" s="431"/>
      <c r="C104" s="431"/>
      <c r="D104" s="431"/>
      <c r="E104" s="431"/>
      <c r="F104" s="432"/>
    </row>
    <row r="105" spans="1:6" x14ac:dyDescent="0.35">
      <c r="A105" s="430"/>
      <c r="B105" s="431"/>
      <c r="C105" s="431"/>
      <c r="D105" s="431"/>
      <c r="E105" s="431"/>
      <c r="F105" s="432"/>
    </row>
    <row r="106" spans="1:6" x14ac:dyDescent="0.35">
      <c r="A106" s="430"/>
      <c r="B106" s="431"/>
      <c r="C106" s="431"/>
      <c r="D106" s="431"/>
      <c r="E106" s="431"/>
      <c r="F106" s="432"/>
    </row>
    <row r="107" spans="1:6" x14ac:dyDescent="0.35">
      <c r="A107" s="430"/>
      <c r="B107" s="431"/>
      <c r="C107" s="431"/>
      <c r="D107" s="431"/>
      <c r="E107" s="431"/>
      <c r="F107" s="432"/>
    </row>
    <row r="108" spans="1:6" x14ac:dyDescent="0.35">
      <c r="A108" s="430"/>
      <c r="B108" s="431"/>
      <c r="C108" s="431"/>
      <c r="D108" s="431"/>
      <c r="E108" s="431"/>
      <c r="F108" s="432"/>
    </row>
    <row r="109" spans="1:6" x14ac:dyDescent="0.35">
      <c r="A109" s="430"/>
      <c r="B109" s="431"/>
      <c r="C109" s="431"/>
      <c r="D109" s="431"/>
      <c r="E109" s="431"/>
      <c r="F109" s="432"/>
    </row>
    <row r="110" spans="1:6" x14ac:dyDescent="0.35">
      <c r="A110" s="430"/>
      <c r="B110" s="431"/>
      <c r="C110" s="431"/>
      <c r="D110" s="431"/>
      <c r="E110" s="431"/>
      <c r="F110" s="432"/>
    </row>
    <row r="111" spans="1:6" x14ac:dyDescent="0.35">
      <c r="A111" s="433"/>
      <c r="B111" s="434"/>
      <c r="C111" s="434"/>
      <c r="D111" s="434"/>
      <c r="E111" s="434"/>
      <c r="F111" s="435"/>
    </row>
  </sheetData>
  <sheetProtection algorithmName="SHA-512" hashValue="Bd9FoAZLlgCeCiDBI/+RXzAQnM0dk2nXtd0MxvbiXrsoZ4MvzoJ21FaSNxjAnyy0g9wvJxX+DH6mlD/j8iYRGg==" saltValue="4dJHyWR89tD+72M9gwebtg==" spinCount="100000" sheet="1" formatColumns="0" formatRows="0"/>
  <mergeCells count="63">
    <mergeCell ref="F80:F81"/>
    <mergeCell ref="F63:F64"/>
    <mergeCell ref="A63:A64"/>
    <mergeCell ref="F67:F68"/>
    <mergeCell ref="B71:F71"/>
    <mergeCell ref="A53:A54"/>
    <mergeCell ref="A50:A51"/>
    <mergeCell ref="A55:A56"/>
    <mergeCell ref="A57:A58"/>
    <mergeCell ref="B39:F39"/>
    <mergeCell ref="B40:F40"/>
    <mergeCell ref="B43:F43"/>
    <mergeCell ref="F44:F45"/>
    <mergeCell ref="A48:A49"/>
    <mergeCell ref="F48:F49"/>
    <mergeCell ref="A99:A100"/>
    <mergeCell ref="F99:F100"/>
    <mergeCell ref="B72:F72"/>
    <mergeCell ref="A92:A93"/>
    <mergeCell ref="F92:F93"/>
    <mergeCell ref="F95:F96"/>
    <mergeCell ref="A97:A98"/>
    <mergeCell ref="F97:F98"/>
    <mergeCell ref="A82:A83"/>
    <mergeCell ref="A85:A86"/>
    <mergeCell ref="F85:F86"/>
    <mergeCell ref="A87:A88"/>
    <mergeCell ref="A89:A90"/>
    <mergeCell ref="B75:F75"/>
    <mergeCell ref="F76:F77"/>
    <mergeCell ref="A80:A81"/>
    <mergeCell ref="A101:F111"/>
    <mergeCell ref="F53:F54"/>
    <mergeCell ref="A1:E1"/>
    <mergeCell ref="A2:E2"/>
    <mergeCell ref="A3:E3"/>
    <mergeCell ref="A4:F4"/>
    <mergeCell ref="B10:F10"/>
    <mergeCell ref="B6:F6"/>
    <mergeCell ref="F1:F3"/>
    <mergeCell ref="B7:F7"/>
    <mergeCell ref="F11:F12"/>
    <mergeCell ref="A17:A18"/>
    <mergeCell ref="A34:A35"/>
    <mergeCell ref="F15:F16"/>
    <mergeCell ref="F30:F31"/>
    <mergeCell ref="A67:A68"/>
    <mergeCell ref="A15:A16"/>
    <mergeCell ref="A60:A61"/>
    <mergeCell ref="A95:A96"/>
    <mergeCell ref="F27:F28"/>
    <mergeCell ref="F20:F21"/>
    <mergeCell ref="F32:F33"/>
    <mergeCell ref="F34:F35"/>
    <mergeCell ref="A30:A31"/>
    <mergeCell ref="A22:A23"/>
    <mergeCell ref="A24:A25"/>
    <mergeCell ref="A20:A21"/>
    <mergeCell ref="A27:A28"/>
    <mergeCell ref="A32:A33"/>
    <mergeCell ref="F60:F61"/>
    <mergeCell ref="A65:A66"/>
    <mergeCell ref="F65:F66"/>
  </mergeCells>
  <pageMargins left="0.7" right="0.7" top="0.75" bottom="0.75" header="0.3" footer="0.3"/>
  <pageSetup paperSize="8" scale="83" fitToHeight="0" orientation="portrait" r:id="rId1"/>
  <rowBreaks count="3" manualBreakCount="3">
    <brk id="33" max="5" man="1"/>
    <brk id="66" max="5" man="1"/>
    <brk id="98" max="5" man="1"/>
  </rowBreaks>
  <extLst>
    <ext xmlns:x14="http://schemas.microsoft.com/office/spreadsheetml/2009/9/main" uri="{CCE6A557-97BC-4b89-ADB6-D9C93CAAB3DF}">
      <x14:dataValidations xmlns:xm="http://schemas.microsoft.com/office/excel/2006/main" xWindow="704" yWindow="459" count="1">
        <x14:dataValidation type="list" allowBlank="1" showInputMessage="1" showErrorMessage="1" xr:uid="{3E667131-4C64-4895-B420-983F2695FFE0}">
          <x14:formula1>
            <xm:f>'HIV dropdown'!$G$136:$G$139</xm:f>
          </x14:formula1>
          <xm:sqref>B7:F7 B40:F40 B72:F72</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08A477-868C-4BD8-B309-E45EADEA8F75}">
  <sheetPr codeName="Sheet6">
    <tabColor rgb="FFFF5050"/>
    <pageSetUpPr fitToPage="1"/>
  </sheetPr>
  <dimension ref="A1:U46"/>
  <sheetViews>
    <sheetView view="pageBreakPreview" topLeftCell="A21" zoomScale="80" zoomScaleNormal="80" zoomScaleSheetLayoutView="80" zoomScalePageLayoutView="80" workbookViewId="0">
      <selection activeCell="D24" sqref="D24"/>
    </sheetView>
  </sheetViews>
  <sheetFormatPr defaultColWidth="9" defaultRowHeight="14.5" x14ac:dyDescent="0.35"/>
  <cols>
    <col min="1" max="1" width="30.58203125" style="46" customWidth="1"/>
    <col min="2" max="2" width="11.58203125" style="46" customWidth="1"/>
    <col min="3" max="5" width="11.58203125" style="173" customWidth="1"/>
    <col min="6" max="6" width="68.33203125" style="46" customWidth="1"/>
    <col min="7" max="7" width="21.58203125" style="46" customWidth="1"/>
    <col min="8" max="8" width="9" style="46"/>
    <col min="9" max="9" width="10.08203125" style="46" customWidth="1"/>
    <col min="10" max="10" width="10.58203125" style="46" customWidth="1"/>
    <col min="11" max="11" width="12.08203125" style="46" customWidth="1"/>
    <col min="12" max="16384" width="9" style="46"/>
  </cols>
  <sheetData>
    <row r="1" spans="1:21" s="12" customFormat="1" ht="22" customHeight="1" x14ac:dyDescent="0.3">
      <c r="A1" s="421" t="s">
        <v>3</v>
      </c>
      <c r="B1" s="421"/>
      <c r="C1" s="421"/>
      <c r="D1" s="421"/>
      <c r="E1" s="421"/>
      <c r="F1" s="443" t="str">
        <f ca="1">TranslationsHIV!$G$118</f>
        <v>Latest version updated: 13 March 2023</v>
      </c>
      <c r="G1" s="3"/>
      <c r="H1" s="1"/>
      <c r="I1" s="1"/>
      <c r="J1" s="1"/>
      <c r="K1" s="1"/>
      <c r="L1" s="1"/>
      <c r="M1" s="1"/>
      <c r="N1" s="2"/>
      <c r="O1" s="2"/>
      <c r="P1" s="2"/>
      <c r="Q1" s="2"/>
      <c r="R1" s="2"/>
      <c r="S1" s="2"/>
      <c r="T1" s="2"/>
      <c r="U1" s="2"/>
    </row>
    <row r="2" spans="1:21" s="12" customFormat="1" ht="22" customHeight="1" x14ac:dyDescent="0.3">
      <c r="A2" s="421" t="s">
        <v>4</v>
      </c>
      <c r="B2" s="421"/>
      <c r="C2" s="421"/>
      <c r="D2" s="421"/>
      <c r="E2" s="421"/>
      <c r="F2" s="444"/>
      <c r="G2" s="3"/>
      <c r="H2" s="1"/>
      <c r="I2" s="1"/>
      <c r="J2" s="1"/>
      <c r="K2" s="1"/>
      <c r="L2" s="1"/>
      <c r="M2" s="1"/>
      <c r="N2" s="2"/>
      <c r="O2" s="2"/>
      <c r="P2" s="2"/>
      <c r="Q2" s="2"/>
      <c r="R2" s="2"/>
      <c r="S2" s="2"/>
      <c r="T2" s="2"/>
      <c r="U2" s="2"/>
    </row>
    <row r="3" spans="1:21" s="12" customFormat="1" ht="22" customHeight="1" x14ac:dyDescent="0.3">
      <c r="A3" s="421" t="s">
        <v>5</v>
      </c>
      <c r="B3" s="421"/>
      <c r="C3" s="421"/>
      <c r="D3" s="421"/>
      <c r="E3" s="421"/>
      <c r="F3" s="445"/>
      <c r="G3" s="3"/>
      <c r="H3" s="1"/>
      <c r="I3" s="1"/>
      <c r="J3" s="1"/>
      <c r="K3" s="1"/>
      <c r="L3" s="1"/>
      <c r="M3" s="1"/>
      <c r="N3" s="2"/>
      <c r="O3" s="2"/>
      <c r="P3" s="2"/>
      <c r="Q3" s="2"/>
      <c r="R3" s="2"/>
      <c r="S3" s="2"/>
      <c r="T3" s="2"/>
      <c r="U3" s="2"/>
    </row>
    <row r="4" spans="1:21" ht="46.5" customHeight="1" x14ac:dyDescent="0.35">
      <c r="A4" s="436" t="str">
        <f ca="1">TranslationsHIV!$G$116</f>
        <v xml:space="preserve">Carefully read the instructions in the "Instructions" tab before completing the programmatic gap analysis table. 
The instructions have been tailored to each specific module/intervention. </v>
      </c>
      <c r="B4" s="436"/>
      <c r="C4" s="436"/>
      <c r="D4" s="436"/>
      <c r="E4" s="436"/>
      <c r="F4" s="436"/>
      <c r="G4" s="88"/>
    </row>
    <row r="5" spans="1:21" ht="21" customHeight="1" x14ac:dyDescent="0.35">
      <c r="A5" s="240" t="str">
        <f ca="1">TranslationsHIV!$A$130</f>
        <v>EMTCT Programmatic Gap Table 1</v>
      </c>
      <c r="B5" s="241"/>
      <c r="C5" s="242"/>
      <c r="D5" s="242"/>
      <c r="E5" s="243"/>
      <c r="F5" s="244"/>
    </row>
    <row r="6" spans="1:21" ht="45" customHeight="1" x14ac:dyDescent="0.35">
      <c r="A6" s="129" t="str">
        <f ca="1">TranslationsHIV!$A$21</f>
        <v>Priority Module</v>
      </c>
      <c r="B6" s="440" t="str">
        <f ca="1">'HIV dropdown'!$A$144</f>
        <v>Elimination of vertical transmission of HIV, syphilis and hepatitis B</v>
      </c>
      <c r="C6" s="441"/>
      <c r="D6" s="441"/>
      <c r="E6" s="441"/>
      <c r="F6" s="442"/>
    </row>
    <row r="7" spans="1:21" ht="45" customHeight="1" x14ac:dyDescent="0.35">
      <c r="A7" s="129" t="str">
        <f ca="1">TranslationsHIV!$A$22</f>
        <v>Selected coverage indicator</v>
      </c>
      <c r="B7" s="416" t="str">
        <f ca="1">'HIV dropdown'!G144</f>
        <v>Percentage of pregnant women living with HIV who received antiretroviral medicine to reduce the risk of vertical transmission of HIV</v>
      </c>
      <c r="C7" s="417"/>
      <c r="D7" s="417"/>
      <c r="E7" s="417"/>
      <c r="F7" s="418"/>
    </row>
    <row r="8" spans="1:21" ht="21" customHeight="1" thickBot="1" x14ac:dyDescent="0.4">
      <c r="A8" s="211" t="str">
        <f ca="1">TranslationsHIV!$A$24</f>
        <v>Current national coverage</v>
      </c>
      <c r="B8" s="212"/>
      <c r="C8" s="150"/>
      <c r="D8" s="150"/>
      <c r="E8" s="150"/>
      <c r="F8" s="213"/>
    </row>
    <row r="9" spans="1:21" ht="45" customHeight="1" x14ac:dyDescent="0.35">
      <c r="A9" s="129" t="str">
        <f ca="1">TranslationsHIV!$A$25</f>
        <v>Insert latest results</v>
      </c>
      <c r="B9" s="87">
        <f>11331/28995</f>
        <v>0.39079151577858251</v>
      </c>
      <c r="C9" s="151" t="str">
        <f ca="1">TranslationsHIV!$A$26</f>
        <v>Year</v>
      </c>
      <c r="D9" s="215">
        <v>2021</v>
      </c>
      <c r="E9" s="151" t="str">
        <f ca="1">TranslationsHIV!$A$27</f>
        <v>Data source</v>
      </c>
      <c r="F9" s="18" t="s">
        <v>1747</v>
      </c>
    </row>
    <row r="10" spans="1:21" ht="45" customHeight="1" x14ac:dyDescent="0.35">
      <c r="A10" s="133" t="str">
        <f ca="1">TranslationsHIV!$A$28</f>
        <v>Comments</v>
      </c>
      <c r="B10" s="437" t="s">
        <v>1748</v>
      </c>
      <c r="C10" s="451"/>
      <c r="D10" s="451"/>
      <c r="E10" s="451"/>
      <c r="F10" s="439"/>
    </row>
    <row r="11" spans="1:21" ht="45" customHeight="1" x14ac:dyDescent="0.35">
      <c r="A11" s="193"/>
      <c r="B11" s="218"/>
      <c r="C11" s="246" t="str">
        <f ca="1">TranslationsHIV!$A$29</f>
        <v>Year 1</v>
      </c>
      <c r="D11" s="155" t="str">
        <f ca="1">TranslationsHIV!$A$30</f>
        <v>Year 2</v>
      </c>
      <c r="E11" s="155" t="str">
        <f ca="1">TranslationsHIV!$A$31</f>
        <v>Year 3</v>
      </c>
      <c r="F11" s="452" t="str">
        <f ca="1">TranslationsHIV!$A$34</f>
        <v>Comments / Assumptions</v>
      </c>
    </row>
    <row r="12" spans="1:21" ht="45" customHeight="1" x14ac:dyDescent="0.35">
      <c r="A12" s="194"/>
      <c r="B12" s="219"/>
      <c r="C12" s="238">
        <v>2024</v>
      </c>
      <c r="D12" s="140">
        <v>2025</v>
      </c>
      <c r="E12" s="140">
        <v>2026</v>
      </c>
      <c r="F12" s="453"/>
    </row>
    <row r="13" spans="1:21" ht="21" customHeight="1" x14ac:dyDescent="0.35">
      <c r="A13" s="211" t="str">
        <f ca="1">TranslationsHIV!$A$35</f>
        <v>Current estimated country need</v>
      </c>
      <c r="B13" s="214"/>
      <c r="C13" s="150"/>
      <c r="D13" s="150"/>
      <c r="E13" s="150"/>
      <c r="F13" s="213"/>
    </row>
    <row r="14" spans="1:21" ht="45" customHeight="1" x14ac:dyDescent="0.35">
      <c r="A14" s="231" t="str">
        <f ca="1">TranslationsHIV!$A$139</f>
        <v>A. Total estimated number of HIV-positive pregnant women</v>
      </c>
      <c r="B14" s="199" t="s">
        <v>8</v>
      </c>
      <c r="C14" s="328">
        <v>38506</v>
      </c>
      <c r="D14" s="328">
        <v>37061</v>
      </c>
      <c r="E14" s="328">
        <v>35939</v>
      </c>
      <c r="F14" s="216" t="s">
        <v>1749</v>
      </c>
    </row>
    <row r="15" spans="1:21" ht="45" customHeight="1" x14ac:dyDescent="0.35">
      <c r="A15" s="402" t="str">
        <f ca="1">TranslationsHIV!$A$109</f>
        <v>B1. Global targets as per the Global AIDS Strategy</v>
      </c>
      <c r="B15" s="200" t="s">
        <v>8</v>
      </c>
      <c r="C15" s="189">
        <f>IF(C14="","", (C16*C14))</f>
        <v>36580.699999999997</v>
      </c>
      <c r="D15" s="189">
        <f t="shared" ref="D15:E15" si="0">IF(D14="","", (D16*D14))</f>
        <v>35207.949999999997</v>
      </c>
      <c r="E15" s="189">
        <f t="shared" si="0"/>
        <v>34142.049999999996</v>
      </c>
      <c r="F15" s="420"/>
    </row>
    <row r="16" spans="1:21" ht="45" customHeight="1" x14ac:dyDescent="0.35">
      <c r="A16" s="402"/>
      <c r="B16" s="200" t="s">
        <v>9</v>
      </c>
      <c r="C16" s="327">
        <f>95/100</f>
        <v>0.95</v>
      </c>
      <c r="D16" s="327">
        <f t="shared" ref="D16:E16" si="1">95/100</f>
        <v>0.95</v>
      </c>
      <c r="E16" s="327">
        <f t="shared" si="1"/>
        <v>0.95</v>
      </c>
      <c r="F16" s="426"/>
    </row>
    <row r="17" spans="1:6" ht="45" customHeight="1" x14ac:dyDescent="0.35">
      <c r="A17" s="419" t="str">
        <f ca="1">TranslationsHIV!$A$122</f>
        <v>B2. Country targets</v>
      </c>
      <c r="B17" s="200" t="s">
        <v>8</v>
      </c>
      <c r="C17" s="328">
        <v>22719</v>
      </c>
      <c r="D17" s="328">
        <v>25572</v>
      </c>
      <c r="E17" s="328">
        <v>29829</v>
      </c>
      <c r="F17" s="232" t="s">
        <v>1750</v>
      </c>
    </row>
    <row r="18" spans="1:6" ht="45" customHeight="1" x14ac:dyDescent="0.35">
      <c r="A18" s="425"/>
      <c r="B18" s="200" t="s">
        <v>9</v>
      </c>
      <c r="C18" s="190">
        <f>IF(C17=0,"",+C17/C14)</f>
        <v>0.59001194619020414</v>
      </c>
      <c r="D18" s="190">
        <f>IF(D17=0,"",+D17/D14)</f>
        <v>0.68999757157119346</v>
      </c>
      <c r="E18" s="190">
        <f>IF(E17=0,"",+E17/E14)</f>
        <v>0.82998970477753975</v>
      </c>
      <c r="F18" s="232"/>
    </row>
    <row r="19" spans="1:6" ht="21" customHeight="1" x14ac:dyDescent="0.35">
      <c r="A19" s="211" t="str">
        <f ca="1">TranslationsHIV!$A$38</f>
        <v>Country need to meet global targets already covered</v>
      </c>
      <c r="B19" s="212"/>
      <c r="C19" s="331"/>
      <c r="D19" s="331"/>
      <c r="E19" s="331"/>
      <c r="F19" s="213"/>
    </row>
    <row r="20" spans="1:6" ht="45" customHeight="1" x14ac:dyDescent="0.35">
      <c r="A20" s="419" t="str">
        <f ca="1">TranslationsHIV!$A$39</f>
        <v>C1. Global target planned to be covered by domestic resources</v>
      </c>
      <c r="B20" s="199" t="s">
        <v>8</v>
      </c>
      <c r="C20" s="328">
        <v>1658</v>
      </c>
      <c r="D20" s="328">
        <v>2219</v>
      </c>
      <c r="E20" s="328">
        <v>2747</v>
      </c>
      <c r="F20" s="420" t="s">
        <v>1805</v>
      </c>
    </row>
    <row r="21" spans="1:6" ht="45" customHeight="1" x14ac:dyDescent="0.35">
      <c r="A21" s="425"/>
      <c r="B21" s="199" t="s">
        <v>9</v>
      </c>
      <c r="C21" s="190">
        <f>IF(C20=0,"",+C20/C15)</f>
        <v>4.5324447044479743E-2</v>
      </c>
      <c r="D21" s="190">
        <f t="shared" ref="D21:E21" si="2">IF(D20=0,"",+D20/D15)</f>
        <v>6.3025538266215445E-2</v>
      </c>
      <c r="E21" s="190">
        <f t="shared" si="2"/>
        <v>8.0457968985459288E-2</v>
      </c>
      <c r="F21" s="426"/>
    </row>
    <row r="22" spans="1:6" ht="102" customHeight="1" x14ac:dyDescent="0.35">
      <c r="A22" s="419" t="str">
        <f ca="1">TranslationsHIV!$A$40</f>
        <v>C2. Global target planned to be covered by external resources</v>
      </c>
      <c r="B22" s="199" t="s">
        <v>8</v>
      </c>
      <c r="C22" s="329">
        <v>4544</v>
      </c>
      <c r="D22" s="329">
        <v>6393</v>
      </c>
      <c r="E22" s="329">
        <v>8949</v>
      </c>
      <c r="F22" s="233" t="s">
        <v>1751</v>
      </c>
    </row>
    <row r="23" spans="1:6" ht="45" customHeight="1" x14ac:dyDescent="0.35">
      <c r="A23" s="425"/>
      <c r="B23" s="199" t="s">
        <v>9</v>
      </c>
      <c r="C23" s="190">
        <f>IF(C22=0,"",+C22/C15)</f>
        <v>0.1242185086671387</v>
      </c>
      <c r="D23" s="190">
        <f t="shared" ref="D23:E23" si="3">IF(D22=0,"",+D22/D15)</f>
        <v>0.18157830830820881</v>
      </c>
      <c r="E23" s="190">
        <f t="shared" si="3"/>
        <v>0.2621107988536131</v>
      </c>
      <c r="F23" s="119"/>
    </row>
    <row r="24" spans="1:6" ht="45" customHeight="1" x14ac:dyDescent="0.35">
      <c r="A24" s="419" t="str">
        <f ca="1">TranslationsHIV!$A$41</f>
        <v>C3. Total global target already covered</v>
      </c>
      <c r="B24" s="199" t="s">
        <v>8</v>
      </c>
      <c r="C24" s="330">
        <f>C20+(C22)</f>
        <v>6202</v>
      </c>
      <c r="D24" s="330">
        <f t="shared" ref="D24:E24" si="4">D20+(D22)</f>
        <v>8612</v>
      </c>
      <c r="E24" s="330">
        <f t="shared" si="4"/>
        <v>11696</v>
      </c>
      <c r="F24" s="232"/>
    </row>
    <row r="25" spans="1:6" ht="45" customHeight="1" x14ac:dyDescent="0.35">
      <c r="A25" s="425"/>
      <c r="B25" s="199" t="s">
        <v>9</v>
      </c>
      <c r="C25" s="190">
        <f>IF(C15="","",C24/C15)</f>
        <v>0.16954295571161843</v>
      </c>
      <c r="D25" s="190">
        <f t="shared" ref="D25:E25" si="5">IF(D15="","",D24/D15)</f>
        <v>0.24460384657442427</v>
      </c>
      <c r="E25" s="190">
        <f t="shared" si="5"/>
        <v>0.34256876783907236</v>
      </c>
      <c r="F25" s="232"/>
    </row>
    <row r="26" spans="1:6" ht="21" customHeight="1" x14ac:dyDescent="0.35">
      <c r="A26" s="211" t="str">
        <f ca="1">TranslationsHIV!$A$42</f>
        <v>Programmatic gap</v>
      </c>
      <c r="B26" s="212"/>
      <c r="C26" s="212"/>
      <c r="D26" s="212"/>
      <c r="E26" s="212"/>
      <c r="F26" s="213"/>
    </row>
    <row r="27" spans="1:6" ht="45" customHeight="1" x14ac:dyDescent="0.35">
      <c r="A27" s="419" t="str">
        <f ca="1">TranslationsHIV!$A$43</f>
        <v>D. Expected annual gap in meeting the need: B1 - C3</v>
      </c>
      <c r="B27" s="199" t="s">
        <v>8</v>
      </c>
      <c r="C27" s="189">
        <f>IF(C15="","",C15-(C24))</f>
        <v>30378.699999999997</v>
      </c>
      <c r="D27" s="189">
        <f t="shared" ref="D27:E27" si="6">IF(D15="","",D15-(D24))</f>
        <v>26595.949999999997</v>
      </c>
      <c r="E27" s="189">
        <f t="shared" si="6"/>
        <v>22446.049999999996</v>
      </c>
      <c r="F27" s="420"/>
    </row>
    <row r="28" spans="1:6" ht="45" customHeight="1" x14ac:dyDescent="0.35">
      <c r="A28" s="425"/>
      <c r="B28" s="199" t="s">
        <v>9</v>
      </c>
      <c r="C28" s="190">
        <f>IF(C27="","",+C27/C15)</f>
        <v>0.83045704428838152</v>
      </c>
      <c r="D28" s="190">
        <f t="shared" ref="D28:E28" si="7">IF(D27="","",+D27/D15)</f>
        <v>0.75539615342557576</v>
      </c>
      <c r="E28" s="190">
        <f t="shared" si="7"/>
        <v>0.65743123216092758</v>
      </c>
      <c r="F28" s="426"/>
    </row>
    <row r="29" spans="1:6" ht="21" customHeight="1" x14ac:dyDescent="0.35">
      <c r="A29" s="211" t="str">
        <f ca="1">TranslationsHIV!$A$44</f>
        <v>Country need to meet global targets covered with the allocation amount</v>
      </c>
      <c r="B29" s="212"/>
      <c r="C29" s="212"/>
      <c r="D29" s="212"/>
      <c r="E29" s="212"/>
      <c r="F29" s="213"/>
    </row>
    <row r="30" spans="1:6" ht="45" customHeight="1" x14ac:dyDescent="0.35">
      <c r="A30" s="419" t="str">
        <f ca="1">TranslationsHIV!$A$45</f>
        <v>E. Targets to be financed by allocation amount</v>
      </c>
      <c r="B30" s="200" t="s">
        <v>8</v>
      </c>
      <c r="C30" s="328">
        <v>10223</v>
      </c>
      <c r="D30" s="328">
        <v>12789</v>
      </c>
      <c r="E30" s="328">
        <v>16406</v>
      </c>
      <c r="F30" s="420" t="s">
        <v>1752</v>
      </c>
    </row>
    <row r="31" spans="1:6" ht="208" customHeight="1" x14ac:dyDescent="0.35">
      <c r="A31" s="425"/>
      <c r="B31" s="200" t="s">
        <v>9</v>
      </c>
      <c r="C31" s="190">
        <f>IF(C30=0,"",+C30/C15)</f>
        <v>0.27946430768137298</v>
      </c>
      <c r="D31" s="190">
        <f t="shared" ref="D31:E31" si="8">IF(D30=0,"",+D30/D15)</f>
        <v>0.36324182464471805</v>
      </c>
      <c r="E31" s="190">
        <f t="shared" si="8"/>
        <v>0.48052181986728981</v>
      </c>
      <c r="F31" s="426"/>
    </row>
    <row r="32" spans="1:6" ht="45" customHeight="1" x14ac:dyDescent="0.35">
      <c r="A32" s="419" t="str">
        <f ca="1">TranslationsHIV!$A$46</f>
        <v>F. Coverage from allocation amount and other resources: E + C3</v>
      </c>
      <c r="B32" s="200" t="s">
        <v>8</v>
      </c>
      <c r="C32" s="189">
        <f>IF(C24="",C30,C30+C24)</f>
        <v>16425</v>
      </c>
      <c r="D32" s="189">
        <f t="shared" ref="D32:E32" si="9">IF(D24="",D30,D30+D24)</f>
        <v>21401</v>
      </c>
      <c r="E32" s="189">
        <f t="shared" si="9"/>
        <v>28102</v>
      </c>
      <c r="F32" s="420"/>
    </row>
    <row r="33" spans="1:6" ht="45" customHeight="1" x14ac:dyDescent="0.35">
      <c r="A33" s="425"/>
      <c r="B33" s="200" t="s">
        <v>9</v>
      </c>
      <c r="C33" s="190">
        <f>IF(C32=0,"",+C32/C15)</f>
        <v>0.44900726339299141</v>
      </c>
      <c r="D33" s="190">
        <f t="shared" ref="D33:E33" si="10">IF(D32=0,"",+D32/D15)</f>
        <v>0.60784567121914235</v>
      </c>
      <c r="E33" s="190">
        <f t="shared" si="10"/>
        <v>0.82309058770636223</v>
      </c>
      <c r="F33" s="426"/>
    </row>
    <row r="34" spans="1:6" ht="45" customHeight="1" x14ac:dyDescent="0.35">
      <c r="A34" s="419" t="str">
        <f ca="1">TranslationsHIV!$A$47</f>
        <v xml:space="preserve">G. Remaining gap: B1 - F </v>
      </c>
      <c r="B34" s="200" t="s">
        <v>8</v>
      </c>
      <c r="C34" s="189">
        <f>IF(C32=0,C15,C15-(C32))</f>
        <v>20155.699999999997</v>
      </c>
      <c r="D34" s="189">
        <f t="shared" ref="D34:E34" si="11">IF(D32=0,D15,D15-(D32))</f>
        <v>13806.949999999997</v>
      </c>
      <c r="E34" s="189">
        <f t="shared" si="11"/>
        <v>6040.0499999999956</v>
      </c>
      <c r="F34" s="420"/>
    </row>
    <row r="35" spans="1:6" ht="45" customHeight="1" x14ac:dyDescent="0.35">
      <c r="A35" s="449"/>
      <c r="B35" s="239" t="s">
        <v>9</v>
      </c>
      <c r="C35" s="190">
        <f>IF(C34="","",C34/C15)</f>
        <v>0.55099273660700854</v>
      </c>
      <c r="D35" s="190">
        <f t="shared" ref="D35:E35" si="12">IF(D34="","",D34/D15)</f>
        <v>0.39215432878085771</v>
      </c>
      <c r="E35" s="190">
        <f t="shared" si="12"/>
        <v>0.1769094122936378</v>
      </c>
      <c r="F35" s="450"/>
    </row>
    <row r="36" spans="1:6" ht="14.5" customHeight="1" x14ac:dyDescent="0.35">
      <c r="A36" s="454" t="s">
        <v>10</v>
      </c>
      <c r="B36" s="455"/>
      <c r="C36" s="455"/>
      <c r="D36" s="455"/>
      <c r="E36" s="455"/>
      <c r="F36" s="456"/>
    </row>
    <row r="37" spans="1:6" x14ac:dyDescent="0.35">
      <c r="A37" s="457"/>
      <c r="B37" s="458"/>
      <c r="C37" s="458"/>
      <c r="D37" s="458"/>
      <c r="E37" s="458"/>
      <c r="F37" s="459"/>
    </row>
    <row r="38" spans="1:6" x14ac:dyDescent="0.35">
      <c r="A38" s="457"/>
      <c r="B38" s="458"/>
      <c r="C38" s="458"/>
      <c r="D38" s="458"/>
      <c r="E38" s="458"/>
      <c r="F38" s="459"/>
    </row>
    <row r="39" spans="1:6" x14ac:dyDescent="0.35">
      <c r="A39" s="457"/>
      <c r="B39" s="458"/>
      <c r="C39" s="458"/>
      <c r="D39" s="458"/>
      <c r="E39" s="458"/>
      <c r="F39" s="459"/>
    </row>
    <row r="40" spans="1:6" x14ac:dyDescent="0.35">
      <c r="A40" s="457"/>
      <c r="B40" s="458"/>
      <c r="C40" s="458"/>
      <c r="D40" s="458"/>
      <c r="E40" s="458"/>
      <c r="F40" s="459"/>
    </row>
    <row r="41" spans="1:6" x14ac:dyDescent="0.35">
      <c r="A41" s="457"/>
      <c r="B41" s="458"/>
      <c r="C41" s="458"/>
      <c r="D41" s="458"/>
      <c r="E41" s="458"/>
      <c r="F41" s="459"/>
    </row>
    <row r="42" spans="1:6" x14ac:dyDescent="0.35">
      <c r="A42" s="457"/>
      <c r="B42" s="458"/>
      <c r="C42" s="458"/>
      <c r="D42" s="458"/>
      <c r="E42" s="458"/>
      <c r="F42" s="459"/>
    </row>
    <row r="43" spans="1:6" x14ac:dyDescent="0.35">
      <c r="A43" s="457"/>
      <c r="B43" s="458"/>
      <c r="C43" s="458"/>
      <c r="D43" s="458"/>
      <c r="E43" s="458"/>
      <c r="F43" s="459"/>
    </row>
    <row r="44" spans="1:6" x14ac:dyDescent="0.35">
      <c r="A44" s="457"/>
      <c r="B44" s="458"/>
      <c r="C44" s="458"/>
      <c r="D44" s="458"/>
      <c r="E44" s="458"/>
      <c r="F44" s="459"/>
    </row>
    <row r="45" spans="1:6" x14ac:dyDescent="0.35">
      <c r="A45" s="457"/>
      <c r="B45" s="458"/>
      <c r="C45" s="458"/>
      <c r="D45" s="458"/>
      <c r="E45" s="458"/>
      <c r="F45" s="459"/>
    </row>
    <row r="46" spans="1:6" x14ac:dyDescent="0.35">
      <c r="A46" s="460"/>
      <c r="B46" s="461"/>
      <c r="C46" s="461"/>
      <c r="D46" s="461"/>
      <c r="E46" s="461"/>
      <c r="F46" s="462"/>
    </row>
  </sheetData>
  <sheetProtection algorithmName="SHA-512" hashValue="6q7o6drsBdOiRLGhXb+oknWOvYjA+A7aH7GPW0FfhcPdw+6CoYp1A+T+5CFAYign43+A4twd7tMslEnq/sCrHg==" saltValue="/zqapvJ56xSj7nKY7dyApg==" spinCount="100000" sheet="1" formatColumns="0" formatRows="0"/>
  <mergeCells count="25">
    <mergeCell ref="A36:F46"/>
    <mergeCell ref="A30:A31"/>
    <mergeCell ref="F30:F31"/>
    <mergeCell ref="A32:A33"/>
    <mergeCell ref="F32:F33"/>
    <mergeCell ref="A34:A35"/>
    <mergeCell ref="F34:F35"/>
    <mergeCell ref="A27:A28"/>
    <mergeCell ref="F27:F28"/>
    <mergeCell ref="B7:F7"/>
    <mergeCell ref="B10:F10"/>
    <mergeCell ref="F11:F12"/>
    <mergeCell ref="A15:A16"/>
    <mergeCell ref="F15:F16"/>
    <mergeCell ref="A17:A18"/>
    <mergeCell ref="A20:A21"/>
    <mergeCell ref="F20:F21"/>
    <mergeCell ref="A22:A23"/>
    <mergeCell ref="A24:A25"/>
    <mergeCell ref="B6:F6"/>
    <mergeCell ref="A1:E1"/>
    <mergeCell ref="F1:F3"/>
    <mergeCell ref="A2:E2"/>
    <mergeCell ref="A3:E3"/>
    <mergeCell ref="A4:F4"/>
  </mergeCells>
  <pageMargins left="0.7" right="0.7" top="0.75" bottom="0.75" header="0.3" footer="0.3"/>
  <pageSetup paperSize="8" scale="83" fitToHeight="0" orientation="portrait" r:id="rId1"/>
  <rowBreaks count="1" manualBreakCount="1">
    <brk id="29" max="5" man="1"/>
  </rowBreak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2.xml><?xml version="1.0" encoding="utf-8"?>
<ct:contentTypeSchema xmlns:ct="http://schemas.microsoft.com/office/2006/metadata/contentType" xmlns:ma="http://schemas.microsoft.com/office/2006/metadata/properties/metaAttributes" ct:_="" ma:_="" ma:contentTypeName="Working Document" ma:contentTypeID="0x01010014768F94803F42BEA62C5B7969543DC700900224F4BB0E5D4AA8B7AEB050D89627" ma:contentTypeVersion="129" ma:contentTypeDescription="A work in progress document. &#10;Retention period upon archiving: 0 years." ma:contentTypeScope="" ma:versionID="9465a042757ea9500f88aff6375a4091">
  <xsd:schema xmlns:xsd="http://www.w3.org/2001/XMLSchema" xmlns:xs="http://www.w3.org/2001/XMLSchema" xmlns:p="http://schemas.microsoft.com/office/2006/metadata/properties" xmlns:ns2="95dc6fec-e367-460f-b7cb-cc3799bc0d9b" xmlns:ns3="fa473315-44a4-4518-8a4f-31f7017f3642" xmlns:ns4="97a2c079-d1fd-410b-b0f0-ee08b7165110" targetNamespace="http://schemas.microsoft.com/office/2006/metadata/properties" ma:root="true" ma:fieldsID="c4a62e2896117b0c2dbaabc694035118" ns2:_="" ns3:_="" ns4:_="">
    <xsd:import namespace="95dc6fec-e367-460f-b7cb-cc3799bc0d9b"/>
    <xsd:import namespace="fa473315-44a4-4518-8a4f-31f7017f3642"/>
    <xsd:import namespace="97a2c079-d1fd-410b-b0f0-ee08b7165110"/>
    <xsd:element name="properties">
      <xsd:complexType>
        <xsd:sequence>
          <xsd:element name="documentManagement">
            <xsd:complexType>
              <xsd:all>
                <xsd:element ref="ns2:Grant_x0020_Name" minOccurs="0"/>
                <xsd:element ref="ns3:_dlc_DocId" minOccurs="0"/>
                <xsd:element ref="ns3:_dlc_DocIdUrl" minOccurs="0"/>
                <xsd:element ref="ns3:_dlc_DocIdPersistId" minOccurs="0"/>
                <xsd:element ref="ns2:MediaServiceMetadata" minOccurs="0"/>
                <xsd:element ref="ns2:MediaServiceFastMetadata" minOccurs="0"/>
                <xsd:element ref="ns2:MediaServiceAutoTags" minOccurs="0"/>
                <xsd:element ref="ns2:MediaServiceDateTaken" minOccurs="0"/>
                <xsd:element ref="ns2:MediaServiceAutoKeyPoints" minOccurs="0"/>
                <xsd:element ref="ns2:MediaServiceKeyPoints" minOccurs="0"/>
                <xsd:element ref="ns2:MediaServiceOCR" minOccurs="0"/>
                <xsd:element ref="ns2:MediaServiceGenerationTime" minOccurs="0"/>
                <xsd:element ref="ns2:MediaServiceEventHashCode" minOccurs="0"/>
                <xsd:element ref="ns2:lcf76f155ced4ddcb4097134ff3c332f" minOccurs="0"/>
                <xsd:element ref="ns4: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5dc6fec-e367-460f-b7cb-cc3799bc0d9b" elementFormDefault="qualified">
    <xsd:import namespace="http://schemas.microsoft.com/office/2006/documentManagement/types"/>
    <xsd:import namespace="http://schemas.microsoft.com/office/infopath/2007/PartnerControls"/>
    <xsd:element name="Grant_x0020_Name" ma:index="5" nillable="true" ma:displayName="Grant Name" ma:internalName="Grant_x0020_Name" ma:readOnly="false">
      <xsd:simpleType>
        <xsd:restriction base="dms:Text">
          <xsd:maxLength value="255"/>
        </xsd:restriction>
      </xsd:simpleType>
    </xsd:element>
    <xsd:element name="MediaServiceMetadata" ma:index="12" nillable="true" ma:displayName="MediaServiceMetadata" ma:description="" ma:hidden="true" ma:internalName="MediaServiceMetadata" ma:readOnly="true">
      <xsd:simpleType>
        <xsd:restriction base="dms:Note"/>
      </xsd:simpleType>
    </xsd:element>
    <xsd:element name="MediaServiceFastMetadata" ma:index="13" nillable="true" ma:displayName="MediaServiceFastMetadata" ma:description="" ma:hidden="true" ma:internalName="MediaServiceFastMetadata" ma:readOnly="true">
      <xsd:simpleType>
        <xsd:restriction base="dms:Note"/>
      </xsd:simpleType>
    </xsd:element>
    <xsd:element name="MediaServiceAutoTags" ma:index="14" nillable="true" ma:displayName="MediaServiceAutoTags" ma:description="" ma:internalName="MediaServiceAutoTags" ma:readOnly="true">
      <xsd:simpleType>
        <xsd:restriction base="dms:Text"/>
      </xsd:simpleType>
    </xsd:element>
    <xsd:element name="MediaServiceDateTaken" ma:index="15" nillable="true" ma:displayName="MediaServiceDateTaken" ma:description="" ma:hidden="true" ma:internalName="MediaServiceDateTaken"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cbc5697c-9d86-4020-9001-b7da5740438e"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fa473315-44a4-4518-8a4f-31f7017f3642" elementFormDefault="qualified">
    <xsd:import namespace="http://schemas.microsoft.com/office/2006/documentManagement/types"/>
    <xsd:import namespace="http://schemas.microsoft.com/office/infopath/2007/PartnerControls"/>
    <xsd:element name="_dlc_DocId" ma:index="9" nillable="true" ma:displayName="Document ID Value" ma:description="The value of the document ID assigned to this item." ma:internalName="_dlc_DocId" ma:readOnly="true">
      <xsd:simpleType>
        <xsd:restriction base="dms:Text"/>
      </xsd:simpleType>
    </xsd:element>
    <xsd:element name="_dlc_DocIdUrl" ma:index="10"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1"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97a2c079-d1fd-410b-b0f0-ee08b7165110"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40f8fdc6-6805-44a8-ab6c-20f371417c89}" ma:internalName="TaxCatchAll" ma:showField="CatchAllData" ma:web="31f9816a-e16a-4c5e-889f-081818212c0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6" ma:displayName="Content Typ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SharedContentType xmlns="Microsoft.SharePoint.Taxonomy.ContentTypeSync" SourceId="c097f1e6-5941-48e7-ac45-8c5509127d4f" ContentTypeId="0x01010014768F94803F42BEA62C5B7969543DC7" PreviousValue="false"/>
</file>

<file path=customXml/item4.xml><?xml version="1.0" encoding="utf-8"?>
<?mso-contentType ?>
<FormTemplates xmlns="http://schemas.microsoft.com/sharepoint/v3/contenttype/forms">
  <Display>DocumentLibraryForm</Display>
  <Edit>DocumentLibraryForm</Edit>
  <New>DocumentLibraryForm</New>
</FormTemplates>
</file>

<file path=customXml/item5.xml><?xml version="1.0" encoding="utf-8"?>
<p:properties xmlns:p="http://schemas.microsoft.com/office/2006/metadata/properties" xmlns:xsi="http://www.w3.org/2001/XMLSchema-instance">
  <documentManagement>
    <_dlc_DocId xmlns="fa473315-44a4-4518-8a4f-31f7017f3642">RM2R575YRTXY-341889995-3663</_dlc_DocId>
    <_dlc_DocIdUrl xmlns="fa473315-44a4-4518-8a4f-31f7017f3642">
      <Url>https://tgf.sharepoint.com/sites/TSGMT6/COG1/_layouts/15/DocIdRedir.aspx?ID=RM2R575YRTXY-341889995-3663</Url>
      <Description>RM2R575YRTXY-341889995-3663</Description>
    </_dlc_DocIdUrl>
    <lcf76f155ced4ddcb4097134ff3c332f xmlns="95dc6fec-e367-460f-b7cb-cc3799bc0d9b">
      <Terms xmlns="http://schemas.microsoft.com/office/infopath/2007/PartnerControls"/>
    </lcf76f155ced4ddcb4097134ff3c332f>
    <TaxCatchAll xmlns="97a2c079-d1fd-410b-b0f0-ee08b7165110" xsi:nil="true"/>
    <Grant_x0020_Name xmlns="95dc6fec-e367-460f-b7cb-cc3799bc0d9b" xsi:nil="true"/>
  </documentManagement>
</p:properties>
</file>

<file path=customXml/itemProps1.xml><?xml version="1.0" encoding="utf-8"?>
<ds:datastoreItem xmlns:ds="http://schemas.openxmlformats.org/officeDocument/2006/customXml" ds:itemID="{B2315EA1-D784-4D00-8F30-5157DBDD2B7E}">
  <ds:schemaRefs>
    <ds:schemaRef ds:uri="http://schemas.microsoft.com/sharepoint/events"/>
  </ds:schemaRefs>
</ds:datastoreItem>
</file>

<file path=customXml/itemProps2.xml><?xml version="1.0" encoding="utf-8"?>
<ds:datastoreItem xmlns:ds="http://schemas.openxmlformats.org/officeDocument/2006/customXml" ds:itemID="{82C6EEA4-47AA-4889-86C2-C122AEFA545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5dc6fec-e367-460f-b7cb-cc3799bc0d9b"/>
    <ds:schemaRef ds:uri="fa473315-44a4-4518-8a4f-31f7017f3642"/>
    <ds:schemaRef ds:uri="97a2c079-d1fd-410b-b0f0-ee08b716511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3158C1A2-88BE-49C5-A712-3BB643103EB1}">
  <ds:schemaRefs>
    <ds:schemaRef ds:uri="Microsoft.SharePoint.Taxonomy.ContentTypeSync"/>
  </ds:schemaRefs>
</ds:datastoreItem>
</file>

<file path=customXml/itemProps4.xml><?xml version="1.0" encoding="utf-8"?>
<ds:datastoreItem xmlns:ds="http://schemas.openxmlformats.org/officeDocument/2006/customXml" ds:itemID="{30BF25D7-05CC-4686-A969-14D966711E4C}">
  <ds:schemaRefs>
    <ds:schemaRef ds:uri="http://schemas.microsoft.com/sharepoint/v3/contenttype/forms"/>
  </ds:schemaRefs>
</ds:datastoreItem>
</file>

<file path=customXml/itemProps5.xml><?xml version="1.0" encoding="utf-8"?>
<ds:datastoreItem xmlns:ds="http://schemas.openxmlformats.org/officeDocument/2006/customXml" ds:itemID="{54A30DD0-FFDC-4D2A-8563-B7A8F56624F8}">
  <ds:schemaRefs>
    <ds:schemaRef ds:uri="http://schemas.microsoft.com/office/2006/documentManagement/types"/>
    <ds:schemaRef ds:uri="http://schemas.microsoft.com/office/infopath/2007/PartnerControls"/>
    <ds:schemaRef ds:uri="fa473315-44a4-4518-8a4f-31f7017f3642"/>
    <ds:schemaRef ds:uri="http://purl.org/dc/elements/1.1/"/>
    <ds:schemaRef ds:uri="http://schemas.microsoft.com/office/2006/metadata/properties"/>
    <ds:schemaRef ds:uri="95dc6fec-e367-460f-b7cb-cc3799bc0d9b"/>
    <ds:schemaRef ds:uri="http://purl.org/dc/terms/"/>
    <ds:schemaRef ds:uri="http://schemas.openxmlformats.org/package/2006/metadata/core-properties"/>
    <ds:schemaRef ds:uri="97a2c079-d1fd-410b-b0f0-ee08b7165110"/>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52</vt:i4>
      </vt:variant>
    </vt:vector>
  </HeadingPairs>
  <TitlesOfParts>
    <vt:vector size="63" baseType="lpstr">
      <vt:lpstr>Cover Sheet</vt:lpstr>
      <vt:lpstr>Instructions</vt:lpstr>
      <vt:lpstr>TB Tables</vt:lpstr>
      <vt:lpstr>HIV-Treatment </vt:lpstr>
      <vt:lpstr>HIV - EMTCT</vt:lpstr>
      <vt:lpstr>HIV-Testing</vt:lpstr>
      <vt:lpstr>HIV-Prevention</vt:lpstr>
      <vt:lpstr>HIV-PrEP</vt:lpstr>
      <vt:lpstr>HIV-Condoms</vt:lpstr>
      <vt:lpstr>TB-HIV</vt:lpstr>
      <vt:lpstr>Blank table (only if needed)</vt:lpstr>
      <vt:lpstr>ApplicantType</vt:lpstr>
      <vt:lpstr>DépistagedelatuberculosechezlespatientsséropositifsauVIH</vt:lpstr>
      <vt:lpstr>DifferentiatedHIVtestingservices</vt:lpstr>
      <vt:lpstr>Geography</vt:lpstr>
      <vt:lpstr>HIVModulesIndicators</vt:lpstr>
      <vt:lpstr>HIVpositiveTBpatientsonART</vt:lpstr>
      <vt:lpstr>IniciodeterapiapreventivaparatuberculosisenpersonasquevivenconelVIH</vt:lpstr>
      <vt:lpstr>InitiationdutraitementpréventifdelatuberculosepourlesPVVIH</vt:lpstr>
      <vt:lpstr>IntervencionescolaborativasdetuberculosisyVIH_Pacientesseropositivoscontuberculoisquerecibentratamientoantirretroviral</vt:lpstr>
      <vt:lpstr>InterventionsconjointesTBVIH_PatientstuberculeuxséropositifsauVIHsousTAR</vt:lpstr>
      <vt:lpstr>KeyPop</vt:lpstr>
      <vt:lpstr>KeyPopPrep</vt:lpstr>
      <vt:lpstr>LangOffset</vt:lpstr>
      <vt:lpstr>Language</vt:lpstr>
      <vt:lpstr>ListHIVModules</vt:lpstr>
      <vt:lpstr>ListTBModules</vt:lpstr>
      <vt:lpstr>ListTBonly</vt:lpstr>
      <vt:lpstr>Pacientesseropositivoscontuberculosisquerecibentratamientoantirretroviral</vt:lpstr>
      <vt:lpstr>Patientstuberculeuxdontlestatutsérologiquevis.à.visduVIHestconnu</vt:lpstr>
      <vt:lpstr>PatientstuberculeuxséropositifsauVIHsousTAR</vt:lpstr>
      <vt:lpstr>Preventionprogramsforkeypopulations_definedpackageofservices</vt:lpstr>
      <vt:lpstr>PreventionprogramsforPWIDandtheirpartners_Needleandsyringedistribution</vt:lpstr>
      <vt:lpstr>PreventionprogramsforPWIDandtheirpartners_OSTandotherdrugdependencetreatmentforPWIDs</vt:lpstr>
      <vt:lpstr>'Blank table (only if needed)'!Print_Area</vt:lpstr>
      <vt:lpstr>'HIV - EMTCT'!Print_Area</vt:lpstr>
      <vt:lpstr>'HIV-Condoms'!Print_Area</vt:lpstr>
      <vt:lpstr>'HIV-PrEP'!Print_Area</vt:lpstr>
      <vt:lpstr>'HIV-Prevention'!Print_Area</vt:lpstr>
      <vt:lpstr>'HIV-Testing'!Print_Area</vt:lpstr>
      <vt:lpstr>'HIV-Treatment '!Print_Area</vt:lpstr>
      <vt:lpstr>Instructions!Print_Area</vt:lpstr>
      <vt:lpstr>'TB Tables'!Print_Area</vt:lpstr>
      <vt:lpstr>'TB-HIV'!Print_Area</vt:lpstr>
      <vt:lpstr>Programasdeprevencióndestinadosalaspoblacionesclave.Paquetedefinidodeservicios</vt:lpstr>
      <vt:lpstr>Programasdeprevencióndestinadosalaspoblacionesclave.PruebasdeVIH</vt:lpstr>
      <vt:lpstr>Programasdeprevenciónintegralparapersonasqueseinyectandrogasysusparejas_Programasdeagujasyjeringuillas</vt:lpstr>
      <vt:lpstr>Programasdeprevenciónintegralparapersonasqueseinyectandrogasysusparejas_Terapiadesustitucióndeopiáceosyotrostratamientosparaladrogodependenciadepersonasqueseinyectandrogas</vt:lpstr>
      <vt:lpstr>Programmesdepréventiondestinésauxusagersdedroguesinjectablesetàleurspartenaires_Programmesliésauxaiguillesetdeseringues</vt:lpstr>
      <vt:lpstr>Programmesdepréventiondestinésauxusagersdedroguesinjectablesetàleurspartenaires_Traitementsdesubstitutionauxopiacésetautrestraitementsdeladépendancepourlesusagersdedroguesinjectables</vt:lpstr>
      <vt:lpstr>Programmesdepréventionpourlespopulationsclés_DépistageduVIH</vt:lpstr>
      <vt:lpstr>Programmesdepréventionpourlespopulationsclés_Paquetdeservicesdéfinis</vt:lpstr>
      <vt:lpstr>RevisióndetuberculosisenpacientesconVIH</vt:lpstr>
      <vt:lpstr>ServicesdedépistagedifférenciésduVIH</vt:lpstr>
      <vt:lpstr>ServiciosdiferenciadosdepruebasdeVIH</vt:lpstr>
      <vt:lpstr>TBModulesIndicators</vt:lpstr>
      <vt:lpstr>TBpatientswithknownHIVstatus</vt:lpstr>
      <vt:lpstr>TBscreeningamongHIVpatients</vt:lpstr>
      <vt:lpstr>TPTinititationamongPLHIV</vt:lpstr>
      <vt:lpstr>Traitementpriseenchargeetsoutien_Prestationdeservicesetpriseenchargedifférenciéespourlestraitementsantirétroviraux</vt:lpstr>
      <vt:lpstr>Tratamientoatenciónyapoyo_Prestacióndeserviciosdiferenciadosatenciónytratamientoantirretroviral</vt:lpstr>
      <vt:lpstr>TreatmentCareandSupport_ART</vt:lpstr>
      <vt:lpstr>TreatmentCareandSupport_DifferentiatedARTServiceDeliveryandcare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Ebeny Francois Temgbait Chimoun</dc:creator>
  <cp:keywords/>
  <dc:description/>
  <cp:lastModifiedBy>Justine Delloye</cp:lastModifiedBy>
  <cp:revision/>
  <dcterms:created xsi:type="dcterms:W3CDTF">2014-05-13T14:32:54Z</dcterms:created>
  <dcterms:modified xsi:type="dcterms:W3CDTF">2023-04-06T09:56:23Z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y fmtid="{D5CDD505-2E9C-101B-9397-08002B2CF9AE}" pid="3" name="ContentTypeId">
    <vt:lpwstr>0x01010014768F94803F42BEA62C5B7969543DC700900224F4BB0E5D4AA8B7AEB050D89627</vt:lpwstr>
  </property>
  <property fmtid="{D5CDD505-2E9C-101B-9397-08002B2CF9AE}" pid="4" name="WorkflowCreationPath">
    <vt:lpwstr>2f7debbc-2b8d-44a1-9e0a-4005030c88f4,9;2f7debbc-2b8d-44a1-9e0a-4005030c88f4,4;</vt:lpwstr>
  </property>
  <property fmtid="{D5CDD505-2E9C-101B-9397-08002B2CF9AE}" pid="5" name="Author">
    <vt:lpwstr>3;#;UserInfo</vt:lpwstr>
  </property>
  <property fmtid="{D5CDD505-2E9C-101B-9397-08002B2CF9AE}" pid="6" name="Order">
    <vt:r8>100</vt:r8>
  </property>
  <property fmtid="{D5CDD505-2E9C-101B-9397-08002B2CF9AE}" pid="7" name="URL">
    <vt:lpwstr/>
  </property>
  <property fmtid="{D5CDD505-2E9C-101B-9397-08002B2CF9AE}" pid="8" name="Modified">
    <vt:filetime>2015-03-11T14:23:13Z</vt:filetime>
  </property>
  <property fmtid="{D5CDD505-2E9C-101B-9397-08002B2CF9AE}" pid="9" name="Editor">
    <vt:lpwstr>3;#;UserInfo</vt:lpwstr>
  </property>
  <property fmtid="{D5CDD505-2E9C-101B-9397-08002B2CF9AE}" pid="10" name="Created">
    <vt:filetime>2015-03-11T14:23:04Z</vt:filetime>
  </property>
  <property fmtid="{D5CDD505-2E9C-101B-9397-08002B2CF9AE}" pid="11" name="_dlc_DocId">
    <vt:lpwstr>2MX3P7Y5RS4X-61670648-2204</vt:lpwstr>
  </property>
  <property fmtid="{D5CDD505-2E9C-101B-9397-08002B2CF9AE}" pid="12" name="_dlc_DocIdUrl">
    <vt:lpwstr>https://tgf.sharepoint.com/sites/TSCMS1/CMSS/_layouts/15/DocIdRedir.aspx?ID=2MX3P7Y5RS4X-61670648-2204, 2MX3P7Y5RS4X-61670648-2204</vt:lpwstr>
  </property>
  <property fmtid="{D5CDD505-2E9C-101B-9397-08002B2CF9AE}" pid="13" name="_dlc_DocIdItemGuid">
    <vt:lpwstr>421df776-65a0-4fae-8cf2-eaacab314ddc</vt:lpwstr>
  </property>
  <property fmtid="{D5CDD505-2E9C-101B-9397-08002B2CF9AE}" pid="14" name="MediaServiceImageTags">
    <vt:lpwstr/>
  </property>
</Properties>
</file>