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0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26.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97.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5.xml" ContentType="application/vnd.openxmlformats-officedocument.spreadsheetml.revisionLog+xml"/>
  <Override PartName="/xl/revisions/revisionLog90.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5.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00.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9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defaultThemeVersion="124226"/>
  <bookViews>
    <workbookView xWindow="0" yWindow="0" windowWidth="27330" windowHeight="13170" tabRatio="576" firstSheet="3" activeTab="4"/>
  </bookViews>
  <sheets>
    <sheet name="Instructions fr" sheetId="1" state="hidden" r:id="rId1"/>
    <sheet name="Instructions sp" sheetId="2" state="hidden" r:id="rId2"/>
    <sheet name="Instructions ru" sheetId="3" state="hidden" r:id="rId3"/>
    <sheet name="Instructions en" sheetId="4" r:id="rId4"/>
    <sheet name="Concept Note" sheetId="5" r:id="rId5"/>
    <sheet name="Summary budget" sheetId="6" state="hidden" r:id="rId6"/>
    <sheet name="NEW SUMMARY BUDGET" sheetId="22" r:id="rId7"/>
    <sheet name="Target assumptions - optional" sheetId="7" state="hidden" r:id="rId8"/>
    <sheet name="Cost assumptions - optional" sheetId="8" state="hidden" r:id="rId9"/>
    <sheet name="Summary By Year" sheetId="9" state="hidden" r:id="rId10"/>
    <sheet name="Cmp" sheetId="10" state="hidden" r:id="rId11"/>
    <sheet name="Modules" sheetId="11" state="hidden" r:id="rId12"/>
    <sheet name="Interven" sheetId="12" state="hidden" r:id="rId13"/>
    <sheet name="Coverage ind" sheetId="13" state="hidden" r:id="rId14"/>
    <sheet name="Outcome ind" sheetId="14" state="hidden" r:id="rId15"/>
    <sheet name="Impact ind" sheetId="15" state="hidden" r:id="rId16"/>
    <sheet name="Data src" sheetId="16" state="hidden" r:id="rId17"/>
    <sheet name="Definitions" sheetId="17" state="hidden" r:id="rId18"/>
    <sheet name="Translations" sheetId="18" state="hidden" r:id="rId19"/>
    <sheet name="$Ranges$" sheetId="19" state="veryHidden" r:id="rId20"/>
    <sheet name="$Meta$" sheetId="20" state="veryHidden" r:id="rId21"/>
    <sheet name="Sheet1" sheetId="21" r:id="rId22"/>
  </sheets>
  <externalReferences>
    <externalReference r:id="rId23"/>
  </externalReferences>
  <definedNames>
    <definedName name="CmpIdSelected">INDIRECT(ADDRESS(CmpSelectedOnRow,1,1,TRUE,"Cmp"))</definedName>
    <definedName name="CmpSelectedOnRow">IFERROR(MATCH('Concept Note'!$C$4,Cmp!$D:$D,0),IFERROR(MATCH('Concept Note'!$C$4,Cmp!$E:$E,0),IFERROR(MATCH('Concept Note'!$C$4,Cmp!$F:$F,0),IFERROR(MATCH('Concept Note'!$C$4,Cmp!$G:$G,0),""))))</definedName>
    <definedName name="ComponentSelected">'Concept Note'!$C$4</definedName>
    <definedName name="Country_Applicant">Definitions!$N$3:$N$204</definedName>
    <definedName name="DataSrcInCmp">OFFSET('Data src'!$D$1,MATCH(CmpIdSelected,'Data src'!$A:$A,0)-1,0,COUNTIF('Data src'!$A:$A,CmpIdSelected),1)</definedName>
    <definedName name="ImpactIndInCmp">OFFSET('Impact ind'!$E$1,MATCH(CmpIdSelected,'Impact ind'!$A:$A,0)-1,0,COUNTIF('Impact ind'!$A:$A,CmpIdSelected),1)</definedName>
    <definedName name="LangOffset">Translations!$C$1</definedName>
    <definedName name="Language">'Concept Note'!$P$1</definedName>
    <definedName name="mg">Modules!$I$2:$I$50</definedName>
    <definedName name="ModulesInCmp">OFFSET(Modules!$D$1,MATCH(CmpIdSelected,Modules!$A:$A,0)-1,0,COUNTIF(Modules!$A:$A,CmpIdSelected),1)</definedName>
    <definedName name="MonthIndex">Definitions!$M$3</definedName>
    <definedName name="Months">Definitions!$G$3:$G$15</definedName>
    <definedName name="MonthSelected">'Concept Note'!$C$6</definedName>
    <definedName name="OutcomeIndInCmp">OFFSET('Outcome ind'!$E$1,MATCH(CmpIdSelected,'Outcome ind'!$A:$A,0)-1,0,COUNTIF('Outcome ind'!$A:$A,CmpIdSelected),1)</definedName>
    <definedName name="_xlnm.Print_Area" localSheetId="4">'Concept Note'!$A$1:$AB$255</definedName>
    <definedName name="PRs">'Concept Note'!$H$5</definedName>
    <definedName name="PRsInApplicant">OFFSET(Definitions!$R$3,MATCH(VLOOKUP('Concept Note'!$C$3,Definitions!D:E,2,FALSE),Definitions!G:G,0)-3,0,COUNTIF(Definitions!G:G,VLOOKUP('Concept Note'!$C$3,Definitions!D:E,2,FALSE)),1)</definedName>
    <definedName name="StartYearSelected">'Concept Note'!$C$5</definedName>
    <definedName name="TiedTo">Definitions!$U$3:$U$7</definedName>
    <definedName name="Years">Definitions!$A$3:$A$6</definedName>
    <definedName name="YearSelected">'Concept Note'!$C$5</definedName>
    <definedName name="Z_721132AF_EF29_4C83_8A4A_F17ABB4BD7C0_.wvu.Cols" localSheetId="4" hidden="1">'Concept Note'!$AJ:$AO</definedName>
    <definedName name="Z_721132AF_EF29_4C83_8A4A_F17ABB4BD7C0_.wvu.Cols" localSheetId="5" hidden="1">'Summary budget'!$A:$I</definedName>
    <definedName name="Z_721132AF_EF29_4C83_8A4A_F17ABB4BD7C0_.wvu.PrintArea" localSheetId="4" hidden="1">'Concept Note'!$A$1:$AB$256</definedName>
    <definedName name="Z_8263CC96_2145_451B_AD8A_CC38FD628AC9_.wvu.Cols" localSheetId="4" hidden="1">'Concept Note'!$AJ:$AO</definedName>
    <definedName name="Z_8263CC96_2145_451B_AD8A_CC38FD628AC9_.wvu.Cols" localSheetId="5" hidden="1">'Summary budget'!$A:$I</definedName>
    <definedName name="Z_8263CC96_2145_451B_AD8A_CC38FD628AC9_.wvu.PrintArea" localSheetId="4" hidden="1">'Concept Note'!$A$1:$AB$256</definedName>
    <definedName name="Z_86255A0E_17F2_0E4B_B055_7B9B2A71C25A_.wvu.Cols" localSheetId="4" hidden="1">'Concept Note'!$AJ:$AO</definedName>
    <definedName name="Z_86255A0E_17F2_0E4B_B055_7B9B2A71C25A_.wvu.Cols" localSheetId="5" hidden="1">'Summary budget'!$A:$I</definedName>
    <definedName name="Z_86255A0E_17F2_0E4B_B055_7B9B2A71C25A_.wvu.PrintArea" localSheetId="4" hidden="1">'Concept Note'!$A$1:$AB$256</definedName>
    <definedName name="Z_AB7DC012_E038_4AC4_B964_79EBEC1A7DBE_.wvu.Cols" localSheetId="4" hidden="1">'Concept Note'!$AJ:$AO</definedName>
    <definedName name="Z_AB7DC012_E038_4AC4_B964_79EBEC1A7DBE_.wvu.Cols" localSheetId="5" hidden="1">'Summary budget'!$A:$I</definedName>
    <definedName name="Z_AB7DC012_E038_4AC4_B964_79EBEC1A7DBE_.wvu.PrintArea" localSheetId="4" hidden="1">'Concept Note'!$A$1:$AB$255</definedName>
    <definedName name="Z_CE0E8020_2C9F_41F1_9136_031F56EB2C71_.wvu.Cols" localSheetId="4" hidden="1">'Concept Note'!$AJ:$AO</definedName>
    <definedName name="Z_CE0E8020_2C9F_41F1_9136_031F56EB2C71_.wvu.Cols" localSheetId="5" hidden="1">'Summary budget'!$A:$I</definedName>
    <definedName name="Z_CE0E8020_2C9F_41F1_9136_031F56EB2C71_.wvu.PrintArea" localSheetId="4" hidden="1">'Concept Note'!$A$1:$AB$256</definedName>
    <definedName name="Z_D193A86F_CAEF_42FB_9ABB_073B57B81A50_.wvu.Cols" localSheetId="4" hidden="1">'Concept Note'!$AJ:$AO</definedName>
    <definedName name="Z_D193A86F_CAEF_42FB_9ABB_073B57B81A50_.wvu.Cols" localSheetId="5" hidden="1">'Summary budget'!$A:$I</definedName>
    <definedName name="Z_D193A86F_CAEF_42FB_9ABB_073B57B81A50_.wvu.PrintArea" localSheetId="4" hidden="1">'Concept Note'!$A$1:$AB$255</definedName>
    <definedName name="Z_E823EC26_EF2B_442F_BAF4_E4055CE48BD3_.wvu.Cols" localSheetId="4" hidden="1">'Concept Note'!$AJ:$AO</definedName>
    <definedName name="Z_E823EC26_EF2B_442F_BAF4_E4055CE48BD3_.wvu.Cols" localSheetId="5" hidden="1">'Summary budget'!$A:$I</definedName>
    <definedName name="Z_E823EC26_EF2B_442F_BAF4_E4055CE48BD3_.wvu.PrintArea" localSheetId="4" hidden="1">'Concept Note'!$A$1:$AB$256</definedName>
  </definedNames>
  <calcPr calcId="145621"/>
  <customWorkbookViews>
    <customWorkbookView name="Svetlana Dupriez - Personal View" guid="{AB7DC012-E038-4AC4-B964-79EBEC1A7DBE}" mergeInterval="0" personalView="1" maximized="1" windowWidth="1920" windowHeight="752" tabRatio="576" activeSheetId="5"/>
    <customWorkbookView name="Qi Cui - Personal View" guid="{8263CC96-2145-451B-AD8A-CC38FD628AC9}" mergeInterval="0" personalView="1" maximized="1" windowWidth="1920" windowHeight="814" tabRatio="576" activeSheetId="5" showComments="commIndAndComment"/>
    <customWorkbookView name="Eric E. Camacho - Personal View" guid="{721132AF-EF29-4C83-8A4A-F17ABB4BD7C0}" mergeInterval="0" personalView="1" maximized="1" windowWidth="1362" windowHeight="519" tabRatio="576" activeSheetId="5"/>
    <customWorkbookView name="Inna Ivanova - Personal View" guid="{CE0E8020-2C9F-41F1-9136-031F56EB2C71}" mergeInterval="0" personalView="1" maximized="1" windowWidth="1916" windowHeight="808" tabRatio="576" activeSheetId="5"/>
    <customWorkbookView name="Sandra Kuzmanovska - Personal View" guid="{E823EC26-EF2B-442F-BAF4-E4055CE48BD3}" mergeInterval="0" personalView="1" maximized="1" windowWidth="1916" windowHeight="856" tabRatio="576" activeSheetId="5" showComments="commIndAndComment"/>
    <customWorkbookView name="Eric Camacho - Personal View" guid="{86255A0E-17F2-0E4B-B055-7B9B2A71C25A}" mergeInterval="0" personalView="1" yWindow="54" windowWidth="1366" windowHeight="662" tabRatio="576" activeSheetId="22" showComments="commIndAndComment"/>
    <customWorkbookView name="A2F - Personal View" guid="{D193A86F-CAEF-42FB-9ABB-073B57B81A50}" mergeInterval="0" personalView="1" maximized="1" windowWidth="1916" windowHeight="799" tabRatio="576" activeSheetId="5"/>
  </customWorkbookViews>
  <pivotCaches>
    <pivotCache cacheId="232" r:id="rId24"/>
  </pivotCaches>
  <extLst>
    <ext xmlns:mx="http://schemas.microsoft.com/office/mac/excel/2008/main" uri="{7523E5D3-25F3-A5E0-1632-64F254C22452}">
      <mx:ArchID Flags="2"/>
    </ext>
  </extLst>
</workbook>
</file>

<file path=xl/calcChain.xml><?xml version="1.0" encoding="utf-8"?>
<calcChain xmlns="http://schemas.openxmlformats.org/spreadsheetml/2006/main">
  <c r="B16" i="22" l="1"/>
  <c r="C16" i="22"/>
  <c r="D16" i="22"/>
  <c r="E16" i="22"/>
  <c r="B4" i="22"/>
  <c r="B25" i="22"/>
  <c r="C25" i="22"/>
  <c r="D25" i="22"/>
  <c r="E25" i="22"/>
  <c r="D4" i="22"/>
  <c r="F4" i="22"/>
  <c r="B17" i="22"/>
  <c r="O125" i="5"/>
  <c r="O137" i="5"/>
  <c r="O141" i="5"/>
  <c r="C17" i="22"/>
  <c r="Q125" i="5"/>
  <c r="Q137" i="5"/>
  <c r="Q141" i="5"/>
  <c r="D17" i="22"/>
  <c r="E17" i="22"/>
  <c r="B5" i="22"/>
  <c r="B26" i="22"/>
  <c r="O138" i="5"/>
  <c r="C26" i="22"/>
  <c r="Q138" i="5"/>
  <c r="D26" i="22"/>
  <c r="E26" i="22"/>
  <c r="D5" i="22"/>
  <c r="F5" i="22"/>
  <c r="B18" i="22"/>
  <c r="C18" i="22"/>
  <c r="D18" i="22"/>
  <c r="E18" i="22"/>
  <c r="B6" i="22"/>
  <c r="F6" i="22"/>
  <c r="B19" i="22"/>
  <c r="O199" i="5"/>
  <c r="O203" i="5"/>
  <c r="O211" i="5"/>
  <c r="C19" i="22"/>
  <c r="Q199" i="5"/>
  <c r="Q203" i="5"/>
  <c r="Q211" i="5"/>
  <c r="D19" i="22"/>
  <c r="E19" i="22"/>
  <c r="B7" i="22"/>
  <c r="B28" i="22"/>
  <c r="O200" i="5"/>
  <c r="C28" i="22"/>
  <c r="Q200" i="5"/>
  <c r="D28" i="22"/>
  <c r="E28" i="22"/>
  <c r="D7" i="22"/>
  <c r="F7" i="22"/>
  <c r="B20" i="22"/>
  <c r="C20" i="22"/>
  <c r="D20" i="22"/>
  <c r="E20" i="22"/>
  <c r="B8" i="22"/>
  <c r="F8" i="22"/>
  <c r="F9" i="22"/>
  <c r="G4" i="22"/>
  <c r="G5" i="22"/>
  <c r="G6" i="22"/>
  <c r="G7" i="22"/>
  <c r="G8" i="22"/>
  <c r="G9" i="22"/>
  <c r="Q129" i="5"/>
  <c r="O129" i="5"/>
  <c r="M129" i="5"/>
  <c r="G160" i="5"/>
  <c r="H160" i="5"/>
  <c r="G162" i="5"/>
  <c r="Q115" i="5"/>
  <c r="Q116" i="5"/>
  <c r="R115" i="5"/>
  <c r="M126" i="5"/>
  <c r="M130" i="5"/>
  <c r="M138" i="5"/>
  <c r="M200" i="5"/>
  <c r="B30" i="22"/>
  <c r="O126" i="5"/>
  <c r="O130" i="5"/>
  <c r="C30" i="22"/>
  <c r="Q126" i="5"/>
  <c r="Q130" i="5"/>
  <c r="D30" i="22"/>
  <c r="E30" i="22"/>
  <c r="M94" i="5"/>
  <c r="M98" i="5"/>
  <c r="B34" i="22"/>
  <c r="O94" i="5"/>
  <c r="O98" i="5"/>
  <c r="C34" i="22"/>
  <c r="Q98" i="5"/>
  <c r="D34" i="22"/>
  <c r="E34" i="22"/>
  <c r="M125" i="5"/>
  <c r="M137" i="5"/>
  <c r="M141" i="5"/>
  <c r="B35" i="22"/>
  <c r="C35" i="22"/>
  <c r="D35" i="22"/>
  <c r="E35" i="22"/>
  <c r="M172" i="5"/>
  <c r="M176" i="5"/>
  <c r="B36" i="22"/>
  <c r="O172" i="5"/>
  <c r="O176" i="5"/>
  <c r="C36" i="22"/>
  <c r="Q172" i="5"/>
  <c r="Q176" i="5"/>
  <c r="D36" i="22"/>
  <c r="E36" i="22"/>
  <c r="M199" i="5"/>
  <c r="M203" i="5"/>
  <c r="M207" i="5"/>
  <c r="M211" i="5"/>
  <c r="M215" i="5"/>
  <c r="M219" i="5"/>
  <c r="M223" i="5"/>
  <c r="M227" i="5"/>
  <c r="B37" i="22"/>
  <c r="O215" i="5"/>
  <c r="O219" i="5"/>
  <c r="O223" i="5"/>
  <c r="C37" i="22"/>
  <c r="Q215" i="5"/>
  <c r="Q219" i="5"/>
  <c r="Q223" i="5"/>
  <c r="D37" i="22"/>
  <c r="E37" i="22"/>
  <c r="M244" i="5"/>
  <c r="M248" i="5"/>
  <c r="M252" i="5"/>
  <c r="B38" i="22"/>
  <c r="O244" i="5"/>
  <c r="O248" i="5"/>
  <c r="O252" i="5"/>
  <c r="C38" i="22"/>
  <c r="Q244" i="5"/>
  <c r="Q248" i="5"/>
  <c r="Q252" i="5"/>
  <c r="D38" i="22"/>
  <c r="E38" i="22"/>
  <c r="E39" i="22"/>
  <c r="F28" i="22"/>
  <c r="F26" i="22"/>
  <c r="F25" i="22"/>
  <c r="F38" i="22"/>
  <c r="F37" i="22"/>
  <c r="F36" i="22"/>
  <c r="F35" i="22"/>
  <c r="F34" i="22"/>
  <c r="B21" i="22"/>
  <c r="C21" i="22"/>
  <c r="D21" i="22"/>
  <c r="E21" i="22"/>
  <c r="F20" i="22"/>
  <c r="F19" i="22"/>
  <c r="F18" i="22"/>
  <c r="F17" i="22"/>
  <c r="F16" i="22"/>
  <c r="Q119" i="5"/>
  <c r="O119" i="5"/>
  <c r="M119" i="5"/>
  <c r="Q62" i="5"/>
  <c r="Q64" i="5"/>
  <c r="O62" i="5"/>
  <c r="O64" i="5"/>
  <c r="M62" i="5"/>
  <c r="M64" i="5"/>
  <c r="D39" i="22"/>
  <c r="C39" i="22"/>
  <c r="B39" i="22"/>
  <c r="E29" i="22"/>
  <c r="D8" i="22"/>
  <c r="E27" i="22"/>
  <c r="D6" i="22"/>
  <c r="D9" i="22"/>
  <c r="E6" i="22"/>
  <c r="B9" i="22"/>
  <c r="C6" i="22"/>
  <c r="C4" i="22"/>
  <c r="E4" i="22"/>
  <c r="E5" i="22"/>
  <c r="E7" i="22"/>
  <c r="E8" i="22"/>
  <c r="E9" i="22"/>
  <c r="C7" i="22"/>
  <c r="C5" i="22"/>
  <c r="A1" i="22"/>
  <c r="L32" i="6"/>
  <c r="K32" i="6"/>
  <c r="M31" i="6"/>
  <c r="L31" i="6"/>
  <c r="K31" i="6"/>
  <c r="F169" i="5"/>
  <c r="AN169" i="5"/>
  <c r="Q122" i="5"/>
  <c r="AO122" i="5"/>
  <c r="F87" i="5"/>
  <c r="O38" i="5"/>
  <c r="Q38" i="5"/>
  <c r="S38" i="5"/>
  <c r="M34" i="6"/>
  <c r="K34" i="6"/>
  <c r="L34" i="6"/>
  <c r="Q34" i="6"/>
  <c r="M32" i="6"/>
  <c r="K33" i="6"/>
  <c r="K35" i="6"/>
  <c r="L33" i="6"/>
  <c r="M33" i="6"/>
  <c r="Q33" i="6"/>
  <c r="L35" i="6"/>
  <c r="L39" i="6"/>
  <c r="L43" i="6"/>
  <c r="M35" i="6"/>
  <c r="Q35" i="6"/>
  <c r="M39" i="6"/>
  <c r="M43" i="6"/>
  <c r="Q167" i="5"/>
  <c r="Q166" i="5"/>
  <c r="O167" i="5"/>
  <c r="O166" i="5"/>
  <c r="M167" i="5"/>
  <c r="M166" i="5"/>
  <c r="Q163" i="5"/>
  <c r="Q162" i="5"/>
  <c r="O163" i="5"/>
  <c r="O162" i="5"/>
  <c r="M163" i="5"/>
  <c r="M162" i="5"/>
  <c r="N162" i="5"/>
  <c r="Q159" i="5"/>
  <c r="Q158" i="5"/>
  <c r="O159" i="5"/>
  <c r="O158" i="5"/>
  <c r="P158" i="5"/>
  <c r="M159" i="5"/>
  <c r="M158" i="5"/>
  <c r="Q155" i="5"/>
  <c r="Q154" i="5"/>
  <c r="O155" i="5"/>
  <c r="O154" i="5"/>
  <c r="P154" i="5"/>
  <c r="M155" i="5"/>
  <c r="M154" i="5"/>
  <c r="Q111" i="5"/>
  <c r="R111" i="5"/>
  <c r="O111" i="5"/>
  <c r="P111" i="5"/>
  <c r="M111" i="5"/>
  <c r="Q56" i="5"/>
  <c r="O56" i="5"/>
  <c r="M56" i="5"/>
  <c r="Q52" i="5"/>
  <c r="O52" i="5"/>
  <c r="M52" i="5"/>
  <c r="P113" i="5"/>
  <c r="P115" i="5"/>
  <c r="O116" i="5"/>
  <c r="O115" i="5"/>
  <c r="N113" i="5"/>
  <c r="N115" i="5"/>
  <c r="M116" i="5"/>
  <c r="M115" i="5"/>
  <c r="Q81" i="5"/>
  <c r="Q80" i="5"/>
  <c r="O81" i="5"/>
  <c r="O80" i="5"/>
  <c r="P80" i="5"/>
  <c r="M81" i="5"/>
  <c r="M80" i="5"/>
  <c r="N80" i="5"/>
  <c r="Q75" i="5"/>
  <c r="Q77" i="5"/>
  <c r="R76" i="5"/>
  <c r="O75" i="5"/>
  <c r="M75" i="5"/>
  <c r="N74" i="5"/>
  <c r="M77" i="5"/>
  <c r="M76" i="5"/>
  <c r="K39" i="6"/>
  <c r="K43" i="6"/>
  <c r="K36" i="6"/>
  <c r="K45" i="6"/>
  <c r="D44" i="9"/>
  <c r="G39" i="9"/>
  <c r="C39" i="9"/>
  <c r="E39" i="9"/>
  <c r="H39" i="9"/>
  <c r="D33" i="9"/>
  <c r="D24" i="9"/>
  <c r="D25" i="9"/>
  <c r="D27" i="9"/>
  <c r="F27" i="9"/>
  <c r="C32" i="9"/>
  <c r="C22" i="9"/>
  <c r="E22" i="9"/>
  <c r="G22" i="9"/>
  <c r="H22" i="9"/>
  <c r="D17" i="9"/>
  <c r="C18" i="9"/>
  <c r="F15" i="9"/>
  <c r="C14" i="9"/>
  <c r="D13" i="9"/>
  <c r="D12" i="9"/>
  <c r="E14" i="9"/>
  <c r="F13" i="9"/>
  <c r="F10" i="9"/>
  <c r="F12" i="9"/>
  <c r="G14" i="9"/>
  <c r="H7" i="9"/>
  <c r="G6" i="9"/>
  <c r="C6" i="9"/>
  <c r="D4" i="9"/>
  <c r="E6" i="9"/>
  <c r="H6" i="9"/>
  <c r="M28" i="6"/>
  <c r="N26" i="6"/>
  <c r="K14" i="6"/>
  <c r="P166" i="5"/>
  <c r="R164" i="5"/>
  <c r="P164" i="5"/>
  <c r="N164" i="5"/>
  <c r="R162" i="5"/>
  <c r="R160" i="5"/>
  <c r="P160" i="5"/>
  <c r="N160" i="5"/>
  <c r="R156" i="5"/>
  <c r="P156" i="5"/>
  <c r="N156" i="5"/>
  <c r="R154" i="5"/>
  <c r="N154" i="5"/>
  <c r="R152" i="5"/>
  <c r="P152" i="5"/>
  <c r="N152" i="5"/>
  <c r="H152" i="5"/>
  <c r="R84" i="5"/>
  <c r="P84" i="5"/>
  <c r="N84" i="5"/>
  <c r="R82" i="5"/>
  <c r="P82" i="5"/>
  <c r="N82" i="5"/>
  <c r="H82" i="5"/>
  <c r="G82" i="5"/>
  <c r="R78" i="5"/>
  <c r="P78" i="5"/>
  <c r="N78" i="5"/>
  <c r="H78" i="5"/>
  <c r="H74" i="5"/>
  <c r="R72" i="5"/>
  <c r="P72" i="5"/>
  <c r="N72" i="5"/>
  <c r="R70" i="5"/>
  <c r="P70" i="5"/>
  <c r="N70" i="5"/>
  <c r="H70" i="5"/>
  <c r="R68" i="5"/>
  <c r="P68" i="5"/>
  <c r="N68" i="5"/>
  <c r="R66" i="5"/>
  <c r="P66" i="5"/>
  <c r="N66" i="5"/>
  <c r="H66" i="5"/>
  <c r="H62" i="5"/>
  <c r="R60" i="5"/>
  <c r="P60" i="5"/>
  <c r="N60" i="5"/>
  <c r="R58" i="5"/>
  <c r="P58" i="5"/>
  <c r="N58" i="5"/>
  <c r="R56" i="5"/>
  <c r="P56" i="5"/>
  <c r="R54" i="5"/>
  <c r="P54" i="5"/>
  <c r="N54" i="5"/>
  <c r="H54" i="5"/>
  <c r="R52" i="5"/>
  <c r="P52" i="5"/>
  <c r="N52" i="5"/>
  <c r="R50" i="5"/>
  <c r="P50" i="5"/>
  <c r="N50" i="5"/>
  <c r="H50" i="5"/>
  <c r="R119" i="5"/>
  <c r="P119" i="5"/>
  <c r="N119" i="5"/>
  <c r="R117" i="5"/>
  <c r="P117" i="5"/>
  <c r="N117" i="5"/>
  <c r="H117" i="5"/>
  <c r="R113" i="5"/>
  <c r="H113" i="5"/>
  <c r="N111" i="5"/>
  <c r="R109" i="5"/>
  <c r="P109" i="5"/>
  <c r="N109" i="5"/>
  <c r="H109" i="5"/>
  <c r="R238" i="5"/>
  <c r="P238" i="5"/>
  <c r="N238" i="5"/>
  <c r="R236" i="5"/>
  <c r="P236" i="5"/>
  <c r="N236" i="5"/>
  <c r="H236" i="5"/>
  <c r="A34" i="6"/>
  <c r="B34" i="6"/>
  <c r="A35" i="6"/>
  <c r="B35" i="6"/>
  <c r="A36" i="6"/>
  <c r="B36" i="6"/>
  <c r="A37" i="6"/>
  <c r="B37" i="6"/>
  <c r="A14" i="6"/>
  <c r="A15" i="6"/>
  <c r="A16" i="6"/>
  <c r="A17" i="6"/>
  <c r="A18" i="6"/>
  <c r="B18" i="6"/>
  <c r="A19" i="6"/>
  <c r="B19" i="6"/>
  <c r="A20" i="6"/>
  <c r="B20" i="6"/>
  <c r="A21" i="6"/>
  <c r="B21" i="6"/>
  <c r="A22" i="6"/>
  <c r="B22" i="6"/>
  <c r="A23" i="6"/>
  <c r="B23" i="6"/>
  <c r="A24" i="6"/>
  <c r="B24" i="6"/>
  <c r="A25" i="6"/>
  <c r="B25" i="6"/>
  <c r="A26" i="6"/>
  <c r="B26" i="6"/>
  <c r="A27" i="6"/>
  <c r="B27" i="6"/>
  <c r="A28" i="6"/>
  <c r="B28" i="6"/>
  <c r="A29" i="6"/>
  <c r="B29" i="6"/>
  <c r="A30" i="6"/>
  <c r="B30" i="6"/>
  <c r="A31" i="6"/>
  <c r="B31" i="6"/>
  <c r="A32" i="6"/>
  <c r="B32" i="6"/>
  <c r="A33" i="6"/>
  <c r="B33" i="6"/>
  <c r="A4" i="6"/>
  <c r="A5" i="6"/>
  <c r="A6" i="6"/>
  <c r="A7" i="6"/>
  <c r="A8" i="6"/>
  <c r="A9" i="6"/>
  <c r="A10" i="6"/>
  <c r="A11" i="6"/>
  <c r="A13" i="6"/>
  <c r="B3" i="6"/>
  <c r="A52" i="6"/>
  <c r="A54" i="6"/>
  <c r="A53" i="6"/>
  <c r="B47" i="6" a="1"/>
  <c r="B47" i="6"/>
  <c r="B48" i="6"/>
  <c r="R59" i="4"/>
  <c r="P59" i="4"/>
  <c r="N59" i="4"/>
  <c r="R57" i="4"/>
  <c r="P57" i="4"/>
  <c r="N57" i="4"/>
  <c r="H57" i="4"/>
  <c r="R55" i="4"/>
  <c r="P55" i="4"/>
  <c r="N55" i="4"/>
  <c r="R53" i="4"/>
  <c r="P53" i="4"/>
  <c r="N53" i="4"/>
  <c r="H53" i="4"/>
  <c r="R51" i="4"/>
  <c r="P51" i="4"/>
  <c r="N51" i="4"/>
  <c r="R49" i="4"/>
  <c r="P49" i="4"/>
  <c r="N49" i="4"/>
  <c r="H49" i="4"/>
  <c r="S6" i="4"/>
  <c r="S5" i="4"/>
  <c r="S4" i="4"/>
  <c r="S3" i="4"/>
  <c r="S6" i="5"/>
  <c r="R193" i="5"/>
  <c r="R191" i="5"/>
  <c r="R189" i="5"/>
  <c r="R187" i="5"/>
  <c r="P187" i="5"/>
  <c r="P189" i="5"/>
  <c r="P191" i="5"/>
  <c r="P193" i="5"/>
  <c r="N193" i="5"/>
  <c r="N191" i="5"/>
  <c r="N189" i="5"/>
  <c r="N187" i="5"/>
  <c r="H191" i="5"/>
  <c r="H187" i="5"/>
  <c r="S4" i="5"/>
  <c r="S5" i="5"/>
  <c r="C1" i="18"/>
  <c r="D5" i="11"/>
  <c r="D7" i="11"/>
  <c r="A96" i="18"/>
  <c r="J1" i="6" s="1"/>
  <c r="D12" i="16"/>
  <c r="D16" i="16"/>
  <c r="D28" i="16"/>
  <c r="D44" i="16"/>
  <c r="D48" i="16"/>
  <c r="D60" i="16"/>
  <c r="D9" i="16"/>
  <c r="D13" i="16"/>
  <c r="D25" i="16"/>
  <c r="D41" i="16"/>
  <c r="D45" i="16"/>
  <c r="D57" i="16"/>
  <c r="D23" i="16"/>
  <c r="D31" i="16"/>
  <c r="D55" i="16"/>
  <c r="D14" i="16"/>
  <c r="D18" i="16"/>
  <c r="D30" i="16"/>
  <c r="D46" i="16"/>
  <c r="D50" i="16"/>
  <c r="D62" i="16"/>
  <c r="D15" i="16"/>
  <c r="D19" i="16"/>
  <c r="D43" i="16"/>
  <c r="E23" i="15"/>
  <c r="E27" i="15"/>
  <c r="E11" i="15"/>
  <c r="E15" i="14"/>
  <c r="E11" i="14"/>
  <c r="E72" i="13"/>
  <c r="E56" i="13"/>
  <c r="E52" i="13"/>
  <c r="E40" i="13"/>
  <c r="E24" i="13"/>
  <c r="E5" i="13"/>
  <c r="E4" i="13"/>
  <c r="E39" i="12"/>
  <c r="E43" i="12"/>
  <c r="E55" i="12"/>
  <c r="E71" i="12"/>
  <c r="E75" i="12"/>
  <c r="E87" i="12"/>
  <c r="E103" i="12"/>
  <c r="E107" i="12"/>
  <c r="E119" i="12"/>
  <c r="E18" i="15"/>
  <c r="E14" i="15"/>
  <c r="E22" i="14"/>
  <c r="E6" i="14"/>
  <c r="E2" i="14"/>
  <c r="E63" i="13"/>
  <c r="E47" i="13"/>
  <c r="E43" i="13"/>
  <c r="E31" i="13"/>
  <c r="E16" i="13"/>
  <c r="E12" i="13"/>
  <c r="E28" i="12"/>
  <c r="E44" i="12"/>
  <c r="E48" i="12"/>
  <c r="E60" i="12"/>
  <c r="E76" i="12"/>
  <c r="E80" i="12"/>
  <c r="E92" i="12"/>
  <c r="E108" i="12"/>
  <c r="E112" i="12"/>
  <c r="E124" i="12"/>
  <c r="E140" i="12"/>
  <c r="E144" i="12"/>
  <c r="E156" i="12"/>
  <c r="E17" i="12"/>
  <c r="E13" i="12"/>
  <c r="E9" i="12"/>
  <c r="E21" i="15"/>
  <c r="E17" i="15"/>
  <c r="E9" i="15"/>
  <c r="E21" i="14"/>
  <c r="E13" i="14"/>
  <c r="E9" i="14"/>
  <c r="E70" i="13"/>
  <c r="E66" i="13"/>
  <c r="E62" i="13"/>
  <c r="E34" i="12"/>
  <c r="E58" i="12"/>
  <c r="E106" i="12"/>
  <c r="E139" i="12"/>
  <c r="E161" i="12"/>
  <c r="E12" i="12"/>
  <c r="E54" i="13"/>
  <c r="E30" i="13"/>
  <c r="E15" i="13"/>
  <c r="E61" i="12"/>
  <c r="E77" i="12"/>
  <c r="E109" i="12"/>
  <c r="E135" i="12"/>
  <c r="E157" i="12"/>
  <c r="E22" i="12"/>
  <c r="E4" i="14"/>
  <c r="E53" i="13"/>
  <c r="E37" i="13"/>
  <c r="E46" i="12"/>
  <c r="E12" i="15"/>
  <c r="E73" i="13"/>
  <c r="E50" i="13"/>
  <c r="E34" i="13"/>
  <c r="E26" i="13"/>
  <c r="E2" i="13"/>
  <c r="E33" i="12"/>
  <c r="E41" i="12"/>
  <c r="E57" i="12"/>
  <c r="E65" i="12"/>
  <c r="E73" i="12"/>
  <c r="E89" i="12"/>
  <c r="E97" i="12"/>
  <c r="E105" i="12"/>
  <c r="E121" i="12"/>
  <c r="E127" i="12"/>
  <c r="E133" i="12"/>
  <c r="E143" i="12"/>
  <c r="E149" i="12"/>
  <c r="E154" i="12"/>
  <c r="E24" i="12"/>
  <c r="E19" i="12"/>
  <c r="E14" i="12"/>
  <c r="E3" i="12"/>
  <c r="E8" i="15"/>
  <c r="E12" i="14"/>
  <c r="E57" i="13"/>
  <c r="E49" i="13"/>
  <c r="E41" i="13"/>
  <c r="E18" i="13"/>
  <c r="E10" i="13"/>
  <c r="E26" i="12"/>
  <c r="E50" i="12"/>
  <c r="E66" i="12"/>
  <c r="E74" i="12"/>
  <c r="E98" i="12"/>
  <c r="E114" i="12"/>
  <c r="E129" i="12"/>
  <c r="E145" i="12"/>
  <c r="E155" i="12"/>
  <c r="E23" i="12"/>
  <c r="E7" i="12"/>
  <c r="E20" i="15"/>
  <c r="E8" i="14"/>
  <c r="E46" i="13"/>
  <c r="E38" i="13"/>
  <c r="E22" i="13"/>
  <c r="E37" i="12"/>
  <c r="E53" i="12"/>
  <c r="E69" i="12"/>
  <c r="E101" i="12"/>
  <c r="E117" i="12"/>
  <c r="E130" i="12"/>
  <c r="E151" i="12"/>
  <c r="E162" i="12"/>
  <c r="E16" i="12"/>
  <c r="E20" i="14"/>
  <c r="E61" i="13"/>
  <c r="E45" i="13"/>
  <c r="E14" i="13"/>
  <c r="E6" i="13"/>
  <c r="E38" i="12"/>
  <c r="E102" i="12"/>
  <c r="E153" i="12"/>
  <c r="E78" i="12"/>
  <c r="E137" i="12"/>
  <c r="E158" i="12"/>
  <c r="E10" i="12"/>
  <c r="E86" i="12"/>
  <c r="E142" i="12"/>
  <c r="E163" i="12"/>
  <c r="E62" i="12"/>
  <c r="E94" i="12"/>
  <c r="E126" i="12"/>
  <c r="E20" i="12"/>
  <c r="E70" i="12"/>
  <c r="E131" i="12"/>
  <c r="D15" i="11"/>
  <c r="D12" i="11"/>
  <c r="B9" i="6"/>
  <c r="D16" i="11"/>
  <c r="D24" i="11"/>
  <c r="D28" i="11"/>
  <c r="C4" i="10"/>
  <c r="D13" i="11"/>
  <c r="B10" i="6" s="1"/>
  <c r="D21" i="11"/>
  <c r="B16" i="6"/>
  <c r="D25" i="11"/>
  <c r="D29" i="11"/>
  <c r="C5" i="10"/>
  <c r="D14" i="11"/>
  <c r="B11" i="6"/>
  <c r="D18" i="11"/>
  <c r="B13" i="6" s="1"/>
  <c r="D22" i="11"/>
  <c r="D26" i="11"/>
  <c r="D30" i="11"/>
  <c r="D11" i="11"/>
  <c r="B8" i="6"/>
  <c r="D19" i="11"/>
  <c r="B14" i="6" s="1"/>
  <c r="D23" i="11"/>
  <c r="D10" i="11"/>
  <c r="B7" i="6"/>
  <c r="C3" i="10"/>
  <c r="A90" i="18"/>
  <c r="K242" i="5"/>
  <c r="A88" i="18"/>
  <c r="D242" i="5" s="1"/>
  <c r="A91" i="18"/>
  <c r="S63" i="4" s="1"/>
  <c r="A92" i="18"/>
  <c r="S64" i="4" s="1"/>
  <c r="A77" i="18"/>
  <c r="U3" i="4" s="1"/>
  <c r="A84" i="18"/>
  <c r="A241" i="5" s="1"/>
  <c r="A85" i="18"/>
  <c r="J241" i="5" s="1"/>
  <c r="A86" i="18"/>
  <c r="A197" i="5" s="1"/>
  <c r="A83" i="18"/>
  <c r="S46" i="4" s="1"/>
  <c r="A80" i="18"/>
  <c r="O1" i="5" s="1"/>
  <c r="A81" i="18"/>
  <c r="A1" i="4" s="1"/>
  <c r="A79" i="18"/>
  <c r="K74" i="4" s="1"/>
  <c r="A78" i="18"/>
  <c r="K49" i="4" s="1"/>
  <c r="A74" i="18"/>
  <c r="A42" i="5" s="1"/>
  <c r="A73" i="18"/>
  <c r="U32" i="5" s="1"/>
  <c r="A67" i="18"/>
  <c r="A62" i="18"/>
  <c r="A58" i="18"/>
  <c r="A38" i="18"/>
  <c r="A71" i="18"/>
  <c r="A10" i="18"/>
  <c r="A5" i="4"/>
  <c r="A41" i="18"/>
  <c r="A23" i="5"/>
  <c r="G7" i="17"/>
  <c r="G9" i="17"/>
  <c r="G4" i="17"/>
  <c r="A51" i="18"/>
  <c r="A23" i="18"/>
  <c r="A18" i="18"/>
  <c r="A57" i="18"/>
  <c r="A4" i="18"/>
  <c r="G14" i="17"/>
  <c r="G5" i="17"/>
  <c r="A8" i="18"/>
  <c r="G13" i="17"/>
  <c r="A44" i="18"/>
  <c r="B32" i="5"/>
  <c r="A54" i="18"/>
  <c r="A47" i="18"/>
  <c r="A24" i="18"/>
  <c r="U6" i="17"/>
  <c r="A53" i="18"/>
  <c r="G8" i="17"/>
  <c r="G15" i="17"/>
  <c r="A55" i="18"/>
  <c r="A39" i="18"/>
  <c r="A72" i="18"/>
  <c r="L21" i="5" s="1"/>
  <c r="G12" i="17"/>
  <c r="U7" i="17"/>
  <c r="A52" i="18"/>
  <c r="A29" i="18"/>
  <c r="I14" i="5"/>
  <c r="A5" i="17"/>
  <c r="A40" i="18"/>
  <c r="A6" i="18"/>
  <c r="A15" i="18"/>
  <c r="A34" i="18"/>
  <c r="M64" i="4"/>
  <c r="A3" i="17"/>
  <c r="A4" i="17"/>
  <c r="A26" i="18"/>
  <c r="A36" i="18"/>
  <c r="S15" i="5" s="1"/>
  <c r="A64" i="18"/>
  <c r="A5" i="18"/>
  <c r="A27" i="18"/>
  <c r="A14" i="5" s="1"/>
  <c r="A31" i="18"/>
  <c r="I33" i="5" s="1"/>
  <c r="A25" i="18"/>
  <c r="A8" i="4" s="1"/>
  <c r="A48" i="18"/>
  <c r="A65" i="18"/>
  <c r="A63" i="18"/>
  <c r="G3" i="17"/>
  <c r="A33" i="18"/>
  <c r="L33" i="5" s="1"/>
  <c r="A37" i="18"/>
  <c r="A6" i="17"/>
  <c r="A45" i="18"/>
  <c r="A46" i="18"/>
  <c r="A7" i="18"/>
  <c r="A2" i="4" s="1"/>
  <c r="A30" i="18"/>
  <c r="M232" i="5" s="1"/>
  <c r="A17" i="18"/>
  <c r="A68" i="18"/>
  <c r="A13" i="18"/>
  <c r="H3" i="4" s="1"/>
  <c r="A56" i="18"/>
  <c r="A16" i="18"/>
  <c r="A50" i="18"/>
  <c r="A32" i="18"/>
  <c r="I234" i="5"/>
  <c r="A49" i="18"/>
  <c r="A232" i="5"/>
  <c r="A14" i="18"/>
  <c r="G10" i="17"/>
  <c r="A69" i="18"/>
  <c r="A1" i="7"/>
  <c r="A9" i="18"/>
  <c r="A4" i="4"/>
  <c r="A66" i="18"/>
  <c r="E183" i="5"/>
  <c r="A20" i="18"/>
  <c r="A21" i="18"/>
  <c r="U5" i="17"/>
  <c r="G11" i="17"/>
  <c r="U4" i="17"/>
  <c r="A35" i="18"/>
  <c r="Q15" i="4" s="1"/>
  <c r="A70" i="18"/>
  <c r="A2" i="7" s="1"/>
  <c r="G6" i="17"/>
  <c r="A60" i="18"/>
  <c r="A28" i="18"/>
  <c r="B14" i="4" s="1"/>
  <c r="A12" i="18"/>
  <c r="A42" i="18"/>
  <c r="A24" i="5"/>
  <c r="A19" i="18"/>
  <c r="A43" i="18"/>
  <c r="A32" i="5" s="1"/>
  <c r="A59" i="18"/>
  <c r="U3" i="17"/>
  <c r="A22" i="18"/>
  <c r="A11" i="18"/>
  <c r="A6" i="4"/>
  <c r="AO169" i="5"/>
  <c r="S3" i="5"/>
  <c r="D1" i="18"/>
  <c r="I12" i="11"/>
  <c r="H14" i="9"/>
  <c r="F33" i="9"/>
  <c r="H33" i="9"/>
  <c r="F24" i="9"/>
  <c r="E9" i="13"/>
  <c r="D4" i="11"/>
  <c r="A97" i="18"/>
  <c r="J3" i="6"/>
  <c r="A94" i="18"/>
  <c r="A1" i="8"/>
  <c r="D4" i="16"/>
  <c r="D20" i="16"/>
  <c r="D36" i="16"/>
  <c r="D52" i="16"/>
  <c r="E2" i="15"/>
  <c r="D17" i="16"/>
  <c r="D33" i="16"/>
  <c r="D49" i="16"/>
  <c r="D65" i="16"/>
  <c r="D39" i="16"/>
  <c r="D6" i="16"/>
  <c r="D22" i="16"/>
  <c r="D38" i="16"/>
  <c r="D54" i="16"/>
  <c r="D3" i="16"/>
  <c r="D27" i="16"/>
  <c r="D59" i="16"/>
  <c r="E19" i="15"/>
  <c r="E3" i="15"/>
  <c r="E7" i="14"/>
  <c r="E64" i="13"/>
  <c r="E48" i="13"/>
  <c r="E32" i="13"/>
  <c r="E17" i="13"/>
  <c r="E31" i="12"/>
  <c r="E47" i="12"/>
  <c r="E63" i="12"/>
  <c r="E79" i="12"/>
  <c r="E95" i="12"/>
  <c r="E111" i="12"/>
  <c r="E24" i="15"/>
  <c r="E10" i="15"/>
  <c r="E14" i="14"/>
  <c r="E71" i="13"/>
  <c r="E55" i="13"/>
  <c r="E39" i="13"/>
  <c r="E23" i="13"/>
  <c r="E8" i="13"/>
  <c r="E36" i="12"/>
  <c r="E52" i="12"/>
  <c r="E68" i="12"/>
  <c r="E84" i="12"/>
  <c r="E100" i="12"/>
  <c r="E116" i="12"/>
  <c r="E132" i="12"/>
  <c r="E148" i="12"/>
  <c r="E25" i="12"/>
  <c r="D3" i="11"/>
  <c r="D2" i="11"/>
  <c r="B4" i="6"/>
  <c r="D8" i="16"/>
  <c r="D24" i="16"/>
  <c r="D40" i="16"/>
  <c r="D56" i="16"/>
  <c r="D5" i="16"/>
  <c r="D21" i="16"/>
  <c r="D37" i="16"/>
  <c r="D53" i="16"/>
  <c r="D11" i="16"/>
  <c r="D47" i="16"/>
  <c r="D10" i="16"/>
  <c r="D26" i="16"/>
  <c r="D42" i="16"/>
  <c r="D58" i="16"/>
  <c r="D7" i="16"/>
  <c r="D35" i="16"/>
  <c r="D2" i="16"/>
  <c r="E15" i="15"/>
  <c r="E19" i="14"/>
  <c r="E3" i="14"/>
  <c r="E60" i="13"/>
  <c r="E44" i="13"/>
  <c r="E28" i="13"/>
  <c r="E13" i="13"/>
  <c r="E35" i="12"/>
  <c r="E51" i="12"/>
  <c r="E67" i="12"/>
  <c r="E83" i="12"/>
  <c r="E99" i="12"/>
  <c r="E115" i="12"/>
  <c r="E22" i="15"/>
  <c r="E6" i="15"/>
  <c r="E10" i="14"/>
  <c r="E67" i="13"/>
  <c r="E51" i="13"/>
  <c r="E35" i="13"/>
  <c r="E20" i="13"/>
  <c r="E3" i="13"/>
  <c r="E40" i="12"/>
  <c r="E56" i="12"/>
  <c r="E72" i="12"/>
  <c r="E88" i="12"/>
  <c r="E104" i="12"/>
  <c r="E120" i="12"/>
  <c r="E136" i="12"/>
  <c r="E152" i="12"/>
  <c r="E21" i="12"/>
  <c r="E5" i="12"/>
  <c r="E13" i="15"/>
  <c r="E17" i="14"/>
  <c r="E74" i="13"/>
  <c r="E26" i="15"/>
  <c r="E82" i="12"/>
  <c r="E150" i="12"/>
  <c r="E4" i="15"/>
  <c r="E29" i="12"/>
  <c r="E93" i="12"/>
  <c r="E146" i="12"/>
  <c r="E16" i="15"/>
  <c r="E21" i="13"/>
  <c r="E16" i="14"/>
  <c r="E42" i="13"/>
  <c r="E11" i="13"/>
  <c r="K15" i="6"/>
  <c r="D4" i="4"/>
  <c r="K81" i="4"/>
  <c r="L20" i="4"/>
  <c r="A24" i="4"/>
  <c r="Q198" i="5"/>
  <c r="K69" i="4"/>
  <c r="K236" i="5"/>
  <c r="A65" i="4"/>
  <c r="K77" i="4"/>
  <c r="B19" i="4"/>
  <c r="D53" i="4"/>
  <c r="J236" i="5"/>
  <c r="L17" i="4"/>
  <c r="L19" i="4"/>
  <c r="A1" i="5"/>
  <c r="M184" i="5"/>
  <c r="A45" i="4"/>
  <c r="O1" i="4"/>
  <c r="S197" i="5"/>
  <c r="J62" i="4"/>
  <c r="K67" i="4"/>
  <c r="K73" i="4"/>
  <c r="K83" i="4"/>
  <c r="K79" i="4"/>
  <c r="I47" i="4"/>
  <c r="J49" i="4"/>
  <c r="J191" i="5"/>
  <c r="E53" i="4"/>
  <c r="K75" i="4"/>
  <c r="A77" i="4"/>
  <c r="J187" i="5"/>
  <c r="K63" i="4"/>
  <c r="E57" i="4"/>
  <c r="K53" i="4"/>
  <c r="K187" i="5"/>
  <c r="K57" i="4"/>
  <c r="K244" i="5"/>
  <c r="K191" i="5"/>
  <c r="K254" i="5"/>
  <c r="D43" i="4"/>
  <c r="B36" i="4"/>
  <c r="L21" i="4"/>
  <c r="B35" i="4"/>
  <c r="D191" i="5"/>
  <c r="L36" i="4"/>
  <c r="B39" i="4"/>
  <c r="U5" i="4"/>
  <c r="K246" i="5"/>
  <c r="K65" i="4"/>
  <c r="L38" i="4"/>
  <c r="D6" i="4"/>
  <c r="L18" i="4"/>
  <c r="E236" i="5"/>
  <c r="E49" i="4"/>
  <c r="K197" i="5"/>
  <c r="A5" i="5"/>
  <c r="K15" i="4"/>
  <c r="E232" i="5"/>
  <c r="E45" i="4"/>
  <c r="K245" i="5"/>
  <c r="K82" i="4"/>
  <c r="K250" i="5"/>
  <c r="U5" i="5"/>
  <c r="K248" i="5"/>
  <c r="K71" i="4"/>
  <c r="L15" i="4"/>
  <c r="K189" i="5"/>
  <c r="J47" i="4"/>
  <c r="A81" i="4"/>
  <c r="A69" i="4"/>
  <c r="E191" i="5"/>
  <c r="D5" i="4"/>
  <c r="N3" i="17"/>
  <c r="A14" i="4"/>
  <c r="A73" i="4"/>
  <c r="L39" i="4"/>
  <c r="B18" i="4"/>
  <c r="K252" i="5"/>
  <c r="B17" i="4"/>
  <c r="J57" i="4"/>
  <c r="J234" i="5"/>
  <c r="K70" i="4"/>
  <c r="S198" i="5"/>
  <c r="A183" i="5"/>
  <c r="S242" i="5"/>
  <c r="M198" i="5"/>
  <c r="Q184" i="5"/>
  <c r="O64" i="4"/>
  <c r="O46" i="4"/>
  <c r="J196" i="5"/>
  <c r="O33" i="4"/>
  <c r="Q15" i="5"/>
  <c r="O198" i="5"/>
  <c r="O243" i="5"/>
  <c r="B14" i="5"/>
  <c r="A6" i="5"/>
  <c r="K247" i="5"/>
  <c r="A63" i="4"/>
  <c r="M243" i="5"/>
  <c r="Q46" i="4"/>
  <c r="Q64" i="4"/>
  <c r="S15" i="4"/>
  <c r="K68" i="4"/>
  <c r="K253" i="5"/>
  <c r="U6" i="4"/>
  <c r="K249" i="5"/>
  <c r="K78" i="4"/>
  <c r="I185" i="5"/>
  <c r="K33" i="4"/>
  <c r="K15" i="5"/>
  <c r="K72" i="4"/>
  <c r="D236" i="5"/>
  <c r="D6" i="11"/>
  <c r="B17" i="6" s="1"/>
  <c r="A95" i="18"/>
  <c r="A2" i="8" s="1"/>
  <c r="D32" i="16"/>
  <c r="D64" i="16"/>
  <c r="D29" i="16"/>
  <c r="D61" i="16"/>
  <c r="D63" i="16"/>
  <c r="D34" i="16"/>
  <c r="D66" i="16"/>
  <c r="D51" i="16"/>
  <c r="E7" i="15"/>
  <c r="E68" i="13"/>
  <c r="E36" i="13"/>
  <c r="E27" i="12"/>
  <c r="E59" i="12"/>
  <c r="E91" i="12"/>
  <c r="E123" i="12"/>
  <c r="E18" i="14"/>
  <c r="E59" i="13"/>
  <c r="E27" i="13"/>
  <c r="E32" i="12"/>
  <c r="E64" i="12"/>
  <c r="E96" i="12"/>
  <c r="E128" i="12"/>
  <c r="E160" i="12"/>
  <c r="E25" i="15"/>
  <c r="E5" i="15"/>
  <c r="E5" i="14"/>
  <c r="E33" i="13"/>
  <c r="E122" i="12"/>
  <c r="E2" i="12"/>
  <c r="E45" i="12"/>
  <c r="E125" i="12"/>
  <c r="E11" i="12"/>
  <c r="E30" i="12"/>
  <c r="E58" i="13"/>
  <c r="E19" i="13"/>
  <c r="E49" i="12"/>
  <c r="E81" i="12"/>
  <c r="E113" i="12"/>
  <c r="E138" i="12"/>
  <c r="E159" i="12"/>
  <c r="E8" i="12"/>
  <c r="E69" i="13"/>
  <c r="E25" i="13"/>
  <c r="E42" i="12"/>
  <c r="E90" i="12"/>
  <c r="E134" i="12"/>
  <c r="E18" i="12"/>
  <c r="E65" i="13"/>
  <c r="E7" i="13"/>
  <c r="E85" i="12"/>
  <c r="E141" i="12"/>
  <c r="E6" i="12"/>
  <c r="E29" i="13"/>
  <c r="E118" i="12"/>
  <c r="E110" i="12"/>
  <c r="E54" i="12"/>
  <c r="E4" i="12"/>
  <c r="E147" i="12"/>
  <c r="E15" i="12"/>
  <c r="D20" i="11"/>
  <c r="B15" i="6"/>
  <c r="D9" i="11"/>
  <c r="B6" i="6"/>
  <c r="D17" i="11"/>
  <c r="D8" i="11"/>
  <c r="B5" i="6" s="1"/>
  <c r="C2" i="10"/>
  <c r="D27" i="11"/>
  <c r="A93" i="18"/>
  <c r="Z63" i="4" s="1"/>
  <c r="A89" i="18"/>
  <c r="A87" i="18"/>
  <c r="A195" i="5"/>
  <c r="A82" i="18"/>
  <c r="S45" i="4"/>
  <c r="A76" i="18"/>
  <c r="A182" i="5"/>
  <c r="A75" i="18"/>
  <c r="A61" i="18"/>
  <c r="O77" i="5"/>
  <c r="P76" i="5"/>
  <c r="P74" i="5"/>
  <c r="K251" i="5"/>
  <c r="M233" i="5"/>
  <c r="U14" i="4"/>
  <c r="U14" i="5"/>
  <c r="A242" i="5"/>
  <c r="O15" i="5"/>
  <c r="S33" i="4"/>
  <c r="Q243" i="5"/>
  <c r="Q233" i="5"/>
  <c r="K80" i="4"/>
  <c r="K238" i="5"/>
  <c r="K193" i="5"/>
  <c r="K84" i="4"/>
  <c r="U6" i="5"/>
  <c r="K255" i="5"/>
  <c r="K51" i="4"/>
  <c r="U3" i="5"/>
  <c r="U32" i="4"/>
  <c r="M46" i="4"/>
  <c r="O15" i="4"/>
  <c r="O33" i="5"/>
  <c r="S33" i="5"/>
  <c r="K66" i="4"/>
  <c r="K59" i="4"/>
  <c r="K55" i="4"/>
  <c r="K76" i="4"/>
  <c r="I15" i="4"/>
  <c r="A2" i="5"/>
  <c r="N158" i="5"/>
  <c r="R158" i="5"/>
  <c r="P162" i="5"/>
  <c r="N166" i="5"/>
  <c r="R166" i="5"/>
  <c r="N76" i="5"/>
  <c r="L33" i="4"/>
  <c r="A41" i="4"/>
  <c r="D49" i="4"/>
  <c r="B20" i="4"/>
  <c r="L35" i="4"/>
  <c r="D57" i="4"/>
  <c r="B37" i="4"/>
  <c r="J53" i="4"/>
  <c r="B21" i="4"/>
  <c r="D3" i="4"/>
  <c r="Q33" i="4"/>
  <c r="A8" i="5"/>
  <c r="B38" i="4"/>
  <c r="O184" i="5"/>
  <c r="Q33" i="5"/>
  <c r="L37" i="4"/>
  <c r="O233" i="5"/>
  <c r="K33" i="5"/>
  <c r="D63" i="4"/>
  <c r="G45" i="4"/>
  <c r="L15" i="5"/>
  <c r="A32" i="4"/>
  <c r="J185" i="5"/>
  <c r="G232" i="5"/>
  <c r="G183" i="5"/>
  <c r="S243" i="5"/>
  <c r="A23" i="4"/>
  <c r="I32" i="5"/>
  <c r="A4" i="5"/>
  <c r="M3" i="17"/>
  <c r="O16" i="5"/>
  <c r="D197" i="5"/>
  <c r="S184" i="5"/>
  <c r="S233" i="5"/>
  <c r="K22" i="6"/>
  <c r="AN87" i="5"/>
  <c r="Q31" i="6"/>
  <c r="L36" i="6"/>
  <c r="J63" i="4"/>
  <c r="D232" i="5"/>
  <c r="J242" i="5"/>
  <c r="J197" i="5"/>
  <c r="D183" i="5"/>
  <c r="D45" i="4"/>
  <c r="K24" i="6"/>
  <c r="O32" i="5"/>
  <c r="M45" i="4"/>
  <c r="O14" i="5"/>
  <c r="O14" i="4"/>
  <c r="M183" i="5"/>
  <c r="O32" i="4"/>
  <c r="A3" i="4"/>
  <c r="A3" i="5"/>
  <c r="F25" i="9"/>
  <c r="G32" i="9"/>
  <c r="E32" i="9"/>
  <c r="H32" i="9"/>
  <c r="N22" i="6"/>
  <c r="N23" i="6"/>
  <c r="N24" i="6"/>
  <c r="F17" i="9"/>
  <c r="G18" i="9"/>
  <c r="R80" i="5"/>
  <c r="Q87" i="5"/>
  <c r="F122" i="5"/>
  <c r="M36" i="6"/>
  <c r="M45" i="6"/>
  <c r="R74" i="5"/>
  <c r="H5" i="4"/>
  <c r="H5" i="5"/>
  <c r="I33" i="4"/>
  <c r="I15" i="5"/>
  <c r="Q32" i="6"/>
  <c r="B32" i="4"/>
  <c r="H3" i="5"/>
  <c r="I14" i="4"/>
  <c r="I32" i="4"/>
  <c r="Q196" i="5"/>
  <c r="AO196" i="5" s="1"/>
  <c r="A62" i="4"/>
  <c r="A196" i="5"/>
  <c r="N25" i="6"/>
  <c r="E18" i="9"/>
  <c r="H18" i="9"/>
  <c r="A9" i="4"/>
  <c r="A9" i="5"/>
  <c r="F241" i="5"/>
  <c r="K26" i="6" s="1"/>
  <c r="O26" i="6" s="1"/>
  <c r="O16" i="4"/>
  <c r="Q16" i="4" s="1"/>
  <c r="Q241" i="5"/>
  <c r="AO241" i="5"/>
  <c r="A231" i="5"/>
  <c r="A44" i="4"/>
  <c r="AN241" i="5"/>
  <c r="Z197" i="5"/>
  <c r="Z242" i="5"/>
  <c r="S183" i="5"/>
  <c r="S232" i="5"/>
  <c r="A240" i="5"/>
  <c r="A61" i="4"/>
  <c r="A43" i="4"/>
  <c r="A181" i="5"/>
  <c r="A230" i="5"/>
  <c r="D243" i="5"/>
  <c r="D64" i="4"/>
  <c r="D198" i="5"/>
  <c r="L45" i="6"/>
  <c r="Q45" i="6"/>
  <c r="Q36" i="6"/>
  <c r="K23" i="6"/>
  <c r="AN122" i="5"/>
  <c r="O22" i="6"/>
  <c r="AO87" i="5"/>
  <c r="O34" i="5"/>
  <c r="Q16" i="5"/>
  <c r="S16" i="5" s="1"/>
  <c r="S34" i="5" s="1"/>
  <c r="F196" i="5"/>
  <c r="O24" i="6"/>
  <c r="Y6" i="5"/>
  <c r="O34" i="4"/>
  <c r="O23" i="6"/>
  <c r="K25" i="6"/>
  <c r="AN196" i="5"/>
  <c r="Q34" i="4"/>
  <c r="S16" i="4"/>
  <c r="S34" i="4"/>
  <c r="O25" i="6"/>
  <c r="O28" i="6" s="1"/>
  <c r="K28" i="6"/>
  <c r="L24" i="6" s="1"/>
  <c r="L26" i="6"/>
  <c r="L23" i="6"/>
  <c r="L25" i="6"/>
  <c r="AM104" i="5"/>
  <c r="AM181" i="5"/>
  <c r="AJ149" i="5"/>
  <c r="AM147" i="5"/>
  <c r="AJ106" i="5"/>
  <c r="AM182" i="5"/>
  <c r="AJ150" i="5"/>
  <c r="AM148" i="5"/>
  <c r="AM105" i="5"/>
  <c r="AK47" i="5"/>
  <c r="AM183" i="5"/>
  <c r="AK149" i="5"/>
  <c r="AK150" i="5" s="1"/>
  <c r="AK151" i="5" s="1"/>
  <c r="AJ107" i="5"/>
  <c r="AJ108" i="5" s="1"/>
  <c r="AM45" i="5"/>
  <c r="AM46" i="5"/>
  <c r="AJ109" i="5"/>
  <c r="AJ151" i="5"/>
  <c r="AM149" i="5"/>
  <c r="AM106" i="5"/>
  <c r="AK48" i="5"/>
  <c r="AM184" i="5"/>
  <c r="AM230" i="5"/>
  <c r="AM231" i="5" s="1"/>
  <c r="AM232" i="5"/>
  <c r="AK106" i="5"/>
  <c r="AK107" i="5"/>
  <c r="AK108" i="5" s="1"/>
  <c r="AK152" i="5"/>
  <c r="AK153" i="5" s="1"/>
  <c r="AK154" i="5" s="1"/>
  <c r="AM47" i="5"/>
  <c r="AM48" i="5" s="1"/>
  <c r="AM49" i="5" s="1"/>
  <c r="AM50" i="5" s="1"/>
  <c r="AM51" i="5" s="1"/>
  <c r="AM52" i="5" s="1"/>
  <c r="AM53" i="5" s="1"/>
  <c r="AK155" i="5"/>
  <c r="AK156" i="5" s="1"/>
  <c r="AK157" i="5" s="1"/>
  <c r="AJ47" i="5"/>
  <c r="AJ48" i="5" s="1"/>
  <c r="AJ49" i="5"/>
  <c r="AJ50" i="5" s="1"/>
  <c r="AK158" i="5"/>
  <c r="AK159" i="5" s="1"/>
  <c r="AK160" i="5" s="1"/>
  <c r="AM54" i="5"/>
  <c r="AM55" i="5" s="1"/>
  <c r="AJ152" i="5"/>
  <c r="AM150" i="5"/>
  <c r="AM151" i="5" s="1"/>
  <c r="AM152" i="5" s="1"/>
  <c r="AM153" i="5" s="1"/>
  <c r="AM154" i="5"/>
  <c r="AM155" i="5" s="1"/>
  <c r="AM156" i="5" s="1"/>
  <c r="AM157" i="5" s="1"/>
  <c r="AM158" i="5"/>
  <c r="AM159" i="5" s="1"/>
  <c r="AM160" i="5" s="1"/>
  <c r="AM161" i="5" s="1"/>
  <c r="AM162" i="5"/>
  <c r="AM163" i="5" s="1"/>
  <c r="AM164" i="5" s="1"/>
  <c r="AM165" i="5" s="1"/>
  <c r="AM166" i="5"/>
  <c r="AM167" i="5" s="1"/>
  <c r="AM168" i="5" s="1"/>
  <c r="AM169" i="5" s="1"/>
  <c r="AM170" i="5"/>
  <c r="AM171" i="5" s="1"/>
  <c r="AK161" i="5"/>
  <c r="AK162" i="5" s="1"/>
  <c r="AK163" i="5" s="1"/>
  <c r="AK164" i="5" s="1"/>
  <c r="AK165" i="5"/>
  <c r="AK166" i="5" s="1"/>
  <c r="AK167" i="5" s="1"/>
  <c r="AM56" i="5"/>
  <c r="AM57" i="5" s="1"/>
  <c r="AM58" i="5" s="1"/>
  <c r="AM59" i="5" s="1"/>
  <c r="AM60" i="5"/>
  <c r="AM61" i="5" s="1"/>
  <c r="AM62" i="5" s="1"/>
  <c r="AM63" i="5" s="1"/>
  <c r="AM64" i="5"/>
  <c r="AM65" i="5" s="1"/>
  <c r="AM66" i="5" s="1"/>
  <c r="AM67" i="5" s="1"/>
  <c r="AM68" i="5"/>
  <c r="AM69" i="5" s="1"/>
  <c r="AM70" i="5" s="1"/>
  <c r="AM71" i="5" s="1"/>
  <c r="AM72" i="5"/>
  <c r="AM73" i="5" s="1"/>
  <c r="AM74" i="5" s="1"/>
  <c r="AM75" i="5" s="1"/>
  <c r="AM76" i="5"/>
  <c r="AM77" i="5" s="1"/>
  <c r="AM78" i="5" s="1"/>
  <c r="AM79" i="5" s="1"/>
  <c r="AM80" i="5"/>
  <c r="AM81" i="5" s="1"/>
  <c r="AM82" i="5" s="1"/>
  <c r="AM83" i="5" s="1"/>
  <c r="AM84" i="5"/>
  <c r="AM85" i="5" s="1"/>
  <c r="AM86" i="5" s="1"/>
  <c r="AM87" i="5" s="1"/>
  <c r="AM88" i="5"/>
  <c r="AM89" i="5" s="1"/>
  <c r="AM107" i="5"/>
  <c r="AM108" i="5" s="1"/>
  <c r="AM109" i="5" s="1"/>
  <c r="AM110" i="5" s="1"/>
  <c r="AM111" i="5"/>
  <c r="AM112" i="5" s="1"/>
  <c r="AK49" i="5"/>
  <c r="AK50" i="5" s="1"/>
  <c r="AK51" i="5" s="1"/>
  <c r="AK52" i="5" s="1"/>
  <c r="AK53" i="5"/>
  <c r="AK54" i="5" s="1"/>
  <c r="AK55" i="5" s="1"/>
  <c r="AK56" i="5" s="1"/>
  <c r="AK109" i="5"/>
  <c r="AK110" i="5" s="1"/>
  <c r="AK111" i="5" s="1"/>
  <c r="AK112" i="5" s="1"/>
  <c r="AK113" i="5"/>
  <c r="AK114" i="5" s="1"/>
  <c r="AK115" i="5" s="1"/>
  <c r="AK116" i="5" s="1"/>
  <c r="AK117" i="5"/>
  <c r="AK118" i="5" s="1"/>
  <c r="AK119" i="5" s="1"/>
  <c r="AK120" i="5" s="1"/>
  <c r="AK57" i="5"/>
  <c r="AK58" i="5" s="1"/>
  <c r="AK59" i="5" s="1"/>
  <c r="AK60" i="5" s="1"/>
  <c r="AK61" i="5"/>
  <c r="AK62" i="5" s="1"/>
  <c r="AK63" i="5" s="1"/>
  <c r="AK64" i="5" s="1"/>
  <c r="AK65" i="5"/>
  <c r="AK66" i="5" s="1"/>
  <c r="AK67" i="5" s="1"/>
  <c r="AK68" i="5" s="1"/>
  <c r="AK69" i="5"/>
  <c r="AK70" i="5" s="1"/>
  <c r="AK71" i="5" s="1"/>
  <c r="AK72" i="5" s="1"/>
  <c r="AK73" i="5"/>
  <c r="AK74" i="5" s="1"/>
  <c r="AK75" i="5" s="1"/>
  <c r="AK76" i="5" s="1"/>
  <c r="AK77" i="5"/>
  <c r="AK78" i="5" s="1"/>
  <c r="AK79" i="5" s="1"/>
  <c r="AM113" i="5"/>
  <c r="AM114" i="5" s="1"/>
  <c r="AM115" i="5" s="1"/>
  <c r="AM116" i="5" s="1"/>
  <c r="AM117" i="5"/>
  <c r="AM118" i="5" s="1"/>
  <c r="AM119" i="5" s="1"/>
  <c r="AM120" i="5" s="1"/>
  <c r="AM121" i="5"/>
  <c r="AM122" i="5" s="1"/>
  <c r="AM123" i="5" s="1"/>
  <c r="AM124" i="5" s="1"/>
  <c r="AK80" i="5"/>
  <c r="AK81" i="5" s="1"/>
  <c r="AK82" i="5" s="1"/>
  <c r="AK83" i="5" s="1"/>
  <c r="AK84" i="5"/>
  <c r="AK85" i="5" s="1"/>
  <c r="AM185" i="5"/>
  <c r="AM186" i="5" s="1"/>
  <c r="AM187" i="5" s="1"/>
  <c r="AM188" i="5" s="1"/>
  <c r="AM189" i="5"/>
  <c r="AM190" i="5" s="1"/>
  <c r="AM191" i="5" s="1"/>
  <c r="AM192" i="5" s="1"/>
  <c r="AM193" i="5"/>
  <c r="AM194" i="5" s="1"/>
  <c r="AM195" i="5" s="1"/>
  <c r="AM196" i="5" s="1"/>
  <c r="AM197" i="5"/>
  <c r="AM198" i="5" s="1"/>
  <c r="AM233" i="5"/>
  <c r="AM234" i="5" s="1"/>
  <c r="AM235" i="5" s="1"/>
  <c r="AM236" i="5" s="1"/>
  <c r="AM237" i="5"/>
  <c r="AM238" i="5" s="1"/>
  <c r="AM239" i="5" s="1"/>
  <c r="AM240" i="5" s="1"/>
  <c r="AM241" i="5"/>
  <c r="AM242" i="5" s="1"/>
  <c r="AM243" i="5" s="1"/>
  <c r="AJ110" i="5"/>
  <c r="AJ111" i="5" s="1"/>
  <c r="AJ112" i="5" s="1"/>
  <c r="AJ113" i="5" s="1"/>
  <c r="AJ51" i="5"/>
  <c r="AJ52" i="5" s="1"/>
  <c r="AJ53" i="5" s="1"/>
  <c r="AJ54" i="5" s="1"/>
  <c r="AJ153" i="5"/>
  <c r="AJ154" i="5" s="1"/>
  <c r="AJ155" i="5" s="1"/>
  <c r="AJ156" i="5" s="1"/>
  <c r="AJ114" i="5"/>
  <c r="AJ115" i="5" s="1"/>
  <c r="AJ116" i="5" s="1"/>
  <c r="AJ117" i="5" s="1"/>
  <c r="AJ55" i="5"/>
  <c r="AJ56" i="5" s="1"/>
  <c r="AJ57" i="5" s="1"/>
  <c r="AJ58" i="5" s="1"/>
  <c r="AJ157" i="5"/>
  <c r="AJ158" i="5" s="1"/>
  <c r="AJ159" i="5" s="1"/>
  <c r="AJ160" i="5" s="1"/>
  <c r="AJ118" i="5"/>
  <c r="AJ119" i="5" s="1"/>
  <c r="AJ120" i="5" s="1"/>
  <c r="AJ59" i="5"/>
  <c r="AJ60" i="5" s="1"/>
  <c r="AJ61" i="5" s="1"/>
  <c r="AJ62" i="5" s="1"/>
  <c r="AJ161" i="5"/>
  <c r="AJ162" i="5" s="1"/>
  <c r="AJ163" i="5" s="1"/>
  <c r="AJ164" i="5" s="1"/>
  <c r="AJ63" i="5"/>
  <c r="AJ64" i="5" s="1"/>
  <c r="AJ65" i="5" s="1"/>
  <c r="AJ66" i="5" s="1"/>
  <c r="AJ165" i="5"/>
  <c r="AJ166" i="5" s="1"/>
  <c r="AJ167" i="5" s="1"/>
  <c r="AJ67" i="5"/>
  <c r="AJ68" i="5" s="1"/>
  <c r="AJ69" i="5" s="1"/>
  <c r="AJ70" i="5" s="1"/>
  <c r="AJ71" i="5"/>
  <c r="AJ72" i="5" s="1"/>
  <c r="AJ73" i="5" s="1"/>
  <c r="AJ74" i="5" s="1"/>
  <c r="AJ75" i="5"/>
  <c r="AJ76" i="5" s="1"/>
  <c r="AJ77" i="5" s="1"/>
  <c r="AJ78" i="5" s="1"/>
  <c r="AJ79" i="5"/>
  <c r="AJ80" i="5" s="1"/>
  <c r="AJ81" i="5" s="1"/>
  <c r="AJ82" i="5" s="1"/>
  <c r="AJ83" i="5"/>
  <c r="AJ84" i="5" s="1"/>
  <c r="AJ85" i="5" s="1"/>
  <c r="AK232" i="5" l="1"/>
  <c r="AL232" i="5"/>
  <c r="AJ232" i="5"/>
  <c r="I19" i="11"/>
  <c r="E5" i="6"/>
  <c r="C19" i="6"/>
  <c r="E32" i="6"/>
  <c r="I17" i="11"/>
  <c r="E4" i="6"/>
  <c r="I13" i="11"/>
  <c r="C27" i="6"/>
  <c r="E19" i="6"/>
  <c r="E27" i="6"/>
  <c r="I29" i="11"/>
  <c r="C28" i="6"/>
  <c r="I14" i="11"/>
  <c r="I24" i="11"/>
  <c r="C25" i="6"/>
  <c r="E34" i="6"/>
  <c r="I28" i="11"/>
  <c r="E8" i="6"/>
  <c r="I16" i="11"/>
  <c r="C29" i="6"/>
  <c r="I21" i="11"/>
  <c r="C17" i="6"/>
  <c r="C13" i="6"/>
  <c r="C5" i="6"/>
  <c r="E25" i="6"/>
  <c r="E10" i="6"/>
  <c r="E23" i="6"/>
  <c r="C18" i="6"/>
  <c r="C33" i="6"/>
  <c r="E13" i="6"/>
  <c r="E14" i="6"/>
  <c r="I8" i="11"/>
  <c r="C10" i="6"/>
  <c r="E15" i="6"/>
  <c r="I15" i="11"/>
  <c r="E6" i="6"/>
  <c r="E29" i="6"/>
  <c r="C7" i="6"/>
  <c r="C30" i="6"/>
  <c r="E22" i="6"/>
  <c r="E31" i="6"/>
  <c r="I9" i="11"/>
  <c r="E9" i="6"/>
  <c r="I22" i="11"/>
  <c r="I25" i="11"/>
  <c r="E26" i="6"/>
  <c r="E30" i="6"/>
  <c r="E28" i="6"/>
  <c r="I11" i="11"/>
  <c r="E18" i="6"/>
  <c r="C22" i="6"/>
  <c r="E35" i="6"/>
  <c r="C34" i="6"/>
  <c r="E33" i="6"/>
  <c r="I2" i="11"/>
  <c r="A42" i="6" s="1"/>
  <c r="I23" i="11"/>
  <c r="E16" i="6"/>
  <c r="C37" i="6"/>
  <c r="I10" i="11"/>
  <c r="E36" i="6"/>
  <c r="C36" i="6"/>
  <c r="I20" i="11"/>
  <c r="C32" i="6"/>
  <c r="C4" i="6"/>
  <c r="C9" i="6"/>
  <c r="C11" i="6"/>
  <c r="C24" i="6"/>
  <c r="C21" i="6"/>
  <c r="I27" i="11"/>
  <c r="C6" i="6"/>
  <c r="I30" i="11"/>
  <c r="C8" i="6"/>
  <c r="E11" i="6"/>
  <c r="F11" i="6" s="1"/>
  <c r="C35" i="6"/>
  <c r="I26" i="11"/>
  <c r="C16" i="6"/>
  <c r="C23" i="6"/>
  <c r="C15" i="6"/>
  <c r="E21" i="6"/>
  <c r="E17" i="6"/>
  <c r="C31" i="6"/>
  <c r="C20" i="6"/>
  <c r="E37" i="6"/>
  <c r="C26" i="6"/>
  <c r="C14" i="6"/>
  <c r="E24" i="6"/>
  <c r="E20" i="6"/>
  <c r="E7" i="6"/>
  <c r="I18" i="11"/>
  <c r="AK183" i="5"/>
  <c r="AJ183" i="5"/>
  <c r="AL183" i="5"/>
  <c r="Y5" i="4"/>
  <c r="P23" i="6"/>
  <c r="P24" i="6"/>
  <c r="P26" i="6"/>
  <c r="P22" i="6"/>
  <c r="Q34" i="5"/>
  <c r="Q62" i="4"/>
  <c r="Y6" i="4" s="1"/>
  <c r="F62" i="4"/>
  <c r="P25" i="6"/>
  <c r="L22" i="6"/>
  <c r="AK184" i="5"/>
  <c r="AK185" i="5" s="1"/>
  <c r="AK186" i="5" s="1"/>
  <c r="AK187" i="5" s="1"/>
  <c r="AK188" i="5" s="1"/>
  <c r="AK189" i="5" s="1"/>
  <c r="AK190" i="5" s="1"/>
  <c r="AK191" i="5" s="1"/>
  <c r="AK192" i="5" s="1"/>
  <c r="AK193" i="5" s="1"/>
  <c r="AK194" i="5" s="1"/>
  <c r="AJ184" i="5"/>
  <c r="AJ185" i="5" s="1"/>
  <c r="AJ186" i="5" s="1"/>
  <c r="AJ187" i="5" s="1"/>
  <c r="AL152" i="5"/>
  <c r="AJ233" i="5"/>
  <c r="AJ234" i="5" s="1"/>
  <c r="AJ235" i="5" s="1"/>
  <c r="AJ236" i="5" s="1"/>
  <c r="AL156" i="5"/>
  <c r="AL50" i="5"/>
  <c r="AL109" i="5"/>
  <c r="AL113" i="5" s="1"/>
  <c r="AL117" i="5" s="1"/>
  <c r="AL160" i="5"/>
  <c r="AL164" i="5" s="1"/>
  <c r="AL54" i="5"/>
  <c r="AL58" i="5" s="1"/>
  <c r="AL62" i="5" s="1"/>
  <c r="AL66" i="5" s="1"/>
  <c r="AL70" i="5" s="1"/>
  <c r="AL74" i="5" s="1"/>
  <c r="AL78" i="5" s="1"/>
  <c r="AL82" i="5" s="1"/>
  <c r="AK233" i="5"/>
  <c r="AK234" i="5" s="1"/>
  <c r="AK235" i="5" s="1"/>
  <c r="AK236" i="5" s="1"/>
  <c r="AK237" i="5" s="1"/>
  <c r="AK238" i="5" s="1"/>
  <c r="AK239" i="5" s="1"/>
  <c r="AJ188" i="5"/>
  <c r="AJ189" i="5" s="1"/>
  <c r="AJ190" i="5" s="1"/>
  <c r="AJ191" i="5" s="1"/>
  <c r="AJ237" i="5"/>
  <c r="AJ238" i="5" s="1"/>
  <c r="AJ239" i="5" s="1"/>
  <c r="AJ192" i="5"/>
  <c r="AJ193" i="5" s="1"/>
  <c r="AJ194" i="5" s="1"/>
  <c r="D31" i="6" l="1"/>
  <c r="G31" i="6"/>
  <c r="G23" i="6"/>
  <c r="D23" i="6"/>
  <c r="D9" i="6"/>
  <c r="G9" i="6"/>
  <c r="F16" i="6"/>
  <c r="D34" i="6"/>
  <c r="G34" i="6"/>
  <c r="F31" i="6"/>
  <c r="F29" i="6"/>
  <c r="G10" i="6"/>
  <c r="D10" i="6"/>
  <c r="G33" i="6"/>
  <c r="D33" i="6"/>
  <c r="F25" i="6"/>
  <c r="F19" i="6"/>
  <c r="F7" i="6"/>
  <c r="G26" i="6"/>
  <c r="D26" i="6"/>
  <c r="F17" i="6"/>
  <c r="D16" i="6"/>
  <c r="G16" i="6"/>
  <c r="G8" i="6"/>
  <c r="D8" i="6"/>
  <c r="G21" i="6"/>
  <c r="D21" i="6"/>
  <c r="G4" i="6"/>
  <c r="D4" i="6"/>
  <c r="F36" i="6"/>
  <c r="F35" i="6"/>
  <c r="F28" i="6"/>
  <c r="F22" i="6"/>
  <c r="F6" i="6"/>
  <c r="B44" i="6"/>
  <c r="D18" i="6"/>
  <c r="G18" i="6"/>
  <c r="D5" i="6"/>
  <c r="G5" i="6"/>
  <c r="G29" i="6"/>
  <c r="D29" i="6"/>
  <c r="F34" i="6"/>
  <c r="G28" i="6"/>
  <c r="D28" i="6"/>
  <c r="D27" i="6"/>
  <c r="G27" i="6"/>
  <c r="F32" i="6"/>
  <c r="G22" i="6"/>
  <c r="D22" i="6"/>
  <c r="F30" i="6"/>
  <c r="F9" i="6"/>
  <c r="G30" i="6"/>
  <c r="D30" i="6"/>
  <c r="F14" i="6"/>
  <c r="F23" i="6"/>
  <c r="G13" i="6"/>
  <c r="D13" i="6"/>
  <c r="D25" i="6"/>
  <c r="G25" i="6"/>
  <c r="D19" i="6"/>
  <c r="G19" i="6"/>
  <c r="G14" i="6"/>
  <c r="D14" i="6"/>
  <c r="D36" i="6"/>
  <c r="G36" i="6"/>
  <c r="F20" i="6"/>
  <c r="F37" i="6"/>
  <c r="F21" i="6"/>
  <c r="G24" i="6"/>
  <c r="D24" i="6"/>
  <c r="G32" i="6"/>
  <c r="D32" i="6"/>
  <c r="F24" i="6"/>
  <c r="D20" i="6"/>
  <c r="G20" i="6"/>
  <c r="D15" i="6"/>
  <c r="G15" i="6"/>
  <c r="G35" i="6"/>
  <c r="D35" i="6"/>
  <c r="G6" i="6"/>
  <c r="D6" i="6"/>
  <c r="D11" i="6"/>
  <c r="G11" i="6"/>
  <c r="G37" i="6"/>
  <c r="D37" i="6"/>
  <c r="F33" i="6"/>
  <c r="F18" i="6"/>
  <c r="F26" i="6"/>
  <c r="D7" i="6"/>
  <c r="G7" i="6"/>
  <c r="F15" i="6"/>
  <c r="F13" i="6"/>
  <c r="F10" i="6"/>
  <c r="G17" i="6"/>
  <c r="H17" i="6" s="1"/>
  <c r="D17" i="6"/>
  <c r="F8" i="6"/>
  <c r="F27" i="6"/>
  <c r="F4" i="6"/>
  <c r="F5" i="6"/>
  <c r="B45" i="6"/>
  <c r="AL236" i="5"/>
  <c r="AL187" i="5"/>
  <c r="AL191" i="5" s="1"/>
  <c r="A43" i="6"/>
  <c r="B43" i="6"/>
  <c r="H7" i="6" l="1"/>
  <c r="H35" i="6"/>
  <c r="H14" i="6"/>
  <c r="H18" i="6"/>
  <c r="H34" i="6"/>
  <c r="H15" i="6"/>
  <c r="H24" i="6"/>
  <c r="H36" i="6"/>
  <c r="H19" i="6"/>
  <c r="H29" i="6"/>
  <c r="H4" i="6"/>
  <c r="H8" i="6"/>
  <c r="H10" i="6"/>
  <c r="H37" i="6"/>
  <c r="H13" i="6"/>
  <c r="H30" i="6"/>
  <c r="H22" i="6"/>
  <c r="H28" i="6"/>
  <c r="H5" i="6"/>
  <c r="H6" i="6"/>
  <c r="H16" i="6"/>
  <c r="H26" i="6"/>
  <c r="H23" i="6"/>
  <c r="H11" i="6"/>
  <c r="H20" i="6"/>
  <c r="H32" i="6"/>
  <c r="H25" i="6"/>
  <c r="H27" i="6"/>
  <c r="H21" i="6"/>
  <c r="H33" i="6"/>
  <c r="H9" i="6"/>
  <c r="H31" i="6"/>
  <c r="A191" i="5"/>
  <c r="A236" i="5"/>
  <c r="Y5" i="5" l="1"/>
</calcChain>
</file>

<file path=xl/comments1.xml><?xml version="1.0" encoding="utf-8"?>
<comments xmlns="http://schemas.openxmlformats.org/spreadsheetml/2006/main">
  <authors>
    <author>Author</author>
  </authors>
  <commentList>
    <comment ref="K3" authorId="0" guid="{A28AEA35-A8B1-4F3F-9397-0C2578F9D55C}">
      <text>
        <r>
          <rPr>
            <sz val="9"/>
            <color indexed="81"/>
            <rFont val="Tahoma"/>
            <family val="2"/>
          </rPr>
          <t>Please select the Principal Recipients from the drop-down menu or add a new Principal Recipient by typing in the name in the respective field.</t>
        </r>
      </text>
    </comment>
    <comment ref="A4" authorId="0" guid="{9AC33351-41CF-4145-B26E-877974769B4D}">
      <text>
        <r>
          <rPr>
            <sz val="9"/>
            <color indexed="81"/>
            <rFont val="Tahoma"/>
            <family val="2"/>
          </rPr>
          <t>In this box select the disease for which the request will be prepared. By doing so, the relevant drop-down boxes in various sections of the template will be activated. One can also choose to complete a blank version of the template which will not offer any drop-down boxes and all fields will have to be filled in manually.</t>
        </r>
      </text>
    </comment>
    <comment ref="A10" authorId="0" guid="{A6C5E11A-21C6-4E31-BFD0-CD49AA72AF6D}">
      <text>
        <r>
          <rPr>
            <b/>
            <sz val="9"/>
            <color indexed="81"/>
            <rFont val="Tahoma"/>
            <family val="2"/>
          </rPr>
          <t xml:space="preserve">Goal(s) </t>
        </r>
        <r>
          <rPr>
            <sz val="9"/>
            <color indexed="81"/>
            <rFont val="Tahoma"/>
            <family val="2"/>
          </rPr>
          <t xml:space="preserve">are broad and overarching statements of a desired, medium to long-term impact of the program and should be consistent with the national strategic plan. </t>
        </r>
      </text>
    </comment>
    <comment ref="A14" authorId="0" guid="{67D0353F-74E3-4FB6-8AF8-F8847D011A81}">
      <text>
        <r>
          <rPr>
            <sz val="9"/>
            <color indexed="81"/>
            <rFont val="Tahoma"/>
            <family val="2"/>
          </rPr>
          <t xml:space="preserve">Linked to goal(s) #: For each of the indicators, specify the goal number(s) they relate to. One indicator may relate to multiple goals.
</t>
        </r>
      </text>
    </comment>
    <comment ref="B14" authorId="0" guid="{765F970F-D352-445B-A9C2-1F723E1DB9BE}">
      <text>
        <r>
          <rPr>
            <b/>
            <sz val="9"/>
            <color indexed="81"/>
            <rFont val="Tahoma"/>
            <family val="2"/>
          </rPr>
          <t xml:space="preserve">Impact indicators </t>
        </r>
        <r>
          <rPr>
            <sz val="9"/>
            <color indexed="81"/>
            <rFont val="Tahoma"/>
            <family val="2"/>
          </rPr>
          <t xml:space="preserve">are related to the defined goal(s). Under "impact indicator" a drop-down box with standard indicators, as specified in the Monitoring and Evaluation Toolkit, is provided. The Global Fund encourages as far as possible the use of the proposed standard indicators, however, if appropriate for the local situation, one can overwrite this drop-down box to input a country specific indicator. The selected indicators should be in line with the national strategic plan and its respective M&amp;E plan. 
</t>
        </r>
      </text>
    </comment>
    <comment ref="U14" authorId="0" guid="{4E93A2EA-8A4D-43C1-B86D-FFD2F7FCB29D}">
      <text>
        <r>
          <rPr>
            <b/>
            <sz val="9"/>
            <color indexed="81"/>
            <rFont val="Tahoma"/>
            <family val="2"/>
          </rPr>
          <t>Comments:</t>
        </r>
        <r>
          <rPr>
            <sz val="9"/>
            <color indexed="81"/>
            <rFont val="Tahoma"/>
            <family val="2"/>
          </rPr>
          <t xml:space="preserve"> Data sources should be specified here if they are different from baseline data sources.
</t>
        </r>
      </text>
    </comment>
    <comment ref="I15" authorId="0" guid="{31A4A24D-DB11-4342-96E2-F5CD4BA40D52}">
      <text>
        <r>
          <rPr>
            <b/>
            <sz val="9"/>
            <color indexed="81"/>
            <rFont val="Tahoma"/>
            <family val="2"/>
          </rPr>
          <t xml:space="preserve">Baselines:  </t>
        </r>
        <r>
          <rPr>
            <sz val="9"/>
            <color indexed="81"/>
            <rFont val="Tahoma"/>
            <family val="2"/>
          </rPr>
          <t>If no data is available, than baselines should be determined during the implementation of the grant. If the data source for the baseline is different from the data source that will be used to report on the indicator,  please specify this in the "comments" field.</t>
        </r>
        <r>
          <rPr>
            <sz val="9"/>
            <color indexed="81"/>
            <rFont val="Tahoma"/>
            <family val="2"/>
          </rPr>
          <t xml:space="preserve">
</t>
        </r>
      </text>
    </comment>
    <comment ref="O15" authorId="0" guid="{4F001690-6F6E-429E-8D9D-A5FD3E08AA66}">
      <text>
        <r>
          <rPr>
            <b/>
            <sz val="9"/>
            <color indexed="81"/>
            <rFont val="Tahoma"/>
            <family val="2"/>
          </rPr>
          <t xml:space="preserve">Targets </t>
        </r>
        <r>
          <rPr>
            <sz val="9"/>
            <color indexed="81"/>
            <rFont val="Tahoma"/>
            <family val="2"/>
          </rPr>
          <t xml:space="preserve">should be included according to the frequency of their measurement. For example, if surveys are conducted in year 1 and 3, only in these years targets should be provided. Please include the targets in the calendar year during which the data will be collected. For more details on the frequency and timing of reporting for impact indicators refer to the Monitoring &amp; Evaluation Toolkit.
</t>
        </r>
      </text>
    </comment>
    <comment ref="A26" authorId="0" guid="{0FC90061-7D89-449F-9AD6-58E39DB7D2EB}">
      <text>
        <r>
          <rPr>
            <b/>
            <sz val="9"/>
            <color indexed="81"/>
            <rFont val="Tahoma"/>
            <family val="2"/>
          </rPr>
          <t>Objectives:</t>
        </r>
        <r>
          <rPr>
            <sz val="9"/>
            <color indexed="81"/>
            <rFont val="Tahoma"/>
            <family val="2"/>
          </rPr>
          <t xml:space="preserve"> Each goal should have a set of related, more specific objectives that will permit the program to reach the stated goal(s). These objectives should be consistent with the objectives of the national disease control strategic plan.
</t>
        </r>
      </text>
    </comment>
    <comment ref="A32" authorId="0" guid="{8F1401CB-879F-4D59-AD51-B7ACBF96EDEF}">
      <text>
        <r>
          <rPr>
            <b/>
            <sz val="9"/>
            <color indexed="81"/>
            <rFont val="Tahoma"/>
            <family val="2"/>
          </rPr>
          <t xml:space="preserve">Linked to objective(s) #: </t>
        </r>
        <r>
          <rPr>
            <sz val="9"/>
            <color indexed="81"/>
            <rFont val="Tahoma"/>
            <family val="2"/>
          </rPr>
          <t xml:space="preserve">For each of the indicators, specify the objective number(s) they relate to. One indicator may relate to multiple objectives. </t>
        </r>
      </text>
    </comment>
    <comment ref="B32" authorId="0" guid="{594F85D0-40C2-4BF6-B1C4-FDAC5AB4FBEB}">
      <text>
        <r>
          <rPr>
            <b/>
            <sz val="9"/>
            <color indexed="81"/>
            <rFont val="Tahoma"/>
            <family val="2"/>
          </rPr>
          <t>Outcome indicators</t>
        </r>
        <r>
          <rPr>
            <sz val="9"/>
            <color indexed="81"/>
            <rFont val="Tahoma"/>
            <family val="2"/>
          </rPr>
          <t xml:space="preserve"> are related to the defined objective(s). Under "outcome indicator" a drop-down box with standard indicators, as specified in the Monitoring and Evaluation Toolkit, is provided. The Global Fund encourages as far as possible the use of the proposed standard indicators, however, if appropriate for the local situation, one can overwrite this drop-down box to input a country specific indicator. The selected indicators should be in line with the national disease control strategic plan and its respective M&amp;E plan. </t>
        </r>
      </text>
    </comment>
    <comment ref="I33" authorId="0" guid="{BB723D93-685F-4FCE-9469-7E9893D929AC}">
      <text>
        <r>
          <rPr>
            <b/>
            <sz val="9"/>
            <color indexed="81"/>
            <rFont val="Tahoma"/>
            <family val="2"/>
          </rPr>
          <t xml:space="preserve">Latest available baseline/result: </t>
        </r>
        <r>
          <rPr>
            <sz val="9"/>
            <color indexed="81"/>
            <rFont val="Tahoma"/>
            <family val="2"/>
          </rPr>
          <t xml:space="preserve">Baselines serve as the starting point against which the performance of the program will be measured. Baselines should take into consideration the latest available results and/or the latest available information provided by technical partners and other valid sources. Baseline data (value, year and source) need to be provided for each indicator. In the source field a non-exhaustive choice of sources is provided in a drop-down box. If necessary other sources may be included by overwriting the field. </t>
        </r>
      </text>
    </comment>
    <comment ref="A43" authorId="0" guid="{80254F60-D793-4BD8-9CB7-B3F6C938A6E5}">
      <text>
        <r>
          <rPr>
            <b/>
            <sz val="9"/>
            <color indexed="81"/>
            <rFont val="Tahoma"/>
            <family val="2"/>
          </rPr>
          <t>Modules</t>
        </r>
        <r>
          <rPr>
            <sz val="9"/>
            <color indexed="81"/>
            <rFont val="Tahoma"/>
            <family val="2"/>
          </rPr>
          <t xml:space="preserve">
Copy + paste this Module block (Measurement framework and Budget) for each module you want to include
</t>
        </r>
        <r>
          <rPr>
            <b/>
            <sz val="9"/>
            <color indexed="81"/>
            <rFont val="Tahoma"/>
            <family val="2"/>
          </rPr>
          <t>Module Measurement Framework</t>
        </r>
        <r>
          <rPr>
            <sz val="9"/>
            <color indexed="81"/>
            <rFont val="Tahoma"/>
            <family val="2"/>
          </rPr>
          <t xml:space="preserve">
• Do not delete or replace the pre-populated standard coverage indicator text (blue)
• Add new indicator, if needed, below the blue standard coverage indicators
• If not using a std indicator, explain in short why it is not being used
</t>
        </r>
        <r>
          <rPr>
            <b/>
            <sz val="9"/>
            <color indexed="81"/>
            <rFont val="Tahoma"/>
            <family val="2"/>
          </rPr>
          <t>Module budget</t>
        </r>
        <r>
          <rPr>
            <sz val="9"/>
            <color indexed="81"/>
            <rFont val="Tahoma"/>
            <family val="2"/>
          </rPr>
          <t xml:space="preserve">
If you change the module selection, note that previously selected interventions under the original module budget will not blank out. You will need to delete them before selecting the relevant interventions under the newly selected module.</t>
        </r>
      </text>
    </comment>
    <comment ref="D45" authorId="0" guid="{B3545B32-9491-4B19-A3FA-4C522E4A8646}">
      <text>
        <r>
          <rPr>
            <b/>
            <sz val="9"/>
            <color indexed="81"/>
            <rFont val="Tahoma"/>
            <family val="2"/>
          </rPr>
          <t xml:space="preserve">Responsible Principal Recipient: </t>
        </r>
        <r>
          <rPr>
            <sz val="9"/>
            <color indexed="81"/>
            <rFont val="Tahoma"/>
            <family val="2"/>
          </rPr>
          <t xml:space="preserve">If more than one Principal Recipient is envisioned in this request, please list in this field the PR (s) who will be responsible for the implementation of interventions related to this indicator. If more than one,  please disaggregate targets (to the extent possible) by PR. </t>
        </r>
      </text>
    </comment>
    <comment ref="E45" authorId="0" guid="{BA45BB4A-55FB-4AD5-A1E1-01EFA8221F6B}">
      <text>
        <r>
          <rPr>
            <b/>
            <sz val="9"/>
            <color indexed="81"/>
            <rFont val="Tahoma"/>
            <family val="2"/>
          </rPr>
          <t xml:space="preserve">Tied to: </t>
        </r>
        <r>
          <rPr>
            <sz val="9"/>
            <color indexed="81"/>
            <rFont val="Tahoma"/>
            <family val="2"/>
          </rPr>
          <t xml:space="preserve">Select one of the four options under this column to describe if targets are linked to one of the following sources of funding:
a) Current grant - when targets are a subset of the national targets and represent the portion funded exclusively by the Global Fund grant for one Principle Recipient
b) Multiple Global Fund grants - when targets are a subset of the national targets and represent the portion funded exclusively by more than one Global Fund grant. In such case specify in the comments the grant numbers that contribute to the achievement of these targets
c) Global Fund and other donors - when the targets are a subset of the national targets and represent the portion jointly funded exclusively by the Global Fund and other multilateral or bilateral donors.
d) National Program - when targets refer to the entire country (national). 
Exception: This option could also be selected in cases where targets refer to an entire region or province in the country (sub-national) to which Global Fund resources are contributing only partially. When the sub-national targets are fully funded by the Global Fund, option a (current grant) or b (Multiple Global Fund grants) should be selected as appropriate. Please specify in the comments box if targets are sub-national. </t>
        </r>
      </text>
    </comment>
    <comment ref="G45" authorId="0" guid="{0B63A92D-7EC5-42AD-A023-08D77C94CF2A}">
      <text>
        <r>
          <rPr>
            <b/>
            <sz val="9"/>
            <color indexed="81"/>
            <rFont val="Tahoma"/>
            <family val="2"/>
          </rPr>
          <t xml:space="preserve">Latest available baseline/result: </t>
        </r>
        <r>
          <rPr>
            <sz val="9"/>
            <color indexed="81"/>
            <rFont val="Tahoma"/>
            <family val="2"/>
          </rPr>
          <t>Baselines serve as the starting point against which the performance of the program will be measured. Baselines should take into consideration the latest available results and/or the latest available information provided by technical partners and other valid sources. Baseline data (value, year and source) need to be provided for each indicator. In the source field a non-exhaustive choice of sources is provided in a drop-down box. If necessary other sources may be included by overwriting the field.</t>
        </r>
      </text>
    </comment>
    <comment ref="M45" authorId="0" guid="{AC5E984B-F8C0-46AF-9F82-24C9F914CDCE}">
      <text>
        <r>
          <rPr>
            <b/>
            <sz val="9"/>
            <color indexed="81"/>
            <rFont val="Tahoma"/>
            <family val="2"/>
          </rPr>
          <t>Targets:</t>
        </r>
        <r>
          <rPr>
            <sz val="9"/>
            <color indexed="81"/>
            <rFont val="Tahoma"/>
            <family val="2"/>
          </rPr>
          <t xml:space="preserve"> Please include here the targets for each indicator (For coverage indicators provide numerator value, denominator value and percentage, for indicators that are not in percentage only provide the numerator value. Please note that not all indicators need to be reported during each period. Only include targets for periods when data will be collected.</t>
        </r>
      </text>
    </comment>
    <comment ref="S46" authorId="0" guid="{32300437-60B8-49FC-A12F-E8FB96ADF36B}">
      <text>
        <r>
          <rPr>
            <sz val="9"/>
            <color indexed="81"/>
            <rFont val="Tahoma"/>
            <family val="2"/>
          </rPr>
          <t>Please describe the a</t>
        </r>
        <r>
          <rPr>
            <b/>
            <sz val="9"/>
            <color indexed="81"/>
            <rFont val="Tahoma"/>
            <family val="2"/>
          </rPr>
          <t xml:space="preserve">ssumptions that were used to calculate the targets. </t>
        </r>
        <r>
          <rPr>
            <sz val="9"/>
            <color indexed="81"/>
            <rFont val="Tahoma"/>
            <family val="2"/>
          </rPr>
          <t xml:space="preserve">This should include: the anticipated rate of scale-up, coverage of additional key related services (eg. describing ANC attendance rates when setting PMTCT targets), size of the target population and the  data sources used to  generate population size estimates. If no population size estimates are available, please describe timeframe and process required to obtain them. For interventions that include a package of services, describe components of the package. Provide a brief definition of the numerator and denominator of the indicator, the data sources that will be used for reporting, and if there are any M&amp;E systems issues that may limit the ability to report on this indicator.  </t>
        </r>
      </text>
    </comment>
    <comment ref="H47" authorId="0" guid="{E6BD822D-2D37-4BF5-82E4-C5B6ECFF0C65}">
      <text>
        <r>
          <rPr>
            <b/>
            <sz val="9"/>
            <color indexed="81"/>
            <rFont val="Tahoma"/>
            <family val="2"/>
          </rPr>
          <t>%</t>
        </r>
        <r>
          <rPr>
            <sz val="9"/>
            <color indexed="81"/>
            <rFont val="Tahoma"/>
            <family val="2"/>
          </rPr>
          <t>: percentage value is automatically calculated when the numerator and denominator values have been inserted</t>
        </r>
      </text>
    </comment>
    <comment ref="G49" authorId="0" guid="{B00CE8D2-AE69-429B-B8E0-5821F4AC9D0C}">
      <text>
        <r>
          <rPr>
            <b/>
            <sz val="9"/>
            <color indexed="81"/>
            <rFont val="Tahoma"/>
            <family val="2"/>
          </rPr>
          <t>N #</t>
        </r>
        <r>
          <rPr>
            <sz val="9"/>
            <color indexed="81"/>
            <rFont val="Tahoma"/>
            <family val="2"/>
          </rPr>
          <t>: Include here the numerator value</t>
        </r>
      </text>
    </comment>
    <comment ref="H49" authorId="0" guid="{CA404AD9-C560-4FE4-8AF9-3AE4A9590E75}">
      <text>
        <r>
          <rPr>
            <b/>
            <sz val="9"/>
            <color indexed="81"/>
            <rFont val="Tahoma"/>
            <family val="2"/>
          </rPr>
          <t>For indicators that are not in percentage</t>
        </r>
        <r>
          <rPr>
            <sz val="9"/>
            <color indexed="81"/>
            <rFont val="Tahoma"/>
            <family val="2"/>
          </rPr>
          <t>, this field can be left blank. For indicators that are set in percentage only the fields for numerator value (N#) and denominator value (D#) can be left blank.</t>
        </r>
      </text>
    </comment>
    <comment ref="K49" authorId="0" guid="{B8799BE3-3F23-4EC7-859E-566612FB42EA}">
      <text>
        <r>
          <rPr>
            <sz val="9"/>
            <color indexed="81"/>
            <rFont val="Tahoma"/>
            <family val="2"/>
          </rPr>
          <t xml:space="preserve">This refers to targets that are expected to be achieved in the </t>
        </r>
        <r>
          <rPr>
            <b/>
            <sz val="9"/>
            <color indexed="81"/>
            <rFont val="Tahoma"/>
            <family val="2"/>
          </rPr>
          <t xml:space="preserve">indicative funding </t>
        </r>
        <r>
          <rPr>
            <sz val="9"/>
            <color indexed="81"/>
            <rFont val="Tahoma"/>
            <family val="2"/>
          </rPr>
          <t xml:space="preserve">request </t>
        </r>
      </text>
    </comment>
    <comment ref="M49" authorId="0" guid="{2DBB661C-019F-47B7-8526-D692FA79A43E}">
      <text>
        <r>
          <rPr>
            <b/>
            <sz val="9"/>
            <color indexed="81"/>
            <rFont val="Tahoma"/>
            <family val="2"/>
          </rPr>
          <t>N #:</t>
        </r>
        <r>
          <rPr>
            <sz val="9"/>
            <color indexed="81"/>
            <rFont val="Tahoma"/>
            <family val="2"/>
          </rPr>
          <t xml:space="preserve"> Include here the numerator value</t>
        </r>
      </text>
    </comment>
    <comment ref="N49" authorId="0" guid="{F49D3990-A65B-49C4-BF46-3730F219B8C3}">
      <text>
        <r>
          <rPr>
            <sz val="9"/>
            <color indexed="81"/>
            <rFont val="Tahoma"/>
            <family val="2"/>
          </rPr>
          <t>%: percentage value is automatically calculated when the numerator and denominator values have been inserted</t>
        </r>
      </text>
    </comment>
    <comment ref="M50" authorId="0" guid="{F12FC2E7-D11A-4404-9050-6FE61BB9562E}">
      <text>
        <r>
          <rPr>
            <b/>
            <sz val="9"/>
            <color indexed="81"/>
            <rFont val="Tahoma"/>
            <family val="2"/>
          </rPr>
          <t xml:space="preserve">D #: </t>
        </r>
        <r>
          <rPr>
            <sz val="9"/>
            <color indexed="81"/>
            <rFont val="Tahoma"/>
            <family val="2"/>
          </rPr>
          <t xml:space="preserve">Include here the denominator value.  If there is no denominator, leave this cell blank. 
</t>
        </r>
      </text>
    </comment>
    <comment ref="G51" authorId="0" guid="{078C0DC6-8A9B-4C2F-B985-B35129B14453}">
      <text>
        <r>
          <rPr>
            <b/>
            <sz val="9"/>
            <color indexed="81"/>
            <rFont val="Tahoma"/>
            <family val="2"/>
          </rPr>
          <t>D #</t>
        </r>
        <r>
          <rPr>
            <sz val="9"/>
            <color indexed="81"/>
            <rFont val="Tahoma"/>
            <family val="2"/>
          </rPr>
          <t>: Include here the denominator value.  If there is no denominator, leave this cell blank.</t>
        </r>
      </text>
    </comment>
    <comment ref="K51" authorId="0" guid="{243FE2E9-9C25-43AE-AAF8-2493C1624552}">
      <text>
        <r>
          <rPr>
            <sz val="9"/>
            <color indexed="81"/>
            <rFont val="Tahoma"/>
            <family val="2"/>
          </rPr>
          <t xml:space="preserve">This refers to targets that are expected to be achieved in the </t>
        </r>
        <r>
          <rPr>
            <b/>
            <sz val="9"/>
            <color indexed="81"/>
            <rFont val="Tahoma"/>
            <family val="2"/>
          </rPr>
          <t>above indicative</t>
        </r>
        <r>
          <rPr>
            <sz val="9"/>
            <color indexed="81"/>
            <rFont val="Tahoma"/>
            <family val="2"/>
          </rPr>
          <t xml:space="preserve"> funding request </t>
        </r>
        <r>
          <rPr>
            <b/>
            <sz val="9"/>
            <color indexed="81"/>
            <rFont val="Tahoma"/>
            <family val="2"/>
          </rPr>
          <t xml:space="preserve">
</t>
        </r>
        <r>
          <rPr>
            <sz val="9"/>
            <color indexed="81"/>
            <rFont val="Tahoma"/>
            <family val="2"/>
          </rPr>
          <t xml:space="preserve">
</t>
        </r>
      </text>
    </comment>
    <comment ref="Z63" authorId="0" guid="{FF2DD599-E17D-4041-8375-AC47303BA9EC}">
      <text>
        <r>
          <rPr>
            <sz val="9"/>
            <color indexed="81"/>
            <rFont val="Tahoma"/>
            <family val="2"/>
          </rPr>
          <t xml:space="preserve">• Provide </t>
        </r>
        <r>
          <rPr>
            <b/>
            <sz val="9"/>
            <color indexed="81"/>
            <rFont val="Tahoma"/>
            <family val="2"/>
          </rPr>
          <t>a brief explanation of which activities other donors and the government are already funding in support of this intervention</t>
        </r>
        <r>
          <rPr>
            <sz val="9"/>
            <color indexed="81"/>
            <rFont val="Tahoma"/>
            <family val="2"/>
          </rPr>
          <t xml:space="preserve">. If the amount and coverage is known, please describe  If the funding landscape is changing, please explain how this affects your request to the Global Fund.
• The explanation should provide an understanding of </t>
        </r>
        <r>
          <rPr>
            <b/>
            <sz val="9"/>
            <color indexed="81"/>
            <rFont val="Tahoma"/>
            <family val="2"/>
          </rPr>
          <t xml:space="preserve">why certain activities are not included in the funding request to the Global Fund. </t>
        </r>
        <r>
          <rPr>
            <sz val="9"/>
            <color indexed="81"/>
            <rFont val="Tahoma"/>
            <family val="2"/>
          </rPr>
          <t xml:space="preserve">It is important to ensure that all of the required activities to implement an intervention are funded by national resources or other donors. </t>
        </r>
      </text>
    </comment>
    <comment ref="D64" authorId="0" guid="{6F7DE504-2E55-4151-90C8-EACEB2909560}">
      <text>
        <r>
          <rPr>
            <sz val="9"/>
            <color indexed="81"/>
            <rFont val="Tahoma"/>
            <family val="2"/>
          </rPr>
          <t>This</t>
        </r>
        <r>
          <rPr>
            <b/>
            <sz val="9"/>
            <color indexed="81"/>
            <rFont val="Tahoma"/>
            <family val="2"/>
          </rPr>
          <t xml:space="preserve"> </t>
        </r>
        <r>
          <rPr>
            <sz val="9"/>
            <color indexed="81"/>
            <rFont val="Tahoma"/>
            <family val="2"/>
          </rPr>
          <t>section should  explain</t>
        </r>
        <r>
          <rPr>
            <b/>
            <sz val="9"/>
            <color indexed="81"/>
            <rFont val="Tahoma"/>
            <family val="2"/>
          </rPr>
          <t xml:space="preserve"> why this intervention is needed and how it will deliver impact;</t>
        </r>
        <r>
          <rPr>
            <sz val="9"/>
            <color indexed="81"/>
            <rFont val="Tahoma"/>
            <family val="2"/>
          </rPr>
          <t xml:space="preserve">  the modalities of this intervention and how they have been chosen. 
• Provide at least 1 sentence on the rationale for this explanation: e.g. evidence or sources demonstrating that this intervention will be effective. 
• Provide at least 1 sentence on the rationale for this explanation: e.g. evidence or sources proving this intervention will be effective. 
• Provide at least 1 sentence on the scope of the intervention (eg. Geographic, population reached etc), 
• Provide at least 1 sentence on the activities that will be carried out under this intervention (e.g. BCC may include training, outreach, etc.). Please describe in sufficient detail the key activities and how they will be managed, as well as how the Global Fund sponsored activities will be coordinated with other related interventions
• If more than one PR will be responsible for an intervention, please describe the division of  responsibilities in implementation  (eg. regional coverage, supporting different activities within the intervention)
• Provide at least 1 sentence on how the scope may increase and what additional activities may be carried out due to the additional above indicative amount. Activities should be described in sufficent detail.</t>
        </r>
      </text>
    </comment>
    <comment ref="S64" authorId="0" guid="{F4C1ED11-40F5-4C5E-BB38-58EAC58D243E}">
      <text>
        <r>
          <rPr>
            <sz val="9"/>
            <color indexed="81"/>
            <rFont val="Tahoma"/>
            <family val="2"/>
          </rPr>
          <t xml:space="preserve"> Please </t>
        </r>
        <r>
          <rPr>
            <b/>
            <sz val="9"/>
            <color indexed="81"/>
            <rFont val="Tahoma"/>
            <family val="2"/>
          </rPr>
          <t xml:space="preserve">explain how the figures of the funding request to the Global fund for this intervention were estimated. </t>
        </r>
        <r>
          <rPr>
            <sz val="9"/>
            <color indexed="81"/>
            <rFont val="Tahoma"/>
            <family val="2"/>
          </rPr>
          <t xml:space="preserve">
o (1) What subinterventions/activities are included within this cost, and their cost drivers. 
o (2) Sources of costing (e.g. past experience, technical partner benchmark or costing tool, detailed budgeting etc.)
o(3) Please provide cost assumption information for at least 80% of the value of the intervention. 
Please specify  </t>
        </r>
        <r>
          <rPr>
            <b/>
            <sz val="9"/>
            <color indexed="81"/>
            <rFont val="Tahoma"/>
            <family val="2"/>
          </rPr>
          <t xml:space="preserve">the number of services </t>
        </r>
        <r>
          <rPr>
            <sz val="9"/>
            <color indexed="81"/>
            <rFont val="Tahoma"/>
            <family val="2"/>
          </rPr>
          <t>that will be provided, per year, due to the contribution of GF (e.g. number of additional people reached by BCC interventions). Please clearly indicate the number of services due to indicative funding and incremental number due to above indicative funding.  Please also explain if there are changes in  number of services delivered across years or in the value of funding for the intervention.</t>
        </r>
      </text>
    </comment>
    <comment ref="A65" authorId="0" guid="{D684EB4C-F051-4E8A-BCC3-F905A8B9ED9B}">
      <text>
        <r>
          <rPr>
            <sz val="9"/>
            <color indexed="81"/>
            <rFont val="Tahoma"/>
            <family val="2"/>
          </rPr>
          <t xml:space="preserve">Please select the </t>
        </r>
        <r>
          <rPr>
            <b/>
            <sz val="9"/>
            <color indexed="81"/>
            <rFont val="Tahoma"/>
            <family val="2"/>
          </rPr>
          <t>intervention</t>
        </r>
        <r>
          <rPr>
            <sz val="9"/>
            <color indexed="81"/>
            <rFont val="Tahoma"/>
            <family val="2"/>
          </rPr>
          <t xml:space="preserve"> for which funding is being requested from the drop down list. The drop down shows all interventions within the selected module. 
• If the intervention is not in the drop down, please select the intervention "other" and explain the nature of this intervention in the description. Applicants are encouraged to select from the standard measurement framework interventions as much as possible.</t>
        </r>
      </text>
    </comment>
    <comment ref="J65" authorId="0" guid="{E6132B7F-CE93-4B48-AC0E-C6AFD1536646}">
      <text>
        <r>
          <rPr>
            <sz val="9"/>
            <color indexed="81"/>
            <rFont val="Tahoma"/>
            <family val="2"/>
          </rPr>
          <t xml:space="preserve">If more than one PR will be responsible for an intervention, please split the intervention field and indicate funding amounts requested per PR. 
</t>
        </r>
      </text>
    </comment>
    <comment ref="M65" authorId="0" guid="{9D190F9A-2286-4FFE-AD2A-B2EECC975385}">
      <text>
        <r>
          <rPr>
            <sz val="9"/>
            <color indexed="81"/>
            <rFont val="Tahoma"/>
            <family val="2"/>
          </rPr>
          <t xml:space="preserve">Complete the </t>
        </r>
        <r>
          <rPr>
            <b/>
            <sz val="9"/>
            <color indexed="81"/>
            <rFont val="Tahoma"/>
            <family val="2"/>
          </rPr>
          <t xml:space="preserve">budget of your funding request </t>
        </r>
        <r>
          <rPr>
            <sz val="9"/>
            <color indexed="81"/>
            <rFont val="Tahoma"/>
            <family val="2"/>
          </rPr>
          <t>to the Global Fund for this intervention for each year.
Complete the budget of your funding request to the Global Fund for this intervention for each year.</t>
        </r>
      </text>
    </comment>
    <comment ref="K66" authorId="0" guid="{2C9BBA05-0326-49A0-8597-3D9E17970431}">
      <text>
        <r>
          <rPr>
            <sz val="9"/>
            <color indexed="81"/>
            <rFont val="Tahoma"/>
            <family val="2"/>
          </rPr>
          <t>Funds requested under the</t>
        </r>
        <r>
          <rPr>
            <b/>
            <sz val="9"/>
            <color indexed="81"/>
            <rFont val="Tahoma"/>
            <family val="2"/>
          </rPr>
          <t xml:space="preserve"> indicative funding</t>
        </r>
        <r>
          <rPr>
            <sz val="9"/>
            <color indexed="81"/>
            <rFont val="Tahoma"/>
            <family val="2"/>
          </rPr>
          <t xml:space="preserve"> request</t>
        </r>
      </text>
    </comment>
    <comment ref="K67" authorId="0" guid="{33A9CC04-0833-458F-9818-D78745521EF7}">
      <text>
        <r>
          <rPr>
            <sz val="9"/>
            <color indexed="81"/>
            <rFont val="Tahoma"/>
            <family val="2"/>
          </rPr>
          <t xml:space="preserve">Funds requested </t>
        </r>
        <r>
          <rPr>
            <b/>
            <sz val="9"/>
            <color indexed="81"/>
            <rFont val="Tahoma"/>
            <family val="2"/>
          </rPr>
          <t>above the indicative</t>
        </r>
        <r>
          <rPr>
            <sz val="9"/>
            <color indexed="81"/>
            <rFont val="Tahoma"/>
            <family val="2"/>
          </rPr>
          <t xml:space="preserve"> amount 
(above indicative + indicative = full request)</t>
        </r>
      </text>
    </comment>
  </commentList>
</comments>
</file>

<file path=xl/comments2.xml><?xml version="1.0" encoding="utf-8"?>
<comments xmlns="http://schemas.openxmlformats.org/spreadsheetml/2006/main">
  <authors>
    <author>Author</author>
  </authors>
  <commentList>
    <comment ref="C1" authorId="0" guid="{7CDA96E1-3E13-4359-95CE-575D87C98AA6}">
      <text>
        <r>
          <rPr>
            <b/>
            <sz val="9"/>
            <color indexed="81"/>
            <rFont val="Tahoma"/>
            <family val="2"/>
          </rPr>
          <t>Author:</t>
        </r>
        <r>
          <rPr>
            <sz val="9"/>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C1" authorId="0" guid="{FDD0D483-7750-4347-836B-A5B5810B2AFD}">
      <text>
        <r>
          <rPr>
            <b/>
            <sz val="9"/>
            <color indexed="81"/>
            <rFont val="Tahoma"/>
            <family val="2"/>
          </rPr>
          <t>Author:</t>
        </r>
        <r>
          <rPr>
            <sz val="9"/>
            <color indexed="81"/>
            <rFont val="Tahoma"/>
            <family val="2"/>
          </rPr>
          <t xml:space="preserve">
Logic relating Outcome and Impact indicators to individual modules not to be implemented</t>
        </r>
      </text>
    </comment>
  </commentList>
</comments>
</file>

<file path=xl/sharedStrings.xml><?xml version="1.0" encoding="utf-8"?>
<sst xmlns="http://schemas.openxmlformats.org/spreadsheetml/2006/main" count="3878" uniqueCount="2061">
  <si>
    <t>Please select…</t>
  </si>
  <si>
    <t>Year 5</t>
  </si>
  <si>
    <t>Year 4</t>
  </si>
  <si>
    <t>Period 6</t>
  </si>
  <si>
    <t>Period 5</t>
  </si>
  <si>
    <t>Period 4</t>
  </si>
  <si>
    <t>Period 3</t>
  </si>
  <si>
    <t>Period 2</t>
  </si>
  <si>
    <t>Period 1</t>
  </si>
  <si>
    <t>Source</t>
  </si>
  <si>
    <t>Target cumulation</t>
  </si>
  <si>
    <t>Indicator</t>
  </si>
  <si>
    <t>Service Delivery Area</t>
  </si>
  <si>
    <t>D #</t>
  </si>
  <si>
    <t>%</t>
  </si>
  <si>
    <t>N #</t>
  </si>
  <si>
    <t>Report due date</t>
  </si>
  <si>
    <t>Year 3</t>
  </si>
  <si>
    <t>Year 2</t>
  </si>
  <si>
    <t>value</t>
  </si>
  <si>
    <t>Comments</t>
  </si>
  <si>
    <t>Targets</t>
  </si>
  <si>
    <t>Baseline</t>
  </si>
  <si>
    <t xml:space="preserve">     Objectives:</t>
  </si>
  <si>
    <t>B. Program goals and impact indicators</t>
  </si>
  <si>
    <t>Period Covered: to</t>
  </si>
  <si>
    <t>Period Covered: from</t>
  </si>
  <si>
    <t>A. Program details</t>
  </si>
  <si>
    <t>Administrative records</t>
  </si>
  <si>
    <t>National Health Account</t>
  </si>
  <si>
    <t>Health Provider survey</t>
  </si>
  <si>
    <t>Operational Research</t>
  </si>
  <si>
    <t>Vital and disease-specific registry</t>
  </si>
  <si>
    <t>Reports (specify)</t>
  </si>
  <si>
    <t>Specific surveys and research (specify)</t>
  </si>
  <si>
    <t>Households survey</t>
  </si>
  <si>
    <t>SAMS (Service Availability Mapping
Survey)</t>
  </si>
  <si>
    <t>Health Facility survey</t>
  </si>
  <si>
    <t>BSS (Behavioral Surveillance Survey)</t>
  </si>
  <si>
    <t>AIS (AIDS Indicator Survey)</t>
  </si>
  <si>
    <t>DHS/DHS+ (Demographic and Health
Survey)</t>
  </si>
  <si>
    <t>MICS (Multiple Indicator Cluster Survey)</t>
  </si>
  <si>
    <t>Training records</t>
  </si>
  <si>
    <t>Patient records</t>
  </si>
  <si>
    <t>HMIS</t>
  </si>
  <si>
    <t>SAMS (Service Availability Mapping Survey)</t>
  </si>
  <si>
    <t>Specify- Reports, Surveys, Questionnaires etc.</t>
  </si>
  <si>
    <t>TB treatment card</t>
  </si>
  <si>
    <t>TB laboratory register</t>
  </si>
  <si>
    <t>TB patient register</t>
  </si>
  <si>
    <t>TB prevalence survey</t>
  </si>
  <si>
    <t xml:space="preserve">R&amp;R TB system, yearly management report </t>
  </si>
  <si>
    <t>R&amp;R TB system, quarterly reports</t>
  </si>
  <si>
    <t>Other survey, specify</t>
  </si>
  <si>
    <t>Other report, specify</t>
  </si>
  <si>
    <t>Surveillance systems</t>
  </si>
  <si>
    <t>Patients records</t>
  </si>
  <si>
    <t>Key informant survey</t>
  </si>
  <si>
    <t>Situation Analysis</t>
  </si>
  <si>
    <t>MIS (Malaria Indicator Survey)</t>
  </si>
  <si>
    <t>DHS/DHS+ (Demographic and Health Survey)</t>
  </si>
  <si>
    <t>Tied to</t>
  </si>
  <si>
    <t>Disbursement Request (Y,N)</t>
  </si>
  <si>
    <t>Please carefully review the instructions work sheet before completing this template</t>
  </si>
  <si>
    <t>Top 10</t>
  </si>
  <si>
    <t>Impact indicator</t>
  </si>
  <si>
    <t>Outcome indicator</t>
  </si>
  <si>
    <t>C. Program objectives and outcome indicators</t>
  </si>
  <si>
    <t>Country / Applicant:</t>
  </si>
  <si>
    <t>January</t>
  </si>
  <si>
    <t>April</t>
  </si>
  <si>
    <t>July</t>
  </si>
  <si>
    <t>October</t>
  </si>
  <si>
    <t>Start month</t>
  </si>
  <si>
    <t>PR Country</t>
  </si>
  <si>
    <t>PR</t>
  </si>
  <si>
    <t>PRacronym</t>
  </si>
  <si>
    <t>Malaria</t>
  </si>
  <si>
    <t>Tuberculosis</t>
  </si>
  <si>
    <t>CCM Afghanistan</t>
  </si>
  <si>
    <t>Afghanistan</t>
  </si>
  <si>
    <t>CCM Albania</t>
  </si>
  <si>
    <t>German Technical Cooperation GTZ-IS</t>
  </si>
  <si>
    <t>CCM Algeria</t>
  </si>
  <si>
    <t>HealthNet TPO</t>
  </si>
  <si>
    <t>CCM Angola</t>
  </si>
  <si>
    <t>CCM Argentina</t>
  </si>
  <si>
    <t>Albania</t>
  </si>
  <si>
    <t>Institute of Public Health, Ministry of Health in Albania</t>
  </si>
  <si>
    <t>CCM Armenia</t>
  </si>
  <si>
    <t>Algeria</t>
  </si>
  <si>
    <t>CCM Azerbaijan</t>
  </si>
  <si>
    <t>Angola</t>
  </si>
  <si>
    <t>United Nations Development Programme, Angola</t>
  </si>
  <si>
    <t>CCM Bangladesh</t>
  </si>
  <si>
    <t>CCM Belarus</t>
  </si>
  <si>
    <t>Argentina</t>
  </si>
  <si>
    <t>United Nations Development Programme, Argentina</t>
  </si>
  <si>
    <t>CCM Belize</t>
  </si>
  <si>
    <t>UBATEC S.A.</t>
  </si>
  <si>
    <t>CCM Benin</t>
  </si>
  <si>
    <t>Armenia</t>
  </si>
  <si>
    <t>CCM Bhutan</t>
  </si>
  <si>
    <t>CCM Bolivia</t>
  </si>
  <si>
    <t>Mission East</t>
  </si>
  <si>
    <t>ME</t>
  </si>
  <si>
    <t>CCM Bosnia and Herzegovina</t>
  </si>
  <si>
    <t>Azerbaijan</t>
  </si>
  <si>
    <t>CCM Botswana</t>
  </si>
  <si>
    <t>CCM Brazil</t>
  </si>
  <si>
    <t>Bangladesh</t>
  </si>
  <si>
    <t>CCM Bulgaria</t>
  </si>
  <si>
    <t>BRAC</t>
  </si>
  <si>
    <t>CCM Burkina Faso</t>
  </si>
  <si>
    <t>Ministry of Health and Family Welfare of Bangladesh</t>
  </si>
  <si>
    <t>CCM Burundi</t>
  </si>
  <si>
    <t>CCM Cambodia</t>
  </si>
  <si>
    <t>CCM Cameroon</t>
  </si>
  <si>
    <t>Belarus</t>
  </si>
  <si>
    <t>United Nations Development Programme, Belarus</t>
  </si>
  <si>
    <t>CCM Cape Verde</t>
  </si>
  <si>
    <t>Belize</t>
  </si>
  <si>
    <t>CCM Central African Republic</t>
  </si>
  <si>
    <t>CCM Chad</t>
  </si>
  <si>
    <t>Benin</t>
  </si>
  <si>
    <t>United Nations Development Programme, Benin</t>
  </si>
  <si>
    <t>CCM Chile</t>
  </si>
  <si>
    <t>CCM China</t>
  </si>
  <si>
    <t>CCM Colombia</t>
  </si>
  <si>
    <t>CCM Comoros</t>
  </si>
  <si>
    <t>Plan Benin</t>
  </si>
  <si>
    <t>CCM Congo (Republic of)</t>
  </si>
  <si>
    <t>Non-CCM Congo-Kasai</t>
  </si>
  <si>
    <t>Bhutan</t>
  </si>
  <si>
    <t>Bolivia (Plurinational State)</t>
  </si>
  <si>
    <t>CCM Costa Rica</t>
  </si>
  <si>
    <t>United Nations Development Programme, Bolivia</t>
  </si>
  <si>
    <t>CCM Cote d'Ivoire</t>
  </si>
  <si>
    <t>Asociación Ibis - Hivos</t>
  </si>
  <si>
    <t>CCM Croatia</t>
  </si>
  <si>
    <t>Bosnia and Herzegovina</t>
  </si>
  <si>
    <t>CCM Cuba</t>
  </si>
  <si>
    <t>Botswana</t>
  </si>
  <si>
    <t>Ministry of Finance and Development Planning of Botswana</t>
  </si>
  <si>
    <t>CCM Djibouti</t>
  </si>
  <si>
    <t>Brazil</t>
  </si>
  <si>
    <t>CCM Dominican Republic</t>
  </si>
  <si>
    <t>CCM Ecuador</t>
  </si>
  <si>
    <t>CCM Egypt</t>
  </si>
  <si>
    <t>CCM El Salvador</t>
  </si>
  <si>
    <t>Bulgaria</t>
  </si>
  <si>
    <t>CCM Equatorial Guinea</t>
  </si>
  <si>
    <t>Burkina Faso</t>
  </si>
  <si>
    <t>United Nations Development Programme, Burkina Faso</t>
  </si>
  <si>
    <t>CCM Eritrea</t>
  </si>
  <si>
    <t>National Council to Fight Against HIV/AIDS</t>
  </si>
  <si>
    <t>CCM Estonia</t>
  </si>
  <si>
    <t>CCM Ethiopia</t>
  </si>
  <si>
    <t>CCM Fiji</t>
  </si>
  <si>
    <t>CCM Gabon</t>
  </si>
  <si>
    <t>Burundi</t>
  </si>
  <si>
    <t>Conseil National de Lutte contre le SIDA (CNLS), Burundi</t>
  </si>
  <si>
    <t>CCM Gambia</t>
  </si>
  <si>
    <t>CCM Georgia</t>
  </si>
  <si>
    <t>CCM Ghana</t>
  </si>
  <si>
    <t>CCM Guatemala</t>
  </si>
  <si>
    <t>CED-Caritas, Burundi</t>
  </si>
  <si>
    <t>CCM Guinea</t>
  </si>
  <si>
    <t>Cambodia</t>
  </si>
  <si>
    <t>Ministry of Health of Cambodia</t>
  </si>
  <si>
    <t>CCM Guyana</t>
  </si>
  <si>
    <t>CCM Haiti</t>
  </si>
  <si>
    <t>CCM Honduras</t>
  </si>
  <si>
    <t>Cameroon</t>
  </si>
  <si>
    <t>CCM India</t>
  </si>
  <si>
    <t>CARE International in Cameroon</t>
  </si>
  <si>
    <t>CCM Indonesia</t>
  </si>
  <si>
    <t>Plan International</t>
  </si>
  <si>
    <t>CCM Iran (Islamic Republic of)</t>
  </si>
  <si>
    <t>Cape Verde</t>
  </si>
  <si>
    <t>CCM Iraq</t>
  </si>
  <si>
    <t>CCM Jamaica</t>
  </si>
  <si>
    <t>Central African Republic</t>
  </si>
  <si>
    <t>United Nations Development Programme, Central African Republic</t>
  </si>
  <si>
    <t>CCM Jordan</t>
  </si>
  <si>
    <t>CCM Kazakhstan</t>
  </si>
  <si>
    <t>Chad</t>
  </si>
  <si>
    <t>CCM Kenya</t>
  </si>
  <si>
    <t>United Nations Development Programme, Chad</t>
  </si>
  <si>
    <t>CCM DPR of Korea</t>
  </si>
  <si>
    <t>Association of Social Marketing in Chad (AMASOT)</t>
  </si>
  <si>
    <t>CCM Kosovo</t>
  </si>
  <si>
    <t>CCM Kyrgyzstan</t>
  </si>
  <si>
    <t>Chile</t>
  </si>
  <si>
    <t>Consejo de las Américas</t>
  </si>
  <si>
    <t>Sub-CCM Chuya Region</t>
  </si>
  <si>
    <t>China</t>
  </si>
  <si>
    <t>Chinese Centre for Disease Control and Prevention</t>
  </si>
  <si>
    <t>CCM Lao PDR</t>
  </si>
  <si>
    <t>Colombia</t>
  </si>
  <si>
    <t>CCM Lesotho</t>
  </si>
  <si>
    <t>Fundación Universidad Antioquia</t>
  </si>
  <si>
    <t>FUA</t>
  </si>
  <si>
    <t>CCM Liberia</t>
  </si>
  <si>
    <t>FONADE</t>
  </si>
  <si>
    <t>CCM Macedonia</t>
  </si>
  <si>
    <t>CCM Madagascar</t>
  </si>
  <si>
    <t>Comoros</t>
  </si>
  <si>
    <t>Association Comorienne pour le Bien-Etre de la Famille (ASCOBEF)</t>
  </si>
  <si>
    <t>CCM Malawi</t>
  </si>
  <si>
    <t>Ministry of Health of Comoros</t>
  </si>
  <si>
    <t>CCM Malaysia</t>
  </si>
  <si>
    <t>Congo</t>
  </si>
  <si>
    <t>CCM Maldives</t>
  </si>
  <si>
    <t>CCM Mali</t>
  </si>
  <si>
    <t>CCM Mauritania</t>
  </si>
  <si>
    <t>Congo (Democratic Republic)</t>
  </si>
  <si>
    <t>United Nations Development Programme, Democratic Republic of Congo</t>
  </si>
  <si>
    <t>CCM Mauritius</t>
  </si>
  <si>
    <t>CCM Mexico</t>
  </si>
  <si>
    <t>CCM Moldova</t>
  </si>
  <si>
    <t>CORDAID</t>
  </si>
  <si>
    <t>CCM Mongolia</t>
  </si>
  <si>
    <t>Costa Rica</t>
  </si>
  <si>
    <t>CCM Montenegro</t>
  </si>
  <si>
    <t>CCM Morocco</t>
  </si>
  <si>
    <t>Côte d'Ivoire</t>
  </si>
  <si>
    <t>United Nations Development Programme, Cote d'Ivoire</t>
  </si>
  <si>
    <t>CCM Mozambique</t>
  </si>
  <si>
    <t>CARE Cote d'Ivoire</t>
  </si>
  <si>
    <t>Croatia</t>
  </si>
  <si>
    <t>Cuba</t>
  </si>
  <si>
    <t>United Nations Development Programme, Cuba</t>
  </si>
  <si>
    <t>Djibouti</t>
  </si>
  <si>
    <t>Secrétariat Exécutif de Lutte contre le Sida la Tuberculose et le Paludisme</t>
  </si>
  <si>
    <t>Dominican Republic</t>
  </si>
  <si>
    <t>Asociación Dominicana Pro-Bienestar de la Familia (PROFAMILIA)</t>
  </si>
  <si>
    <t>Instituto Dermatologico y Cirugia de Piel</t>
  </si>
  <si>
    <t>Subsecretaria de Estado de Salud Colectiva, Ministry of Health</t>
  </si>
  <si>
    <t>Ecuador</t>
  </si>
  <si>
    <t>CARE Ecuador</t>
  </si>
  <si>
    <t>CCM Myanmar</t>
  </si>
  <si>
    <t>Corporacion Kimirina</t>
  </si>
  <si>
    <t>CCM Namibia</t>
  </si>
  <si>
    <t>Egypt</t>
  </si>
  <si>
    <t>National Tuberculosis Control Program, Ministry of Health and Population in Egypt</t>
  </si>
  <si>
    <t>CCM Nepal</t>
  </si>
  <si>
    <t>National AIDS Programme, Ministry of Health and Population in Egypt</t>
  </si>
  <si>
    <t>CCM Nicaragua</t>
  </si>
  <si>
    <t>El Salvador</t>
  </si>
  <si>
    <t>CCM Niger</t>
  </si>
  <si>
    <t>Ministry of Health of El Salvador</t>
  </si>
  <si>
    <t>CCM Nigeria</t>
  </si>
  <si>
    <t>Equatorial Guinea</t>
  </si>
  <si>
    <t>United Nations Development Programme, Equatorial Guinea</t>
  </si>
  <si>
    <t>CCM Pakistan</t>
  </si>
  <si>
    <t>Medical Care Development International</t>
  </si>
  <si>
    <t>CCM Panama</t>
  </si>
  <si>
    <t>Eritrea</t>
  </si>
  <si>
    <t>CCM Papua New Guinea</t>
  </si>
  <si>
    <t>Estonia</t>
  </si>
  <si>
    <t>National Institute for Health Development, Ministry of Social Affaires</t>
  </si>
  <si>
    <t>CCM Paraguay</t>
  </si>
  <si>
    <t>Ethiopia</t>
  </si>
  <si>
    <t>CCM Peru</t>
  </si>
  <si>
    <t>CCM Philippines</t>
  </si>
  <si>
    <t>CCM Romania</t>
  </si>
  <si>
    <t>Sub-CCM Tomsk-Oblast</t>
  </si>
  <si>
    <t>Fiji</t>
  </si>
  <si>
    <t>Ministry of Health of Fiji</t>
  </si>
  <si>
    <t>CCM Russian Federation</t>
  </si>
  <si>
    <t>Gabon</t>
  </si>
  <si>
    <t>United Nations Development Programme, Gabon</t>
  </si>
  <si>
    <t>Ministry of Health and Public Hygiene of Gabon</t>
  </si>
  <si>
    <t>CCM Rwanda</t>
  </si>
  <si>
    <t>Gambia</t>
  </si>
  <si>
    <t>National AIDS Secretariat of Gambia</t>
  </si>
  <si>
    <t>Ministry of Health and Social Welfare of Gambia</t>
  </si>
  <si>
    <t>CCM Senegal</t>
  </si>
  <si>
    <t>Action Aid The Gambia</t>
  </si>
  <si>
    <t>CCM Serbia</t>
  </si>
  <si>
    <t>CCM Sierra Leone</t>
  </si>
  <si>
    <t>MRC</t>
  </si>
  <si>
    <t>CCM Solomon Islands</t>
  </si>
  <si>
    <t>Georgia</t>
  </si>
  <si>
    <t>Georgia Health and Social Projects Implementation Center</t>
  </si>
  <si>
    <t>Non-CCM Somalia</t>
  </si>
  <si>
    <t>Ghana</t>
  </si>
  <si>
    <t>CCM South Africa</t>
  </si>
  <si>
    <t>AngloGold Ashanti Malaria Control Limited</t>
  </si>
  <si>
    <t>CCM Sri Lanka</t>
  </si>
  <si>
    <t>Ghana AIDS Commission</t>
  </si>
  <si>
    <t>CCM Sudan</t>
  </si>
  <si>
    <t>CCM Suriname</t>
  </si>
  <si>
    <t>Guatemala</t>
  </si>
  <si>
    <t>Fundación Visión Mundial Guatemala</t>
  </si>
  <si>
    <t>CCM Swaziland</t>
  </si>
  <si>
    <t>CCM Service Validation Test Account</t>
  </si>
  <si>
    <t>Guinea</t>
  </si>
  <si>
    <t>Guinea-Bissau</t>
  </si>
  <si>
    <t>United Nations Development Programme, Guinea-Bissau</t>
  </si>
  <si>
    <t>CCM Tajikistan</t>
  </si>
  <si>
    <t>CCM Thailand</t>
  </si>
  <si>
    <t>Guyana</t>
  </si>
  <si>
    <t>Ministry of Health of Guyana</t>
  </si>
  <si>
    <t>CCM Timor Leste</t>
  </si>
  <si>
    <t>Haiti</t>
  </si>
  <si>
    <t>United Nations Development Programme, Haiti</t>
  </si>
  <si>
    <t>CCM Togo</t>
  </si>
  <si>
    <t>Fondation SOGEBANK</t>
  </si>
  <si>
    <t>CCM Tunisia</t>
  </si>
  <si>
    <t>Honduras</t>
  </si>
  <si>
    <t>United Nations Development Programme, Honduras</t>
  </si>
  <si>
    <t>CCM Turkey</t>
  </si>
  <si>
    <t>CHF</t>
  </si>
  <si>
    <t>CCM Turkmenistan</t>
  </si>
  <si>
    <t>India</t>
  </si>
  <si>
    <t>CCM Uganda</t>
  </si>
  <si>
    <t>Population Foundation of India</t>
  </si>
  <si>
    <t>CCM Ukraine</t>
  </si>
  <si>
    <t>India HIV/AIDS Alliance</t>
  </si>
  <si>
    <t>CCM Uruguay</t>
  </si>
  <si>
    <t>Indian Nursing Council</t>
  </si>
  <si>
    <t>CCM Uzbekistan</t>
  </si>
  <si>
    <t>CCM Viet Nam</t>
  </si>
  <si>
    <t>Non-CCM West Bank and Gaza Strip</t>
  </si>
  <si>
    <t>World Vision India</t>
  </si>
  <si>
    <t>WVI</t>
  </si>
  <si>
    <t>CCM Yemen</t>
  </si>
  <si>
    <t>IL&amp;FS Education &amp; Technology Services Ltd.</t>
  </si>
  <si>
    <t>CCM Zambia</t>
  </si>
  <si>
    <t>CCM Zanzibar</t>
  </si>
  <si>
    <t>EHA</t>
  </si>
  <si>
    <t>CCM Zimbabwe</t>
  </si>
  <si>
    <t>Indonesia</t>
  </si>
  <si>
    <t>National AIDS Commission of Indonesia</t>
  </si>
  <si>
    <t>IPPA</t>
  </si>
  <si>
    <t>Central Board of Aisyiyah</t>
  </si>
  <si>
    <t>Faculty of Public Health, University of Indonesia</t>
  </si>
  <si>
    <t>PERDHAKI - Indonesian association for voluntary health services</t>
  </si>
  <si>
    <t>NU</t>
  </si>
  <si>
    <t>Iran (Islamic Republic)</t>
  </si>
  <si>
    <t>Iraq</t>
  </si>
  <si>
    <t>United Nations Development Programme, Iraq</t>
  </si>
  <si>
    <t>Jamaica</t>
  </si>
  <si>
    <t>Ministry of Health of Jamaica</t>
  </si>
  <si>
    <t>Jordan</t>
  </si>
  <si>
    <t>Ministry of Health of the Hashemite Kingdom of Jordan</t>
  </si>
  <si>
    <t>Kazakhstan</t>
  </si>
  <si>
    <t>Kenya</t>
  </si>
  <si>
    <t>Sanaa Art Promotions</t>
  </si>
  <si>
    <t>Kenya Network of Women With AIDS</t>
  </si>
  <si>
    <t>Korea (Democratic Peoples Republic)</t>
  </si>
  <si>
    <t>Kosovo</t>
  </si>
  <si>
    <t>Ministry of Health of Kosovo</t>
  </si>
  <si>
    <t>Kyrgyzstan</t>
  </si>
  <si>
    <t>National AIDS Center, Kyrgyzstan</t>
  </si>
  <si>
    <t>National Center of Phtisiology</t>
  </si>
  <si>
    <t>State Sanitary Epidemiological Department</t>
  </si>
  <si>
    <t>SSED</t>
  </si>
  <si>
    <t>Project HOPE, Kyrgyzstan</t>
  </si>
  <si>
    <t>Lao (Peoples Democratic Republic)</t>
  </si>
  <si>
    <t>Lesotho</t>
  </si>
  <si>
    <t>Lesotho Council of Non-Governmental Organizations</t>
  </si>
  <si>
    <t>Liberia</t>
  </si>
  <si>
    <t>United Nations Development Programme, Liberia</t>
  </si>
  <si>
    <t>Ministry of Health and Social Welfare of Liberia</t>
  </si>
  <si>
    <t>Lutheran World Federation</t>
  </si>
  <si>
    <t>LWF</t>
  </si>
  <si>
    <t>Macedonia (Former Yugoslav Republic)</t>
  </si>
  <si>
    <t>Madagascar</t>
  </si>
  <si>
    <t>Sécrétariat Exécutif du Comité National de Lutte Contre le VIH/SIDA</t>
  </si>
  <si>
    <t>Unité de Gestion des Projets d'Appui au Secteur Santé</t>
  </si>
  <si>
    <t>Pact Madagascar</t>
  </si>
  <si>
    <t>Association Intercooperation Madagascar (AIM)</t>
  </si>
  <si>
    <t>AIM</t>
  </si>
  <si>
    <t>Malawi</t>
  </si>
  <si>
    <t>Maldives</t>
  </si>
  <si>
    <t>United Nations Development Programme, Maldives</t>
  </si>
  <si>
    <t>Mali</t>
  </si>
  <si>
    <t>Groupe Pivot Santé Population</t>
  </si>
  <si>
    <t>National High Council for HIV/AIDS control of Mali</t>
  </si>
  <si>
    <t>Mauritania</t>
  </si>
  <si>
    <t>United Nations Development Programme, Mauritania</t>
  </si>
  <si>
    <t>Comite National de Lutte contre le VIH/SIDA, Mauritania</t>
  </si>
  <si>
    <t>Mauritius</t>
  </si>
  <si>
    <t>National AIDS Secretariat, Mauritius</t>
  </si>
  <si>
    <t>Mexico</t>
  </si>
  <si>
    <t>Moldova</t>
  </si>
  <si>
    <t>Center for Health Policies and Studies (PAS Center)</t>
  </si>
  <si>
    <t>Mongolia</t>
  </si>
  <si>
    <t>Ministry of Health of Mongolia</t>
  </si>
  <si>
    <t>Montenegro</t>
  </si>
  <si>
    <t>United Nations Development Programme, Montenegro</t>
  </si>
  <si>
    <t>Morocco</t>
  </si>
  <si>
    <t>Ministry of Health of the Kingdom of Morocco</t>
  </si>
  <si>
    <t>Mozambique</t>
  </si>
  <si>
    <t>Ministry of Health of Mozambique</t>
  </si>
  <si>
    <t>World Vision Mozambique</t>
  </si>
  <si>
    <t>Multicountry Africa (SADC)</t>
  </si>
  <si>
    <t>SADC</t>
  </si>
  <si>
    <t>Multicountry Africa (West Africa Corridor Program)</t>
  </si>
  <si>
    <t>Multicountry Americas (Andean)</t>
  </si>
  <si>
    <t>Organismo Andino de Salud - Convenio Hipólito Unanue</t>
  </si>
  <si>
    <t>Multicountry Americas (CARICOM / PANCAP)</t>
  </si>
  <si>
    <t>CARICOM Secretariat</t>
  </si>
  <si>
    <t>Multicountry Americas (CRN+)</t>
  </si>
  <si>
    <t>Multicountry Americas (Meso)</t>
  </si>
  <si>
    <t>Multicountry Americas (OECS)</t>
  </si>
  <si>
    <t>Organization Of Eastern Caribbean States</t>
  </si>
  <si>
    <t>Multicountry Americas (REDCA+)</t>
  </si>
  <si>
    <t>Secretariat of the Pacific Community</t>
  </si>
  <si>
    <t>Myanmar</t>
  </si>
  <si>
    <t>United Nations Development Programme, Myanmar</t>
  </si>
  <si>
    <t>Namibia</t>
  </si>
  <si>
    <t>Ministry of Health and Social Services of Namibia</t>
  </si>
  <si>
    <t>Nepal</t>
  </si>
  <si>
    <t>Ministry of Health of Nepal</t>
  </si>
  <si>
    <t>United Nations Development Programme, Nepal</t>
  </si>
  <si>
    <t>Family Planning Association of Nepal</t>
  </si>
  <si>
    <t>Nicaragua</t>
  </si>
  <si>
    <t>Niger</t>
  </si>
  <si>
    <t>United Nations Development Programme, Niger</t>
  </si>
  <si>
    <t>Nigeria</t>
  </si>
  <si>
    <t>Yakubu Gowon Center for National Unity and International Cooperation</t>
  </si>
  <si>
    <t>Christian Health Association of Nigeria</t>
  </si>
  <si>
    <t>Society for Family Health</t>
  </si>
  <si>
    <t>Association For Reproductive And Family Health (ARFH)</t>
  </si>
  <si>
    <t>NMCP</t>
  </si>
  <si>
    <t>Pakistan</t>
  </si>
  <si>
    <t>Mercy Corps</t>
  </si>
  <si>
    <t>Green Star Social Marketing Pakistan (Guarantee) Limited</t>
  </si>
  <si>
    <t>Nai Zindagi Trust</t>
  </si>
  <si>
    <t>Panama</t>
  </si>
  <si>
    <t>United Nations Development Programme, Panama</t>
  </si>
  <si>
    <t>Papua New Guinea</t>
  </si>
  <si>
    <t>Department of Health of Papua New Guinea</t>
  </si>
  <si>
    <t>Paraguay</t>
  </si>
  <si>
    <t>Alter Vida - Centro de Estudios y Formación para el Ecodesarrollo</t>
  </si>
  <si>
    <t>Peru</t>
  </si>
  <si>
    <t>CARE Peru</t>
  </si>
  <si>
    <t>Pathfinder International</t>
  </si>
  <si>
    <t>Ministry of Health (PARSALUD)</t>
  </si>
  <si>
    <t>MoH</t>
  </si>
  <si>
    <t>Philippines</t>
  </si>
  <si>
    <t>DoH</t>
  </si>
  <si>
    <t>Romania</t>
  </si>
  <si>
    <t>Ministry of Health and Family of Romania</t>
  </si>
  <si>
    <t>Romanian Angel Appeal Foundation</t>
  </si>
  <si>
    <t>Russian Federation</t>
  </si>
  <si>
    <t>Open Health Institute</t>
  </si>
  <si>
    <t>OHI</t>
  </si>
  <si>
    <t>Partners In Health</t>
  </si>
  <si>
    <t>PIH</t>
  </si>
  <si>
    <t>Russian Health Care Foundation</t>
  </si>
  <si>
    <t>Russian Harm Reduction Network</t>
  </si>
  <si>
    <t>Rwanda</t>
  </si>
  <si>
    <t>Ministry of Health of Rwanda</t>
  </si>
  <si>
    <t>Sao Tome and Principe</t>
  </si>
  <si>
    <t>United Nations Development Programme, Sao Tome and Principe</t>
  </si>
  <si>
    <t>Senegal</t>
  </si>
  <si>
    <t>Serbia</t>
  </si>
  <si>
    <t>Economics Institute in Belgrade</t>
  </si>
  <si>
    <t>Youth of JAZAS</t>
  </si>
  <si>
    <t>Red Cross of Serbia</t>
  </si>
  <si>
    <t>Sierra Leone</t>
  </si>
  <si>
    <t>SLRCS</t>
  </si>
  <si>
    <t>Ministry of Health and Sanitation, Sierra Leone</t>
  </si>
  <si>
    <t>Somalia</t>
  </si>
  <si>
    <t>United Nations Children's Fund, Somalia</t>
  </si>
  <si>
    <t>South Africa</t>
  </si>
  <si>
    <t>Western Cape Provincial Department of Health</t>
  </si>
  <si>
    <t>National Treasury of the Republic of South Africa</t>
  </si>
  <si>
    <t>Sri Lanka</t>
  </si>
  <si>
    <t>Lanka Jatika Sarvodaya Shramadana Sangamaya</t>
  </si>
  <si>
    <t>Sudan</t>
  </si>
  <si>
    <t>United Nations Development Programme, Sudan</t>
  </si>
  <si>
    <t>United Nations Development Programme in Southern Sudan</t>
  </si>
  <si>
    <t>Suriname</t>
  </si>
  <si>
    <t>Medische Zending - Primary Health Care Suriname</t>
  </si>
  <si>
    <t>Swaziland</t>
  </si>
  <si>
    <t>Syrian Arab Republic</t>
  </si>
  <si>
    <t>Tajikistan</t>
  </si>
  <si>
    <t>United Nations Development Programme, Tajikistan</t>
  </si>
  <si>
    <t>Project HOPE, Tajikistan</t>
  </si>
  <si>
    <t>Tanzania (United Republic)</t>
  </si>
  <si>
    <t>Thailand</t>
  </si>
  <si>
    <t>Ministry of Public Health of Thailand</t>
  </si>
  <si>
    <t>Raks Thai Foundation</t>
  </si>
  <si>
    <t>Timor-Leste</t>
  </si>
  <si>
    <t>Togo</t>
  </si>
  <si>
    <t>United Nations Development Programme, Togo</t>
  </si>
  <si>
    <t>Ministry of Health of Togo</t>
  </si>
  <si>
    <t>Tunisia</t>
  </si>
  <si>
    <t>Turkey</t>
  </si>
  <si>
    <t>Turkmenistan</t>
  </si>
  <si>
    <t>Uganda</t>
  </si>
  <si>
    <t>Ministry of Finance, Planning and Economic Development of Uganda</t>
  </si>
  <si>
    <t>Ukraine</t>
  </si>
  <si>
    <t>All-Ukrainian Network of People Living with HIV/AIDS</t>
  </si>
  <si>
    <t>Foundation for Development of Ukraine</t>
  </si>
  <si>
    <t>Uzbekistan</t>
  </si>
  <si>
    <t>National AIDS Center, Ministry of Health of Uzbekistan</t>
  </si>
  <si>
    <t>Republican DOTS Center</t>
  </si>
  <si>
    <t>Viet Nam</t>
  </si>
  <si>
    <t>Ministry of Health of Viet Nam</t>
  </si>
  <si>
    <t>National Institute of Malariology, Parasitology and Entomology</t>
  </si>
  <si>
    <t>West Bank and Gaza</t>
  </si>
  <si>
    <t>United Nations Development Programme, West Bank and Gaza</t>
  </si>
  <si>
    <t>Yemen</t>
  </si>
  <si>
    <t>NPC-TS</t>
  </si>
  <si>
    <t>NTCP</t>
  </si>
  <si>
    <t>United Nations Development Programme, Yemen</t>
  </si>
  <si>
    <t>Zambia</t>
  </si>
  <si>
    <t>Churches Health Association of Zambia</t>
  </si>
  <si>
    <t>Ministry of Finance and National Planning of Zambia</t>
  </si>
  <si>
    <t>Zambia National AIDS Network</t>
  </si>
  <si>
    <t>ZNAN</t>
  </si>
  <si>
    <t>Zanzibar</t>
  </si>
  <si>
    <t>Ministry of Health and Social Welfare of Zanzibar</t>
  </si>
  <si>
    <t>Zanzibar AIDS Commission</t>
  </si>
  <si>
    <t>ZAC</t>
  </si>
  <si>
    <t>Zimbabwe</t>
  </si>
  <si>
    <t>Ministry of Health and Child Welfare of Zimbabwe</t>
  </si>
  <si>
    <t>United Nations Development Programme, Zimbabwe</t>
  </si>
  <si>
    <t>National AIDS Council of Zimbabwe</t>
  </si>
  <si>
    <t>Zimbabwe Association of Church Related Hospitals</t>
  </si>
  <si>
    <t>February</t>
  </si>
  <si>
    <t>March</t>
  </si>
  <si>
    <t>May</t>
  </si>
  <si>
    <t>June</t>
  </si>
  <si>
    <t>August</t>
  </si>
  <si>
    <t>September</t>
  </si>
  <si>
    <t>Novermber</t>
  </si>
  <si>
    <t>December</t>
  </si>
  <si>
    <t>Latest Available Results</t>
  </si>
  <si>
    <t>Periodic Review</t>
  </si>
  <si>
    <t>Language</t>
  </si>
  <si>
    <t>English</t>
  </si>
  <si>
    <t>Start Year:</t>
  </si>
  <si>
    <t>Component:</t>
  </si>
  <si>
    <t>Due date Progress Update</t>
  </si>
  <si>
    <t xml:space="preserve">Due date periodic review </t>
  </si>
  <si>
    <t xml:space="preserve">  Goals:</t>
  </si>
  <si>
    <t>Year 1</t>
  </si>
  <si>
    <t>Reporting periods</t>
  </si>
  <si>
    <t>Principal Recipients</t>
  </si>
  <si>
    <t>Latest available baseline/result</t>
  </si>
  <si>
    <t xml:space="preserve">Period </t>
  </si>
  <si>
    <t>Start Month:</t>
  </si>
  <si>
    <t>TiedTo</t>
  </si>
  <si>
    <t>Current grant</t>
  </si>
  <si>
    <t>Multiple Global Fund grants</t>
  </si>
  <si>
    <t>Global Fund and other donors</t>
  </si>
  <si>
    <t>National program</t>
  </si>
  <si>
    <t xml:space="preserve">Year </t>
  </si>
  <si>
    <t>(Please select from list or add a new one)</t>
  </si>
  <si>
    <t>Final target previous implementation period</t>
  </si>
  <si>
    <t>Period 7</t>
  </si>
  <si>
    <t>Period 8</t>
  </si>
  <si>
    <t>Period 9</t>
  </si>
  <si>
    <t>Period 10</t>
  </si>
  <si>
    <t>Period 11</t>
  </si>
  <si>
    <t>Period 12</t>
  </si>
  <si>
    <t>D. Service delivery areas and output/coverage indicators</t>
  </si>
  <si>
    <t>Objective &amp; Indicator Number</t>
  </si>
  <si>
    <t>Linked to goal(s) #</t>
  </si>
  <si>
    <t xml:space="preserve">Linked to objective(s) # </t>
  </si>
  <si>
    <t>Vital registration system</t>
  </si>
  <si>
    <t>worksheet</t>
  </si>
  <si>
    <t>range</t>
  </si>
  <si>
    <t>cell</t>
  </si>
  <si>
    <t>usage</t>
  </si>
  <si>
    <t>reference</t>
  </si>
  <si>
    <t>row</t>
  </si>
  <si>
    <t>column</t>
  </si>
  <si>
    <t>rows</t>
  </si>
  <si>
    <t>columns</t>
  </si>
  <si>
    <t>Performance Framework</t>
  </si>
  <si>
    <t>MonthSelected</t>
  </si>
  <si>
    <t>D7</t>
  </si>
  <si>
    <t>HorizontalTable</t>
  </si>
  <si>
    <t>=Performance Framework!R7C4:R7C4</t>
  </si>
  <si>
    <t>NRMPF1</t>
  </si>
  <si>
    <t>D4</t>
  </si>
  <si>
    <t>=Performance Framework!R4C4:R7C7</t>
  </si>
  <si>
    <t>NRMPF2</t>
  </si>
  <si>
    <t>L4</t>
  </si>
  <si>
    <t>FixedTable</t>
  </si>
  <si>
    <t>=Performance Framework!R4C12:R8C25</t>
  </si>
  <si>
    <t>NRMPF3</t>
  </si>
  <si>
    <t>D11</t>
  </si>
  <si>
    <t>=Performance Framework!R11C4:R12C25</t>
  </si>
  <si>
    <t>NRMPF4</t>
  </si>
  <si>
    <t>A20</t>
  </si>
  <si>
    <t>=Performance Framework!R20C1:R20C34</t>
  </si>
  <si>
    <t>NRMPF5</t>
  </si>
  <si>
    <t>A29</t>
  </si>
  <si>
    <t>=Performance Framework!R29C1:R33C34</t>
  </si>
  <si>
    <t>NRMPF6</t>
  </si>
  <si>
    <t>A36</t>
  </si>
  <si>
    <t>=Performance Framework!R36C1:R36C34</t>
  </si>
  <si>
    <t>NRMPF7</t>
  </si>
  <si>
    <t>A47</t>
  </si>
  <si>
    <t>=Performance Framework!R47C1:R51C34</t>
  </si>
  <si>
    <t>NRMPF8</t>
  </si>
  <si>
    <t>A58</t>
  </si>
  <si>
    <t>=Performance Framework!R58C1:R97C55</t>
  </si>
  <si>
    <t>PRs</t>
  </si>
  <si>
    <t>H6</t>
  </si>
  <si>
    <t>=Performance Framework!R6C8:R6C8</t>
  </si>
  <si>
    <t>YearSelected</t>
  </si>
  <si>
    <t>D6</t>
  </si>
  <si>
    <t>=Performance Framework!R6C4:R6C4</t>
  </si>
  <si>
    <t>Target assumptions</t>
  </si>
  <si>
    <t>NRMPF9</t>
  </si>
  <si>
    <t>A1</t>
  </si>
  <si>
    <t>=Target assumptions!R1C1:R5C18</t>
  </si>
  <si>
    <t>name</t>
  </si>
  <si>
    <t>path</t>
  </si>
  <si>
    <t>C:\Users\nbeck\Documents\Global Fund\Periodic Review\May30</t>
  </si>
  <si>
    <t>PeriodicReview_PerformanceFramework_EN1.xlsx</t>
  </si>
  <si>
    <t>rangehash</t>
  </si>
  <si>
    <t>NewRange9</t>
  </si>
  <si>
    <t>0B78D314E1D14F1A9FDCC32CABFC6455</t>
  </si>
  <si>
    <t>Label</t>
  </si>
  <si>
    <t>French</t>
  </si>
  <si>
    <t>Spanish</t>
  </si>
  <si>
    <t>Russian</t>
  </si>
  <si>
    <t>It is not compulsory to provide target assumptions for the indicators included in the performance framework, however providing additional information on how targets were set may help to reach a common understanding and agreement between the Principal Recipient and the Global Fund Secretariat and speed up the negotiation process.</t>
  </si>
  <si>
    <t>Composante :</t>
  </si>
  <si>
    <t>Année de début :</t>
  </si>
  <si>
    <t>Mois de début :</t>
  </si>
  <si>
    <t xml:space="preserve">Échéance de l'examen périodique </t>
  </si>
  <si>
    <t>Lié au(x) but(s) n°</t>
  </si>
  <si>
    <t>C. Objectifs du programme et indicateurs d'effets</t>
  </si>
  <si>
    <t xml:space="preserve">Lié à ou aux objectifs n° </t>
  </si>
  <si>
    <t>D. Domaines de prestation de services et indicateurs de produit/de couverture</t>
  </si>
  <si>
    <t>Il n'est pas obligatoire de fournir des hypothèses cibles pour les indicateurs qui sont inclus dans le cadre de performance. Toutefois fournir des informations supplémentaires sur la manière dont les cibles ont été déterminées peut aider le récipiendaire principal et le Secrétariat du Fonds mondial à trouver un terrain d'entente et accélérer le processus de négociation.</t>
  </si>
  <si>
    <t>Revise con atención la hoja de instrucciones antes de rellenar esta plantilla</t>
  </si>
  <si>
    <t>A. Datos del programa</t>
  </si>
  <si>
    <t xml:space="preserve">Fecha prevista de la revisión periódica </t>
  </si>
  <si>
    <t>Fecha prevista del informe de auditoría</t>
  </si>
  <si>
    <t>Valor</t>
  </si>
  <si>
    <t>Fecha prevista del informe</t>
  </si>
  <si>
    <t>Comentarios</t>
  </si>
  <si>
    <t>C. Objetivos del programa e indicadores de resultados</t>
  </si>
  <si>
    <t xml:space="preserve">Vinculado al (los) objetivo(s) nº </t>
  </si>
  <si>
    <t>Meta final del periodo de ejecución previo</t>
  </si>
  <si>
    <t>No es obligatorio indicar hipótesis de metas para los indicadores incluidos en el Marco de Desempeño, pero proporcionar información adicional sobre cómo se establecieron las metas puede facilitar el entendimiento entre el Receptor Principal y la Secretaría del Fondo Mundial para llegar a un acuerdo y acelerar el proceso de negociación.</t>
  </si>
  <si>
    <t xml:space="preserve">Перед заполнением этой формы внимательно ознакомьтесь с инструкциями в таблице </t>
  </si>
  <si>
    <t>Страна/ Кандидат:</t>
  </si>
  <si>
    <t>Запрос на выплату средств (Да, Нет)</t>
  </si>
  <si>
    <t>значение</t>
  </si>
  <si>
    <t>Комментарии</t>
  </si>
  <si>
    <t>D. Сферы предоставления услуг и показатели долгосрочных результатов/ охвата</t>
  </si>
  <si>
    <t>Последние значения исходного уровня/ результата</t>
  </si>
  <si>
    <t>Указывать расчетные целевые значения показателей, включаемых в систему оценки результатов реализации гранта, не обязательно, однако если вы предоставите дополнительную информацию о том, каким образом определяются целевые показатели, это может способствовать достижению взаимопонимания и согласия между основным реципиентом и Секретариатом Глобального фонда и ускорит переговорный процесс.</t>
  </si>
  <si>
    <t>Recherche opérationnelle</t>
  </si>
  <si>
    <t>Investigación operativa</t>
  </si>
  <si>
    <t>Paludisme</t>
  </si>
  <si>
    <t>Tuberculose</t>
  </si>
  <si>
    <t>Lié à</t>
  </si>
  <si>
    <t>Vinculado al</t>
  </si>
  <si>
    <t>TiedTo_EN</t>
  </si>
  <si>
    <t>TiedTo_FR</t>
  </si>
  <si>
    <t>TiedTo_SP</t>
  </si>
  <si>
    <t>TiedTo_RU</t>
  </si>
  <si>
    <t>Ce tableau donne des indications sur la façon de remplir le cadre de rendement. Le cadre de rendement réel doit être complété dans la feuille: "Performance Framework." Les cellules surlignées en vert sera complété lors de la négociation de subvention.</t>
  </si>
  <si>
    <t>Audit report due dates</t>
  </si>
  <si>
    <t>Treatment</t>
  </si>
  <si>
    <t>HMIS (Sistemas de Información de Gestión de Salud)</t>
  </si>
  <si>
    <t>Dossiers des patients</t>
  </si>
  <si>
    <t>Datos de pacientes</t>
  </si>
  <si>
    <t>Documents de formation</t>
  </si>
  <si>
    <t>Documentación relativa a la formación</t>
  </si>
  <si>
    <t>MICS (enquête par grappes à indicateurs multiples)</t>
  </si>
  <si>
    <t>EGIM (Estudios de Grupo de Indicadores Múltiples)</t>
  </si>
  <si>
    <t xml:space="preserve">Обследование на базе многокластерных показателей </t>
  </si>
  <si>
    <t>DHS/DHS+ (enquête démographique et sanitaire)</t>
  </si>
  <si>
    <t>EDS/EDS+ (Estudio de demografía y salud)
Survey)</t>
  </si>
  <si>
    <t>Демографическое обследование и обследование состояния здоровья</t>
  </si>
  <si>
    <t>AIS (enquête sur les indicateurs du SIDA)</t>
  </si>
  <si>
    <t>EIS (Estudio de indicador del SIDA)</t>
  </si>
  <si>
    <t>Обследование для получения показателей по СПИДу</t>
  </si>
  <si>
    <t>BSS (enquête de surveillance du comportement)</t>
  </si>
  <si>
    <t>EVC (Estudio de vigilancia del comportamiento)</t>
  </si>
  <si>
    <t>Исследование поведенческих навыков</t>
  </si>
  <si>
    <t>Enquête sur les structures sanitaires</t>
  </si>
  <si>
    <t>Encuesta de Centro de salud</t>
  </si>
  <si>
    <t>Обследование медицинских учреждений</t>
  </si>
  <si>
    <t>SAMS (enquête sur la cartographie des services disponibles)</t>
  </si>
  <si>
    <t>EMDS (Estudio de mapeo de disponibilidad de servicios)
Survey)</t>
  </si>
  <si>
    <t xml:space="preserve">Обследование с картографированием доступных услуг
</t>
  </si>
  <si>
    <t>Enquête des ménages</t>
  </si>
  <si>
    <t>Encuesta en los hogares</t>
  </si>
  <si>
    <t>Обследование домохозяйств</t>
  </si>
  <si>
    <t>Études et recherches spécifiques (Préciser)</t>
  </si>
  <si>
    <t>Estudios e investigaciones específicos (indíquense)</t>
  </si>
  <si>
    <t>Конкретные обследования и исследования (укажите)</t>
  </si>
  <si>
    <t>Rapports (préciser)</t>
  </si>
  <si>
    <t>Informes (especifíquense)</t>
  </si>
  <si>
    <t>Registre d’état civil et registre spécifique des maladies</t>
  </si>
  <si>
    <t>Registro vital y específico de enfermedades</t>
  </si>
  <si>
    <t>Enquête sur les prestataires de santé</t>
  </si>
  <si>
    <t>Encuesta del profesional de la salud</t>
  </si>
  <si>
    <t>Обследование поставщиков медицинских услуг</t>
  </si>
  <si>
    <t>Compte national de santé</t>
  </si>
  <si>
    <t>Informe sobre la salud nacional</t>
  </si>
  <si>
    <t>Национальный отчет по системе здравоохранения</t>
  </si>
  <si>
    <t>Registre administratif</t>
  </si>
  <si>
    <t>Documentos administrativos</t>
  </si>
  <si>
    <t xml:space="preserve">Système d’E&amp;R (enregistrement et reporting) relatif à la tuberculose, rapports trimestriels </t>
  </si>
  <si>
    <t>Sistema de R&amp;R TB, informes trimestrales</t>
  </si>
  <si>
    <t xml:space="preserve">Système d’E&amp;R (enregistrement et reporting) relatif à la tuberculose, rapport de gestion annuel </t>
  </si>
  <si>
    <t xml:space="preserve">Sistema de R&amp;R TB, informe de gestión anual </t>
  </si>
  <si>
    <t>Enquête sur la prévalence de la TB</t>
  </si>
  <si>
    <t>Estudio de prevalencia de la tuberculosis</t>
  </si>
  <si>
    <t>Registre des patients atteints de tuberculose</t>
  </si>
  <si>
    <t>Registro de pacientes tuberculosos</t>
  </si>
  <si>
    <t>Registre de laboratoires pour la tuberculose</t>
  </si>
  <si>
    <t>Registro de laboratorios de tuberculosis</t>
  </si>
  <si>
    <t>Carte de traitement de la tuberculose</t>
  </si>
  <si>
    <t>Tarjeta de tratamiento de la tuberculosis</t>
  </si>
  <si>
    <t>Préciser : rapports, enquêtes, questionnaires, etc.</t>
  </si>
  <si>
    <t>Especifique- Reportes, Estudios, Cuestionarios, etc.</t>
  </si>
  <si>
    <t>EMDS (estudio de mapeo de disponibilidad de servicios)</t>
  </si>
  <si>
    <t>Обследование с картографированием доступных услуг</t>
  </si>
  <si>
    <t>Registre Administratif</t>
  </si>
  <si>
    <t>EDS/EDS+ (Estudio de demografía y salud)</t>
  </si>
  <si>
    <t>MIS (enquête sur les indicateurs du paludisme)</t>
  </si>
  <si>
    <t>MIS (Estudio de Indicadores de Malaria)</t>
  </si>
  <si>
    <t>Обследование для получения показателей по малярии</t>
  </si>
  <si>
    <t>Analyse de la situation</t>
  </si>
  <si>
    <t>Análisis Situacional</t>
  </si>
  <si>
    <t>Ситуационный анализ</t>
  </si>
  <si>
    <t>Enquête du principal informateur</t>
  </si>
  <si>
    <t>Estudio del informante clave</t>
  </si>
  <si>
    <t>Обследование методом ключевых информаторов</t>
  </si>
  <si>
    <t>Vital registration systems</t>
  </si>
  <si>
    <t>Systèmes d’enregistrement d’état civil</t>
  </si>
  <si>
    <t>Sistemas de registro vitales</t>
  </si>
  <si>
    <t>Registros de pacientes</t>
  </si>
  <si>
    <t>Systèmes de surveillance</t>
  </si>
  <si>
    <t>Sistemas de vigilancia</t>
  </si>
  <si>
    <t>Otro informe, especifique</t>
  </si>
  <si>
    <t>Autre enquête, préciser</t>
  </si>
  <si>
    <t>Otro estudio, especifique</t>
  </si>
  <si>
    <t>Другое обследование, укажите</t>
  </si>
  <si>
    <t>Выберите значение</t>
  </si>
  <si>
    <t>TB prevalence rate</t>
  </si>
  <si>
    <t>TB mortality rate</t>
  </si>
  <si>
    <t>Seleccione…</t>
  </si>
  <si>
    <t>Subvención actual</t>
  </si>
  <si>
    <t>Subvenciones múltiples del FM</t>
  </si>
  <si>
    <t>FM y otros donantes</t>
  </si>
  <si>
    <t>Programa nacional</t>
  </si>
  <si>
    <t>система регистрации актов</t>
  </si>
  <si>
    <t>système d'état ​​civil</t>
  </si>
  <si>
    <t>sistema de registro civil</t>
  </si>
  <si>
    <t>Subvention actuelle</t>
  </si>
  <si>
    <t>Programme National</t>
  </si>
  <si>
    <t>Текущий грант</t>
  </si>
  <si>
    <t>Национальная программа</t>
  </si>
  <si>
    <t>Plusieurs subventions FM</t>
  </si>
  <si>
    <t>FM &amp; autres donneurs</t>
  </si>
  <si>
    <t>Несколько грантов ГФ</t>
  </si>
  <si>
    <t>ГФ и другие финансирующие организации</t>
  </si>
  <si>
    <t>Veuillez sélectionner…</t>
  </si>
  <si>
    <t>Привязывается к</t>
  </si>
  <si>
    <t>Суммар- 
ные целевые показатели</t>
  </si>
  <si>
    <t>Cumul des cibles</t>
  </si>
  <si>
    <t>RP</t>
  </si>
  <si>
    <t>ОР</t>
  </si>
  <si>
    <t>Janvier</t>
  </si>
  <si>
    <t>Enero</t>
  </si>
  <si>
    <t>январь</t>
  </si>
  <si>
    <t>Данная таблица объясняет как заполнять матрицу производительности (Система оценки результатов). Окончательная версия матрицы производительности необходимо заполнить на странице: "Система оценки результатов". Ячейки выделенные заленым будут заполняться во время подписания гранта</t>
  </si>
  <si>
    <t>Start_EN</t>
  </si>
  <si>
    <t>Start_FR</t>
  </si>
  <si>
    <t>Start_SP</t>
  </si>
  <si>
    <t>Start_RU</t>
  </si>
  <si>
    <t>Avril</t>
  </si>
  <si>
    <t>Abril</t>
  </si>
  <si>
    <t>Juillet</t>
  </si>
  <si>
    <t>Julio</t>
  </si>
  <si>
    <t>Octobre</t>
  </si>
  <si>
    <t>Octubre</t>
  </si>
  <si>
    <t>Fevrier</t>
  </si>
  <si>
    <t>Febrero</t>
  </si>
  <si>
    <t>Mars</t>
  </si>
  <si>
    <t>Mai</t>
  </si>
  <si>
    <t>Juin</t>
  </si>
  <si>
    <t>Septembre</t>
  </si>
  <si>
    <t>Novembre</t>
  </si>
  <si>
    <t>декабрь</t>
  </si>
  <si>
    <t>Décembre</t>
  </si>
  <si>
    <t>Diciembre</t>
  </si>
  <si>
    <t>Noviembre</t>
  </si>
  <si>
    <t>ноябрь</t>
  </si>
  <si>
    <t>октябрь</t>
  </si>
  <si>
    <t>сентябрь</t>
  </si>
  <si>
    <t>Septiembre</t>
  </si>
  <si>
    <t>Août</t>
  </si>
  <si>
    <t>Agosto</t>
  </si>
  <si>
    <t>август</t>
  </si>
  <si>
    <t>июль</t>
  </si>
  <si>
    <t>июнь</t>
  </si>
  <si>
    <t>май</t>
  </si>
  <si>
    <t>Mayo</t>
  </si>
  <si>
    <t>Junio</t>
  </si>
  <si>
    <t>Marzo</t>
  </si>
  <si>
    <t>март</t>
  </si>
  <si>
    <t>февраль</t>
  </si>
  <si>
    <t>апрель</t>
  </si>
  <si>
    <t>Start year</t>
  </si>
  <si>
    <t>StartYear_EN</t>
  </si>
  <si>
    <t>StartYear_FR</t>
  </si>
  <si>
    <t>StartYear_SP</t>
  </si>
  <si>
    <t>StartYear_RU</t>
  </si>
  <si>
    <t>StartYear</t>
  </si>
  <si>
    <t>Données de base</t>
  </si>
  <si>
    <t>Date de remise du rapport</t>
  </si>
  <si>
    <t>Période de reportage</t>
  </si>
  <si>
    <t>Date de remise du rapport d'audit</t>
  </si>
  <si>
    <t xml:space="preserve">Derniers résultats/données de base </t>
  </si>
  <si>
    <t>B. Metas del programa e indicadores de impacto</t>
  </si>
  <si>
    <t>Commentaires</t>
  </si>
  <si>
    <t>Numéro SSF :</t>
  </si>
  <si>
    <t>Date de remise du rapport d'avancement</t>
  </si>
  <si>
    <t>En esta tabla se proporciona orientación sobre cómo llenar el Marco de Desempeño. El Marco de Desempeño real se completará en la hoja de trabajo: "Performance Framework." Las celdas destacadas en color verde se completarán durante la negociación de la subvención.</t>
  </si>
  <si>
    <t>Periodos de envío del informe</t>
  </si>
  <si>
    <t>Fecha prevista de actualización de avance</t>
  </si>
  <si>
    <t>Vinculado a lo(s) objetivos(s) nº</t>
  </si>
  <si>
    <t>Línea de base</t>
  </si>
  <si>
    <t>D. Áreas de prestación de servicios e indicadores de producto/cobertura</t>
  </si>
  <si>
    <t>Último resultado/línea de base disponible</t>
  </si>
  <si>
    <t>Acumulación de las metas</t>
  </si>
  <si>
    <t>Revisión periódica</t>
  </si>
  <si>
    <t>País / Solicitante:</t>
  </si>
  <si>
    <t>Componente:</t>
  </si>
  <si>
    <t>Año de inicio:</t>
  </si>
  <si>
    <t>Mes de inicio:</t>
  </si>
  <si>
    <t>Número de SSF:</t>
  </si>
  <si>
    <t>Receptores principales</t>
  </si>
  <si>
    <t>(seleccione uno de la lista o añada uno nuevo)</t>
  </si>
  <si>
    <t>Periodo cubierto: desde</t>
  </si>
  <si>
    <t>Periodo cubierto: hasta</t>
  </si>
  <si>
    <t>Solicitud de desembolso (S, N)</t>
  </si>
  <si>
    <t xml:space="preserve">Periodo </t>
  </si>
  <si>
    <t>Año 4</t>
  </si>
  <si>
    <t>Año 5</t>
  </si>
  <si>
    <t>Indicador de impacto</t>
  </si>
  <si>
    <t>Metas</t>
  </si>
  <si>
    <t xml:space="preserve">Año </t>
  </si>
  <si>
    <t>Fuente</t>
  </si>
  <si>
    <t>Año 1</t>
  </si>
  <si>
    <t>Año 2</t>
  </si>
  <si>
    <t>Año 3</t>
  </si>
  <si>
    <t xml:space="preserve">     Objetivos:</t>
  </si>
  <si>
    <t>Indicador de resultados</t>
  </si>
  <si>
    <t>Número de objetivo e indicador</t>
  </si>
  <si>
    <t>Indicador</t>
  </si>
  <si>
    <t>Área de prestación de servicios</t>
  </si>
  <si>
    <t>Últimos resultados disponibles</t>
  </si>
  <si>
    <t>Periodo 1</t>
  </si>
  <si>
    <t>Periodo 2</t>
  </si>
  <si>
    <t>Periodo 3</t>
  </si>
  <si>
    <t>Periodo 4</t>
  </si>
  <si>
    <t>Periodo 5</t>
  </si>
  <si>
    <t>Periodo 6</t>
  </si>
  <si>
    <t>Periodo 7</t>
  </si>
  <si>
    <t>Periodo 8</t>
  </si>
  <si>
    <t>Periodo 9</t>
  </si>
  <si>
    <t>Periodo 10</t>
  </si>
  <si>
    <t>Periodo 11</t>
  </si>
  <si>
    <t>Periodo 12</t>
  </si>
  <si>
    <r>
      <rPr>
        <sz val="10"/>
        <rFont val="Arial"/>
        <family val="2"/>
      </rPr>
      <t>Révision périodique</t>
    </r>
  </si>
  <si>
    <r>
      <rPr>
        <sz val="10"/>
        <rFont val="Arial"/>
        <family val="2"/>
      </rPr>
      <t>Veuillez lire attentivement la fiche d'instructions avant de remplir ce modèle</t>
    </r>
  </si>
  <si>
    <r>
      <rPr>
        <sz val="10"/>
        <rFont val="Arial"/>
        <family val="2"/>
      </rPr>
      <t>A. Détails du programme</t>
    </r>
  </si>
  <si>
    <r>
      <rPr>
        <sz val="10"/>
        <rFont val="Arial"/>
        <family val="2"/>
      </rPr>
      <t>A. Сведения о программе</t>
    </r>
  </si>
  <si>
    <r>
      <rPr>
        <sz val="10"/>
        <rFont val="Arial"/>
        <family val="2"/>
      </rPr>
      <t>Pays / Candidat :</t>
    </r>
  </si>
  <si>
    <r>
      <rPr>
        <sz val="10"/>
        <rFont val="Arial"/>
        <family val="2"/>
      </rPr>
      <t>Компонент:</t>
    </r>
  </si>
  <si>
    <r>
      <rPr>
        <sz val="10"/>
        <rFont val="Arial"/>
        <family val="2"/>
      </rPr>
      <t>Год начала:</t>
    </r>
  </si>
  <si>
    <r>
      <rPr>
        <sz val="10"/>
        <rFont val="Arial"/>
        <family val="2"/>
      </rPr>
      <t>Месяц начала:</t>
    </r>
  </si>
  <si>
    <r>
      <rPr>
        <sz val="10"/>
        <rFont val="Arial"/>
        <family val="2"/>
      </rPr>
      <t>Номер ЕПФ:</t>
    </r>
  </si>
  <si>
    <r>
      <rPr>
        <sz val="10"/>
        <rFont val="Arial"/>
        <family val="2"/>
      </rPr>
      <t>Récipiendaires principaux</t>
    </r>
  </si>
  <si>
    <r>
      <rPr>
        <sz val="10"/>
        <rFont val="Arial"/>
        <family val="2"/>
      </rPr>
      <t>Основные реципиенты</t>
    </r>
  </si>
  <si>
    <r>
      <rPr>
        <sz val="10"/>
        <rFont val="Arial"/>
        <family val="2"/>
      </rPr>
      <t>(Veuillez choisir un récipiendaire principal dans la liste ou en ajouter un nouveau)</t>
    </r>
  </si>
  <si>
    <r>
      <rPr>
        <sz val="10"/>
        <rFont val="Arial"/>
        <family val="2"/>
      </rPr>
      <t>(Выберите из списка или добавьте нового)</t>
    </r>
  </si>
  <si>
    <r>
      <rPr>
        <sz val="10"/>
        <rFont val="Arial"/>
        <family val="2"/>
      </rPr>
      <t>Отчетные периоды</t>
    </r>
  </si>
  <si>
    <r>
      <rPr>
        <sz val="10"/>
        <rFont val="Arial"/>
        <family val="2"/>
      </rPr>
      <t>Période couverte : du</t>
    </r>
  </si>
  <si>
    <r>
      <rPr>
        <sz val="10"/>
        <rFont val="Arial"/>
        <family val="2"/>
      </rPr>
      <t>Охватываемый период: начало</t>
    </r>
  </si>
  <si>
    <r>
      <rPr>
        <sz val="10"/>
        <rFont val="Arial"/>
        <family val="2"/>
      </rPr>
      <t>Période couverte : au</t>
    </r>
  </si>
  <si>
    <r>
      <rPr>
        <sz val="10"/>
        <rFont val="Arial"/>
        <family val="2"/>
      </rPr>
      <t>Охватываемый период: конец</t>
    </r>
  </si>
  <si>
    <r>
      <rPr>
        <sz val="10"/>
        <rFont val="Arial"/>
        <family val="2"/>
      </rPr>
      <t>Дата подачи отчета о ходе работы</t>
    </r>
  </si>
  <si>
    <r>
      <rPr>
        <sz val="10"/>
        <rFont val="Arial"/>
        <family val="2"/>
      </rPr>
      <t>Demande de décaissement (O, N)</t>
    </r>
  </si>
  <si>
    <r>
      <rPr>
        <sz val="10"/>
        <rFont val="Arial"/>
        <family val="2"/>
      </rPr>
      <t xml:space="preserve">Дата периодической оценки </t>
    </r>
  </si>
  <si>
    <r>
      <rPr>
        <sz val="10"/>
        <rFont val="Arial"/>
        <family val="2"/>
      </rPr>
      <t>Дата подачи аудиторского отчета</t>
    </r>
  </si>
  <si>
    <r>
      <rPr>
        <sz val="10"/>
        <rFont val="Arial"/>
        <family val="2"/>
      </rPr>
      <t xml:space="preserve">Période </t>
    </r>
  </si>
  <si>
    <r>
      <rPr>
        <sz val="10"/>
        <rFont val="Arial"/>
        <family val="2"/>
      </rPr>
      <t xml:space="preserve">Период </t>
    </r>
  </si>
  <si>
    <r>
      <rPr>
        <sz val="10"/>
        <rFont val="Arial"/>
        <family val="2"/>
      </rPr>
      <t>Année 4</t>
    </r>
  </si>
  <si>
    <r>
      <rPr>
        <sz val="10"/>
        <rFont val="Arial"/>
        <family val="2"/>
      </rPr>
      <t>4-й год</t>
    </r>
  </si>
  <si>
    <r>
      <rPr>
        <sz val="10"/>
        <rFont val="Arial"/>
        <family val="2"/>
      </rPr>
      <t>Année 5</t>
    </r>
  </si>
  <si>
    <r>
      <rPr>
        <sz val="10"/>
        <rFont val="Arial"/>
        <family val="2"/>
      </rPr>
      <t>5-й год</t>
    </r>
  </si>
  <si>
    <r>
      <rPr>
        <sz val="10"/>
        <rFont val="Arial"/>
        <family val="2"/>
      </rPr>
      <t>B. Buts du programme et indicateurs d'impact</t>
    </r>
  </si>
  <si>
    <r>
      <rPr>
        <sz val="10"/>
        <rFont val="Arial"/>
        <family val="2"/>
      </rPr>
      <t>B. Цели программы и показатели воздействия</t>
    </r>
  </si>
  <si>
    <r>
      <rPr>
        <sz val="10"/>
        <rFont val="Arial"/>
        <family val="2"/>
      </rPr>
      <t xml:space="preserve">  Buts :</t>
    </r>
  </si>
  <si>
    <r>
      <rPr>
        <sz val="10"/>
        <rFont val="Arial"/>
        <family val="2"/>
      </rPr>
      <t xml:space="preserve">  Цели:</t>
    </r>
  </si>
  <si>
    <r>
      <rPr>
        <sz val="10"/>
        <rFont val="Arial"/>
        <family val="2"/>
      </rPr>
      <t>Привязка к цели(ям) #</t>
    </r>
  </si>
  <si>
    <r>
      <rPr>
        <sz val="10"/>
        <rFont val="Arial"/>
        <family val="2"/>
      </rPr>
      <t>Indicateur d'impact</t>
    </r>
  </si>
  <si>
    <r>
      <rPr>
        <sz val="10"/>
        <rFont val="Arial"/>
        <family val="2"/>
      </rPr>
      <t>Показатель воздействия</t>
    </r>
  </si>
  <si>
    <r>
      <rPr>
        <sz val="10"/>
        <rFont val="Arial"/>
        <family val="2"/>
      </rPr>
      <t>Исходный уровень</t>
    </r>
  </si>
  <si>
    <r>
      <rPr>
        <sz val="10"/>
        <rFont val="Arial"/>
        <family val="2"/>
      </rPr>
      <t>Cibles</t>
    </r>
  </si>
  <si>
    <r>
      <rPr>
        <sz val="10"/>
        <rFont val="Arial"/>
        <family val="2"/>
      </rPr>
      <t>Целевые показатели</t>
    </r>
  </si>
  <si>
    <r>
      <rPr>
        <sz val="10"/>
        <rFont val="Arial"/>
        <family val="2"/>
      </rPr>
      <t>Valeur</t>
    </r>
  </si>
  <si>
    <r>
      <rPr>
        <sz val="10"/>
        <rFont val="Arial"/>
        <family val="2"/>
      </rPr>
      <t xml:space="preserve">Année </t>
    </r>
  </si>
  <si>
    <r>
      <rPr>
        <sz val="10"/>
        <rFont val="Arial"/>
        <family val="2"/>
      </rPr>
      <t xml:space="preserve">Год </t>
    </r>
  </si>
  <si>
    <r>
      <rPr>
        <sz val="10"/>
        <rFont val="Arial"/>
        <family val="2"/>
      </rPr>
      <t>Source</t>
    </r>
  </si>
  <si>
    <r>
      <rPr>
        <sz val="10"/>
        <rFont val="Arial"/>
        <family val="2"/>
      </rPr>
      <t>Источник</t>
    </r>
  </si>
  <si>
    <r>
      <rPr>
        <sz val="10"/>
        <rFont val="Arial"/>
        <family val="2"/>
      </rPr>
      <t>Année 1</t>
    </r>
  </si>
  <si>
    <r>
      <rPr>
        <sz val="10"/>
        <rFont val="Arial"/>
        <family val="2"/>
      </rPr>
      <t>1-й год</t>
    </r>
  </si>
  <si>
    <r>
      <rPr>
        <sz val="10"/>
        <rFont val="Arial"/>
        <family val="2"/>
      </rPr>
      <t>Année 2</t>
    </r>
  </si>
  <si>
    <r>
      <rPr>
        <sz val="10"/>
        <rFont val="Arial"/>
        <family val="2"/>
      </rPr>
      <t>2-й год</t>
    </r>
  </si>
  <si>
    <r>
      <rPr>
        <sz val="10"/>
        <rFont val="Arial"/>
        <family val="2"/>
      </rPr>
      <t>Année 3</t>
    </r>
  </si>
  <si>
    <r>
      <rPr>
        <sz val="10"/>
        <rFont val="Arial"/>
        <family val="2"/>
      </rPr>
      <t>3-й год</t>
    </r>
  </si>
  <si>
    <r>
      <rPr>
        <sz val="10"/>
        <rFont val="Arial"/>
        <family val="2"/>
      </rPr>
      <t>Дата подачи отчета</t>
    </r>
  </si>
  <si>
    <r>
      <rPr>
        <sz val="10"/>
        <rFont val="Arial"/>
        <family val="2"/>
      </rPr>
      <t>C. Задачи программы и показатели долгосрочных результатов</t>
    </r>
  </si>
  <si>
    <r>
      <rPr>
        <sz val="10"/>
        <rFont val="Arial"/>
        <family val="2"/>
      </rPr>
      <t xml:space="preserve">     Objectifs :</t>
    </r>
  </si>
  <si>
    <r>
      <rPr>
        <sz val="10"/>
        <rFont val="Arial"/>
        <family val="2"/>
      </rPr>
      <t xml:space="preserve">     Задачи:</t>
    </r>
  </si>
  <si>
    <r>
      <rPr>
        <sz val="10"/>
        <rFont val="Arial"/>
        <family val="2"/>
      </rPr>
      <t xml:space="preserve">Привязка к задаче(ам) # </t>
    </r>
  </si>
  <si>
    <r>
      <rPr>
        <sz val="10"/>
        <rFont val="Arial"/>
        <family val="2"/>
      </rPr>
      <t>Indicateur d'effet</t>
    </r>
  </si>
  <si>
    <r>
      <rPr>
        <sz val="10"/>
        <rFont val="Arial"/>
        <family val="2"/>
      </rPr>
      <t>Показатель долгосрочного результата</t>
    </r>
  </si>
  <si>
    <r>
      <rPr>
        <sz val="10"/>
        <rFont val="Arial"/>
        <family val="2"/>
      </rPr>
      <t>Numéro de l'objectif/indicateur</t>
    </r>
  </si>
  <si>
    <r>
      <rPr>
        <sz val="10"/>
        <rFont val="Arial"/>
        <family val="2"/>
      </rPr>
      <t>Номер задачи и показателя</t>
    </r>
  </si>
  <si>
    <r>
      <rPr>
        <sz val="10"/>
        <rFont val="Arial"/>
        <family val="2"/>
      </rPr>
      <t>Indicateur</t>
    </r>
  </si>
  <si>
    <r>
      <rPr>
        <sz val="10"/>
        <rFont val="Arial"/>
        <family val="2"/>
      </rPr>
      <t>Показатель</t>
    </r>
  </si>
  <si>
    <r>
      <rPr>
        <sz val="10"/>
        <rFont val="Arial"/>
        <family val="2"/>
      </rPr>
      <t>Domaine de prestation de services</t>
    </r>
  </si>
  <si>
    <r>
      <rPr>
        <sz val="10"/>
        <rFont val="Arial"/>
        <family val="2"/>
      </rPr>
      <t>Сфера предоставления услуг</t>
    </r>
  </si>
  <si>
    <r>
      <rPr>
        <sz val="10"/>
        <rFont val="Arial"/>
        <family val="2"/>
      </rPr>
      <t>Précédente période de mise en œuvre de la cible finale</t>
    </r>
  </si>
  <si>
    <r>
      <rPr>
        <sz val="10"/>
        <rFont val="Arial"/>
        <family val="2"/>
      </rPr>
      <t>Итоговый целевой показатель предыдущего реализационного периода</t>
    </r>
  </si>
  <si>
    <r>
      <rPr>
        <sz val="10"/>
        <rFont val="Arial"/>
        <family val="2"/>
      </rPr>
      <t>Derniers résultats disponibles</t>
    </r>
  </si>
  <si>
    <r>
      <rPr>
        <sz val="10"/>
        <rFont val="Arial"/>
        <family val="2"/>
      </rPr>
      <t>Последние результаты</t>
    </r>
  </si>
  <si>
    <r>
      <rPr>
        <sz val="10"/>
        <rFont val="Arial"/>
        <family val="2"/>
      </rPr>
      <t>Période 1</t>
    </r>
  </si>
  <si>
    <r>
      <rPr>
        <sz val="10"/>
        <rFont val="Arial"/>
        <family val="2"/>
      </rPr>
      <t>Период 1</t>
    </r>
  </si>
  <si>
    <r>
      <rPr>
        <sz val="10"/>
        <rFont val="Arial"/>
        <family val="2"/>
      </rPr>
      <t>Période 2</t>
    </r>
  </si>
  <si>
    <r>
      <rPr>
        <sz val="10"/>
        <rFont val="Arial"/>
        <family val="2"/>
      </rPr>
      <t>Период 2</t>
    </r>
  </si>
  <si>
    <r>
      <rPr>
        <sz val="10"/>
        <rFont val="Arial"/>
        <family val="2"/>
      </rPr>
      <t>Période 3</t>
    </r>
  </si>
  <si>
    <r>
      <rPr>
        <sz val="10"/>
        <rFont val="Arial"/>
        <family val="2"/>
      </rPr>
      <t>Период 3</t>
    </r>
  </si>
  <si>
    <r>
      <rPr>
        <sz val="10"/>
        <rFont val="Arial"/>
        <family val="2"/>
      </rPr>
      <t>Période 4</t>
    </r>
  </si>
  <si>
    <r>
      <rPr>
        <sz val="10"/>
        <rFont val="Arial"/>
        <family val="2"/>
      </rPr>
      <t>Период 4</t>
    </r>
  </si>
  <si>
    <r>
      <rPr>
        <sz val="10"/>
        <rFont val="Arial"/>
        <family val="2"/>
      </rPr>
      <t>Période 5</t>
    </r>
  </si>
  <si>
    <r>
      <rPr>
        <sz val="10"/>
        <rFont val="Arial"/>
        <family val="2"/>
      </rPr>
      <t>Период 5</t>
    </r>
  </si>
  <si>
    <r>
      <rPr>
        <sz val="10"/>
        <rFont val="Arial"/>
        <family val="2"/>
      </rPr>
      <t>Période 6</t>
    </r>
  </si>
  <si>
    <r>
      <rPr>
        <sz val="10"/>
        <rFont val="Arial"/>
        <family val="2"/>
      </rPr>
      <t>Период 6</t>
    </r>
  </si>
  <si>
    <r>
      <rPr>
        <sz val="10"/>
        <rFont val="Arial"/>
        <family val="2"/>
      </rPr>
      <t>Période 7</t>
    </r>
  </si>
  <si>
    <r>
      <rPr>
        <sz val="10"/>
        <rFont val="Arial"/>
        <family val="2"/>
      </rPr>
      <t>Период 7</t>
    </r>
  </si>
  <si>
    <r>
      <rPr>
        <sz val="10"/>
        <rFont val="Arial"/>
        <family val="2"/>
      </rPr>
      <t>Période 8</t>
    </r>
  </si>
  <si>
    <r>
      <rPr>
        <sz val="10"/>
        <rFont val="Arial"/>
        <family val="2"/>
      </rPr>
      <t>Период 8</t>
    </r>
  </si>
  <si>
    <r>
      <rPr>
        <sz val="10"/>
        <rFont val="Arial"/>
        <family val="2"/>
      </rPr>
      <t>Période 9</t>
    </r>
  </si>
  <si>
    <r>
      <rPr>
        <sz val="10"/>
        <rFont val="Arial"/>
        <family val="2"/>
      </rPr>
      <t>Период 9</t>
    </r>
  </si>
  <si>
    <r>
      <rPr>
        <sz val="10"/>
        <rFont val="Arial"/>
        <family val="2"/>
      </rPr>
      <t>Période 10</t>
    </r>
  </si>
  <si>
    <r>
      <rPr>
        <sz val="10"/>
        <rFont val="Arial"/>
        <family val="2"/>
      </rPr>
      <t>Период 10</t>
    </r>
  </si>
  <si>
    <r>
      <rPr>
        <sz val="10"/>
        <rFont val="Arial"/>
        <family val="2"/>
      </rPr>
      <t>Période 11</t>
    </r>
  </si>
  <si>
    <r>
      <rPr>
        <sz val="10"/>
        <rFont val="Arial"/>
        <family val="2"/>
      </rPr>
      <t>Период 11</t>
    </r>
  </si>
  <si>
    <r>
      <rPr>
        <sz val="10"/>
        <rFont val="Arial"/>
        <family val="2"/>
      </rPr>
      <t>Période 12</t>
    </r>
  </si>
  <si>
    <r>
      <rPr>
        <sz val="10"/>
        <rFont val="Arial"/>
        <family val="2"/>
      </rPr>
      <t>Период 12</t>
    </r>
  </si>
  <si>
    <t xml:space="preserve">  Metas:</t>
  </si>
  <si>
    <t>SSF/grant number:</t>
  </si>
  <si>
    <t>HSS</t>
  </si>
  <si>
    <t>RSS</t>
  </si>
  <si>
    <t>FSS</t>
  </si>
  <si>
    <t>PLEASE PROVIDE TARGET ASSUMPTIONS FOR OUTPUT AND COVERAGE INDICATORS HERE</t>
  </si>
  <si>
    <t>INDIQUE AQUÍ LAS HIPÓTESIS DE METAS PARA LOS INDICADORES DE PRODUCTO Y COBERTURA</t>
  </si>
  <si>
    <t>УКАЖИТЕ РАСЧЕТНЫЕ ЦЕЛЕВЫЕ ЗНАЧЕНИЯ ПОКАЗАТЕЛЕЙ ДОЛГОСРОЧНЫХ РЕЗУЛЬТАТОВ И ОХВАТА</t>
  </si>
  <si>
    <t>VEUILLEZ INDIQUER ICI LES HYPOTHÈSES CIBLES CONCERNANT LES INDICATEURS DE PRODUIT ET DE COUVERTURE</t>
  </si>
  <si>
    <t>Language:</t>
  </si>
  <si>
    <t xml:space="preserve">Modular Approach - Concept Note </t>
  </si>
  <si>
    <t>D. Modules</t>
  </si>
  <si>
    <t>Comments and Assumptions</t>
  </si>
  <si>
    <t>Measurement framework for module</t>
  </si>
  <si>
    <t>Indicative</t>
  </si>
  <si>
    <t>Above indicative</t>
  </si>
  <si>
    <t>Modular Approach - Concept Note</t>
  </si>
  <si>
    <t>This table provides guidance on how to fill out the modular approach template. Cells highlighted in green will be completed during grant negotiation.</t>
  </si>
  <si>
    <t>PMTCT</t>
  </si>
  <si>
    <t>Module</t>
  </si>
  <si>
    <t xml:space="preserve">Behavioural Change as part of programs for General population </t>
  </si>
  <si>
    <t xml:space="preserve">Condoms as part of programs for General population </t>
  </si>
  <si>
    <t xml:space="preserve">Male Circumcision </t>
  </si>
  <si>
    <t xml:space="preserve">Blood Safety </t>
  </si>
  <si>
    <t xml:space="preserve">Orphan and Vulnerable Children (OVC) Package </t>
  </si>
  <si>
    <t xml:space="preserve">Community Systems Strengthening -Prevention General Population </t>
  </si>
  <si>
    <t>RMNCH linkages and Gender Based Violence (GBV)</t>
  </si>
  <si>
    <t>Condoms as part of Programs for MSM and TGs</t>
  </si>
  <si>
    <t>HIV testing and Counselling as part of Programs for MSM and TGs</t>
  </si>
  <si>
    <t>Diagnosis and treatment of viral hepatitis as part of Programs for MSM and TGs</t>
  </si>
  <si>
    <t xml:space="preserve">Community Systems Strengthening -Prevention MSM and TGs </t>
  </si>
  <si>
    <t xml:space="preserve">Other interventions for MSM and TGs -Please specify </t>
  </si>
  <si>
    <t>Behavioural Change as part of programmes for sex workers and their clients</t>
  </si>
  <si>
    <t>Condoms as part of programmes for sex workers and their clients</t>
  </si>
  <si>
    <t>Harm reduction as part of programmes for sex workers and their clients</t>
  </si>
  <si>
    <t>Behavioural Change as part of programmes for other vulnerable populations</t>
  </si>
  <si>
    <t>Condoms as part of programmes for other vulnerable populations</t>
  </si>
  <si>
    <t>Behavioural Change as part of programs for adolescent and youth</t>
  </si>
  <si>
    <t>Condoms part of programs for adolescent and youth</t>
  </si>
  <si>
    <t>Responsible Principal Recipient(s)</t>
  </si>
  <si>
    <t xml:space="preserve">Récipiendaires principaux résponsables </t>
  </si>
  <si>
    <t xml:space="preserve">Ответст- 
венный основной реципиент </t>
  </si>
  <si>
    <t>Program Management</t>
  </si>
  <si>
    <t>Bangladesh Rural Advancement Committee, Afghanistan</t>
  </si>
  <si>
    <t>GTZ-IS</t>
  </si>
  <si>
    <t>HNTPO</t>
  </si>
  <si>
    <t>Japan International Cooperation Agency in Afghanistan</t>
  </si>
  <si>
    <t>JICA</t>
  </si>
  <si>
    <t>Ministry of Public Health of Afghanistan</t>
  </si>
  <si>
    <t>Ministry of Health, Population and Hospital Reform of Algeria</t>
  </si>
  <si>
    <t>Ministry of Health of Angola</t>
  </si>
  <si>
    <t>Ministry of Health of Armenia</t>
  </si>
  <si>
    <t>MOH</t>
  </si>
  <si>
    <t>Ministry of Health of Azerbaijan</t>
  </si>
  <si>
    <t>Ministry of Justice of Azerbaijan</t>
  </si>
  <si>
    <t>Bangladesh Rural Advancement Committee, Bangladesh</t>
  </si>
  <si>
    <t>International Centre for Diarrhoeal Disease Research</t>
  </si>
  <si>
    <t>ICCDDRB</t>
  </si>
  <si>
    <t>Ministry of Finance of Bangladesh</t>
  </si>
  <si>
    <t>MoF</t>
  </si>
  <si>
    <t>Belize Enterprise for Sustainable Technology</t>
  </si>
  <si>
    <t>B.E.S.T</t>
  </si>
  <si>
    <t>Africare</t>
  </si>
  <si>
    <t>Africar</t>
  </si>
  <si>
    <t>Catholic Relief Services USCCB - Benin</t>
  </si>
  <si>
    <t>CRS</t>
  </si>
  <si>
    <t>Industrial and Building Electricity Company</t>
  </si>
  <si>
    <t>SEIB</t>
  </si>
  <si>
    <t>Ministry of Health of Benin</t>
  </si>
  <si>
    <t>Ministry of Health of Bhutan</t>
  </si>
  <si>
    <t>Hivos</t>
  </si>
  <si>
    <t>Centro de Investigación, Educación y Servicios</t>
  </si>
  <si>
    <t>CIES</t>
  </si>
  <si>
    <t>Fundação Ataulpho de Paiva</t>
  </si>
  <si>
    <t>FAP</t>
  </si>
  <si>
    <t>Fundação de Medicina Tropical Doutor Heitor Vieira Dourado</t>
  </si>
  <si>
    <t>FMT-HVD</t>
  </si>
  <si>
    <t>Fundação Faculdade de Medicina</t>
  </si>
  <si>
    <t>FFM</t>
  </si>
  <si>
    <t>Fundação Para O Desenvolvimento Científico E Tecnológico Em Saúde</t>
  </si>
  <si>
    <t>FIOTEC</t>
  </si>
  <si>
    <t>Ministry of Health of Bulgaria</t>
  </si>
  <si>
    <t>Initiative Privée Communautaire</t>
  </si>
  <si>
    <t>IPC</t>
  </si>
  <si>
    <t>SPCNLS</t>
  </si>
  <si>
    <t>Caritas</t>
  </si>
  <si>
    <t>CNLS</t>
  </si>
  <si>
    <t>National Center for HIV/AIDS, Dermatology and STI</t>
  </si>
  <si>
    <t>NCHADS</t>
  </si>
  <si>
    <t>National Center for Tuberculosis and Leprosy Control</t>
  </si>
  <si>
    <t>CENAT</t>
  </si>
  <si>
    <t>National Centre for Parasitology, Entomology and Malaria Control</t>
  </si>
  <si>
    <t>CNM</t>
  </si>
  <si>
    <t>Cameroon National Association for Family Welfare</t>
  </si>
  <si>
    <t>CAMNFAW</t>
  </si>
  <si>
    <t>CARE</t>
  </si>
  <si>
    <t>Ministry of Public Health of Cameroon</t>
  </si>
  <si>
    <t>Cape Verde Non Governmental Organisations Platform</t>
  </si>
  <si>
    <t>PlatONG</t>
  </si>
  <si>
    <t>Coordination Committee to Fight AIDS of Cape Verde</t>
  </si>
  <si>
    <t>CCSSIDA</t>
  </si>
  <si>
    <t>Comité National de Lutte contre le VIH/SIDA, CAF</t>
  </si>
  <si>
    <t>Ministry of Public health, Population and Fight against HIV/AIDS</t>
  </si>
  <si>
    <t>AMASOT</t>
  </si>
  <si>
    <t>Fonds de Soutien aux Activités en matière de Population</t>
  </si>
  <si>
    <t>FOSAP</t>
  </si>
  <si>
    <t>COA</t>
  </si>
  <si>
    <t>CCDC</t>
  </si>
  <si>
    <t>Cooperative Housing Foundation International, USA</t>
  </si>
  <si>
    <t>Fondo Financiero de Proyectos de Desarrollo FONADE</t>
  </si>
  <si>
    <t>International Organization for Migration, Colombia</t>
  </si>
  <si>
    <t>IOM</t>
  </si>
  <si>
    <t>ASCOBEF</t>
  </si>
  <si>
    <t>Conseil National de Lutte Contre le Sida, Congo</t>
  </si>
  <si>
    <t>French Red Cross</t>
  </si>
  <si>
    <t>FRC</t>
  </si>
  <si>
    <t>Medecins d'Afrique</t>
  </si>
  <si>
    <t>MDA</t>
  </si>
  <si>
    <t>Ministry of Health of Republic of Congo</t>
  </si>
  <si>
    <t>Caritas Congo</t>
  </si>
  <si>
    <t>Catholic Organisation for Relief and Development Aid, Congo</t>
  </si>
  <si>
    <t>Eglise du Christ au Congo / Santé Rurale</t>
  </si>
  <si>
    <t>SANRU</t>
  </si>
  <si>
    <t>Ministry of Health of Congo Democratic Republic</t>
  </si>
  <si>
    <t>Consejo Técnico de Asistencia Médico Social</t>
  </si>
  <si>
    <t>CTAMS</t>
  </si>
  <si>
    <t>Humanist Institute for Cooperation with Developing Countries</t>
  </si>
  <si>
    <t>HIVOS</t>
  </si>
  <si>
    <t>Alliance Nationale Contre le SIDA, Cote d'Ivoire</t>
  </si>
  <si>
    <t>ANCS</t>
  </si>
  <si>
    <t>Caritas Côte d'Ivoire</t>
  </si>
  <si>
    <t>National Program for Malaria Control</t>
  </si>
  <si>
    <t>PNLP</t>
  </si>
  <si>
    <t>National Program for the Care of HIV/AIDS patients</t>
  </si>
  <si>
    <t>PNPEC</t>
  </si>
  <si>
    <t>National Program to Fight Against Tuberculosis</t>
  </si>
  <si>
    <t>PNLT</t>
  </si>
  <si>
    <t>Ministry of Health and Social Welfare of Croatia</t>
  </si>
  <si>
    <t>PROFAM</t>
  </si>
  <si>
    <t>Centro Nacional de Control de Enfermedades Tropicales</t>
  </si>
  <si>
    <t>CENCET</t>
  </si>
  <si>
    <t>Consejo NAcional para el VIH y el SIDA</t>
  </si>
  <si>
    <t>CONAVIH</t>
  </si>
  <si>
    <t>Derma</t>
  </si>
  <si>
    <t>Kim</t>
  </si>
  <si>
    <t>Ministry of Public Health of Ecuador</t>
  </si>
  <si>
    <t>NAP</t>
  </si>
  <si>
    <t>MINSAL</t>
  </si>
  <si>
    <t>MCD</t>
  </si>
  <si>
    <t>Ministry of Health of Eritrea</t>
  </si>
  <si>
    <t>PMU</t>
  </si>
  <si>
    <t>Ethiopian Interfaith Forum for Development, Dialogue and Action</t>
  </si>
  <si>
    <t>EIFDDA</t>
  </si>
  <si>
    <t>HIV/AIDS Prevention &amp; Control Office</t>
  </si>
  <si>
    <t>HAPCO</t>
  </si>
  <si>
    <t>Ministry of Health of Ethiopia</t>
  </si>
  <si>
    <t>Action</t>
  </si>
  <si>
    <t>Catholic Relief Services - Gambia</t>
  </si>
  <si>
    <t>Medical Research Council</t>
  </si>
  <si>
    <t>NAS</t>
  </si>
  <si>
    <t>GHSPIC</t>
  </si>
  <si>
    <t>Global Projects Implementation Center</t>
  </si>
  <si>
    <t>GPIC</t>
  </si>
  <si>
    <t>Adventist Development and Relief Agency</t>
  </si>
  <si>
    <t>ADRA</t>
  </si>
  <si>
    <t>Ashanti</t>
  </si>
  <si>
    <t>ghnaids</t>
  </si>
  <si>
    <t>Ministry of Health of Ghana</t>
  </si>
  <si>
    <t>FVM</t>
  </si>
  <si>
    <t>Humanist Institute for Development Cooperation, HQ</t>
  </si>
  <si>
    <t>HIVOSHQ</t>
  </si>
  <si>
    <t>Ministry of Health of Guatemala</t>
  </si>
  <si>
    <t>Catholic Relief Services USCCB - Guinea</t>
  </si>
  <si>
    <t>Deutsche Gesellschaft für Internationale Zusammenarbeit</t>
  </si>
  <si>
    <t>GIZ</t>
  </si>
  <si>
    <t>Ministry of Public Health of Guinea</t>
  </si>
  <si>
    <t>National AIDS Council of Guinea</t>
  </si>
  <si>
    <t>Ministry of Health of Guinea-Bissau</t>
  </si>
  <si>
    <t>CG/PNDS</t>
  </si>
  <si>
    <t>National Secretariat to Fight AIDS</t>
  </si>
  <si>
    <t>SNLS</t>
  </si>
  <si>
    <t>SOGEBAN</t>
  </si>
  <si>
    <t>Cooperative Housing Foundation, Honduras</t>
  </si>
  <si>
    <t>Ministry of Health of Honduras</t>
  </si>
  <si>
    <t>Caritas India</t>
  </si>
  <si>
    <t>Department of Economic Affairs, Ministry of Finance of India</t>
  </si>
  <si>
    <t>Emmanuel Hospital Association</t>
  </si>
  <si>
    <t>ilfsets</t>
  </si>
  <si>
    <t>Allianc</t>
  </si>
  <si>
    <t>Inurse</t>
  </si>
  <si>
    <t>International Union Against Tuberculosis and Lung Disease</t>
  </si>
  <si>
    <t>IUATLD</t>
  </si>
  <si>
    <t>PPA</t>
  </si>
  <si>
    <t>UI</t>
  </si>
  <si>
    <t>Indonesian Planned Parenthood Association</t>
  </si>
  <si>
    <t>Ministry of Health of Indonesia - Center for Health and Information (PUSDATIN)</t>
  </si>
  <si>
    <t>Ministry of Health of Indonesia - Dir. of Disease Control &amp; Environmental Health</t>
  </si>
  <si>
    <t>Ministry of Health of Indonesia - Directorate of Vector Borne Disease Control</t>
  </si>
  <si>
    <t>NOH</t>
  </si>
  <si>
    <t>Nahdlatul Ulama</t>
  </si>
  <si>
    <t>NAC</t>
  </si>
  <si>
    <t>Ministry of Health of Kazakhstan - National Center of TB Problems</t>
  </si>
  <si>
    <t>NCTB</t>
  </si>
  <si>
    <t>Ministry of Health of Kazakhstan - Republican AIDS Center</t>
  </si>
  <si>
    <t>RAC</t>
  </si>
  <si>
    <t>African Medical and Research Foundation</t>
  </si>
  <si>
    <t>AMREF</t>
  </si>
  <si>
    <t>CARE International in Kenya</t>
  </si>
  <si>
    <t>KENWA</t>
  </si>
  <si>
    <t>Kenya Red Cross Society</t>
  </si>
  <si>
    <t>KRC</t>
  </si>
  <si>
    <t>Ministry of Finance of Kenya</t>
  </si>
  <si>
    <t>Community Development Fund</t>
  </si>
  <si>
    <t>CDF</t>
  </si>
  <si>
    <t>NCP</t>
  </si>
  <si>
    <t>Ministry of Health of Lao</t>
  </si>
  <si>
    <t>lecongo</t>
  </si>
  <si>
    <t>Ministry of Finance and Development Planning, Lesotho</t>
  </si>
  <si>
    <t>Ministry of Finance, Lesotho</t>
  </si>
  <si>
    <t>Ministry of Health of FYR of Macedonia</t>
  </si>
  <si>
    <t>Catholic Relief Services - Madagascar</t>
  </si>
  <si>
    <t>Centrale d'Achat des Medicaments Essentiels et de Materiel Medical</t>
  </si>
  <si>
    <t>SALAMA</t>
  </si>
  <si>
    <t>Ministry of Health of Malawi</t>
  </si>
  <si>
    <t>National AIDS Commission, Malawi</t>
  </si>
  <si>
    <t>Malaysia</t>
  </si>
  <si>
    <t>Malaysian AIDS Council</t>
  </si>
  <si>
    <t>MAC</t>
  </si>
  <si>
    <t>Pivot</t>
  </si>
  <si>
    <t>Ministry of Health of Mali</t>
  </si>
  <si>
    <t>HCNLS</t>
  </si>
  <si>
    <t>Mauritius Family Planning and Welfare Association</t>
  </si>
  <si>
    <t>MFPWA</t>
  </si>
  <si>
    <t>Fundacion Mexicana para la salud A.C.</t>
  </si>
  <si>
    <t>FUN</t>
  </si>
  <si>
    <t>PAS</t>
  </si>
  <si>
    <t>Health System Restructuring Project - Coordination, Implementation, Monitoring Unit</t>
  </si>
  <si>
    <t>UCIMP</t>
  </si>
  <si>
    <t>Fundacao para o Desenvolvimento da Comunidade</t>
  </si>
  <si>
    <t>FDC</t>
  </si>
  <si>
    <t>National AIDS Council of Mozambique</t>
  </si>
  <si>
    <t>CNCS</t>
  </si>
  <si>
    <t>Multicountry Africa (RMCC)</t>
  </si>
  <si>
    <t>Abidjan-Lagos Corridor Organization</t>
  </si>
  <si>
    <t>ALCO</t>
  </si>
  <si>
    <t>CARICOM</t>
  </si>
  <si>
    <t>Multicountry Americas (COPRECOS)</t>
  </si>
  <si>
    <t>Cicatelli Associates</t>
  </si>
  <si>
    <t>CAI</t>
  </si>
  <si>
    <t>Caribbean Regional Network of People Living with HIV/AIDS</t>
  </si>
  <si>
    <t>CRN+</t>
  </si>
  <si>
    <t>Instituto Nacional de Salud Pública</t>
  </si>
  <si>
    <t>INSP</t>
  </si>
  <si>
    <t>Multicountry Americas (REDTRASEX)</t>
  </si>
  <si>
    <t>International Organization for Migration, Argentina</t>
  </si>
  <si>
    <t>Multicountry East Asia And Pacific (APN+)</t>
  </si>
  <si>
    <t>Asia Pacific Network of People Living with HIV/AIDS</t>
  </si>
  <si>
    <t>APN+</t>
  </si>
  <si>
    <t>Multicountry East Asia And Pacific (ISEAN-HIVOS)</t>
  </si>
  <si>
    <t>Multicountry Middle East - North Africa (MENAHRA)</t>
  </si>
  <si>
    <t>Middle East and North Africa Harm Reduction Association</t>
  </si>
  <si>
    <t>MENAHRA</t>
  </si>
  <si>
    <t>MoHSS</t>
  </si>
  <si>
    <t>Namibia Network of AIDS Service Organisations</t>
  </si>
  <si>
    <t>NANASO</t>
  </si>
  <si>
    <t>FPA</t>
  </si>
  <si>
    <t>Federación Red NicaSalud</t>
  </si>
  <si>
    <t>NSalud</t>
  </si>
  <si>
    <t>Instituto Nicaraguense de Seguridad Social</t>
  </si>
  <si>
    <t>INSS</t>
  </si>
  <si>
    <t>Catholic Relief Services - Niger</t>
  </si>
  <si>
    <t>Centre of International Cooperation in Health and Development, Niger</t>
  </si>
  <si>
    <t>CCISD</t>
  </si>
  <si>
    <t>Int'l Federation of Red Cross and Red Crescent</t>
  </si>
  <si>
    <t>IFRC</t>
  </si>
  <si>
    <t>Multi-sectorial Coordination Unit to Fight HIV/AIDS/STI</t>
  </si>
  <si>
    <t>CILS</t>
  </si>
  <si>
    <t>ARFH</t>
  </si>
  <si>
    <t>CHAN</t>
  </si>
  <si>
    <t>Civil Society for HIV/AIDS in Nigeria</t>
  </si>
  <si>
    <t>CiSHAN</t>
  </si>
  <si>
    <t>Institute of Human Virology Nigeria</t>
  </si>
  <si>
    <t>IHV</t>
  </si>
  <si>
    <t>National Agency for Control of AIDS</t>
  </si>
  <si>
    <t>NACA</t>
  </si>
  <si>
    <t>National Malaria Control Programme</t>
  </si>
  <si>
    <t>Directorate of Malaria Control, Ministry of Inter-Provincial Coordination, Pakistan</t>
  </si>
  <si>
    <t>DOMC</t>
  </si>
  <si>
    <t>GrnStar</t>
  </si>
  <si>
    <t>Mercy</t>
  </si>
  <si>
    <t>Zindagi</t>
  </si>
  <si>
    <t>National AIDS Control Programme, Ministry of Inter-Provincial Coordination</t>
  </si>
  <si>
    <t>NACP</t>
  </si>
  <si>
    <t>National TB Control Programme Pakistan</t>
  </si>
  <si>
    <t>NTP</t>
  </si>
  <si>
    <t>Alter</t>
  </si>
  <si>
    <t>Fundación Comunitaria Centro de Información y Recursos para el Desarrollo</t>
  </si>
  <si>
    <t>CIRD</t>
  </si>
  <si>
    <t>Instituto Peruano de Paternidad</t>
  </si>
  <si>
    <t>INPPARE</t>
  </si>
  <si>
    <t>PAR</t>
  </si>
  <si>
    <t>Department of Health, Philippines</t>
  </si>
  <si>
    <t>Alliance Nationale Contre le SIDA, Senegal</t>
  </si>
  <si>
    <t>Conseil National de Lutte Contre le SIDA, Senegal</t>
  </si>
  <si>
    <t>IntraHealth International</t>
  </si>
  <si>
    <t>IH</t>
  </si>
  <si>
    <t>Ministry of Health and Medical Prevention of Senegal</t>
  </si>
  <si>
    <t>MSPM</t>
  </si>
  <si>
    <t>EcoInst</t>
  </si>
  <si>
    <t>Ministry of Health of Serbia</t>
  </si>
  <si>
    <t>Catholic Relief Services - Sierra Leone</t>
  </si>
  <si>
    <t>National HIV/AIDS Secretariat of Sierra Leone</t>
  </si>
  <si>
    <t>Department of Health of South Africa</t>
  </si>
  <si>
    <t>National Religious Association for Social Development</t>
  </si>
  <si>
    <t>NRASD</t>
  </si>
  <si>
    <t>Sarvo</t>
  </si>
  <si>
    <t>Ministry of Healthcare and Nutrition of Sri Lanka</t>
  </si>
  <si>
    <t>MZ</t>
  </si>
  <si>
    <t>Ministry of Health of Suriname</t>
  </si>
  <si>
    <t>National Emergency Response Council on HIV/AIDS</t>
  </si>
  <si>
    <t>NERCHA</t>
  </si>
  <si>
    <t>Ministry of Finance of Tanzania</t>
  </si>
  <si>
    <t>MOFEA</t>
  </si>
  <si>
    <t>Ministry of Health of Tanzania</t>
  </si>
  <si>
    <t>Aids Access Foundation</t>
  </si>
  <si>
    <t>Access</t>
  </si>
  <si>
    <t>Ministry of Health of Timor-Leste</t>
  </si>
  <si>
    <t>Direction des Soins de Santé de Base, Government of Tunisia</t>
  </si>
  <si>
    <t>DSSB</t>
  </si>
  <si>
    <t>National Office for Family and Population</t>
  </si>
  <si>
    <t>ONFP</t>
  </si>
  <si>
    <t>Ministry of Health of Turkey</t>
  </si>
  <si>
    <t>AIDS Support Organization, Uganda</t>
  </si>
  <si>
    <t>TASO</t>
  </si>
  <si>
    <t>MoFPED</t>
  </si>
  <si>
    <t>AUN</t>
  </si>
  <si>
    <t>FDU</t>
  </si>
  <si>
    <t>International HIV/AIDS Alliance, Ukraine</t>
  </si>
  <si>
    <t>ICF</t>
  </si>
  <si>
    <t>Uruguay</t>
  </si>
  <si>
    <t>Agencia Nacional de Investigación e Innovación</t>
  </si>
  <si>
    <t>ANII</t>
  </si>
  <si>
    <t>Ministry of Public Health, Uruguay</t>
  </si>
  <si>
    <t>MSP</t>
  </si>
  <si>
    <t>NIMPE</t>
  </si>
  <si>
    <t>CHAZ</t>
  </si>
  <si>
    <t>Ministry of Health of Zambia</t>
  </si>
  <si>
    <t>MOHSW</t>
  </si>
  <si>
    <t>UNDP</t>
  </si>
  <si>
    <t>UBATEC</t>
  </si>
  <si>
    <t>World Vision Armenia</t>
  </si>
  <si>
    <t>WV</t>
  </si>
  <si>
    <t>Save the Children Federation, Inc.</t>
  </si>
  <si>
    <t>SChild</t>
  </si>
  <si>
    <t>United Nations Development Programme, Belize</t>
  </si>
  <si>
    <t>Plan</t>
  </si>
  <si>
    <t>Prosalud</t>
  </si>
  <si>
    <t>Prosalu</t>
  </si>
  <si>
    <t>United Nations Development Programme, Bosnia-Herzegovina</t>
  </si>
  <si>
    <t>Programme d'Appui au Developpment Sanitaire</t>
  </si>
  <si>
    <t>PADS</t>
  </si>
  <si>
    <t>Plan International Burkina Faso</t>
  </si>
  <si>
    <t>PLAN</t>
  </si>
  <si>
    <t>Programme d’Appui au Monde Associatif et Communautaire</t>
  </si>
  <si>
    <t>PAMAC</t>
  </si>
  <si>
    <t>Projet Sante et Population II, Ministry of Health of Burundi</t>
  </si>
  <si>
    <t>PSP2</t>
  </si>
  <si>
    <t>Programme National de Lutte contre la Tuberculose</t>
  </si>
  <si>
    <t>Reseau Burundais des Personnes Vivant avec le VIH/SIDA</t>
  </si>
  <si>
    <t>RBP+</t>
  </si>
  <si>
    <t>United Nations Office for Project Services, Denmark</t>
  </si>
  <si>
    <t>UNOPS</t>
  </si>
  <si>
    <t>PlanHQ</t>
  </si>
  <si>
    <t>National Union of Diocesan Associations</t>
  </si>
  <si>
    <t>UNAD</t>
  </si>
  <si>
    <t>Population Services International, DRC</t>
  </si>
  <si>
    <t>PSI</t>
  </si>
  <si>
    <t>Population Services International, USA</t>
  </si>
  <si>
    <t>South Sudan</t>
  </si>
  <si>
    <t>SELSPT</t>
  </si>
  <si>
    <t>SES</t>
  </si>
  <si>
    <t>Unidad Technica Gerencial, Ministry of Health of Ecuador</t>
  </si>
  <si>
    <t>United Nations Development Programme, El Salvador</t>
  </si>
  <si>
    <t>Network of Networks of HIV Positives in Ethiopia</t>
  </si>
  <si>
    <t>NEP+</t>
  </si>
  <si>
    <t>Planned Parenthood Association of Ghana</t>
  </si>
  <si>
    <t>PPAG</t>
  </si>
  <si>
    <t>Population Services International, Haiti</t>
  </si>
  <si>
    <t>PFI</t>
  </si>
  <si>
    <t>Tata Institute of Social Sciences</t>
  </si>
  <si>
    <t>TISS</t>
  </si>
  <si>
    <t>PERDHAK</t>
  </si>
  <si>
    <t>United Nations Development Programme, Iran</t>
  </si>
  <si>
    <t>Sanaa</t>
  </si>
  <si>
    <t>United Nations Children's Fund, PRK</t>
  </si>
  <si>
    <t>UNICEF</t>
  </si>
  <si>
    <t>United Nations Development Programme, Kyrgyzstan</t>
  </si>
  <si>
    <t>Hope</t>
  </si>
  <si>
    <t>Plan International Liberia</t>
  </si>
  <si>
    <t>PII</t>
  </si>
  <si>
    <t>Population Services International, Madagascar</t>
  </si>
  <si>
    <t>SE-CNLS</t>
  </si>
  <si>
    <t>UGP</t>
  </si>
  <si>
    <t>Office National de Nutrition</t>
  </si>
  <si>
    <t>ONN</t>
  </si>
  <si>
    <t>Pact</t>
  </si>
  <si>
    <t>United Nations Development Program, Mali</t>
  </si>
  <si>
    <t>Prévention Information Lutte contre le Sida</t>
  </si>
  <si>
    <t>PILS</t>
  </si>
  <si>
    <t>Southern African Development Community</t>
  </si>
  <si>
    <t>OAS</t>
  </si>
  <si>
    <t>OECS</t>
  </si>
  <si>
    <t>Secretaría de la Integración Social Centroamericana</t>
  </si>
  <si>
    <t>SISCA</t>
  </si>
  <si>
    <t>Multicountry South Asia</t>
  </si>
  <si>
    <t>Population Services International, Nepal</t>
  </si>
  <si>
    <t>Multicountry Western Pacific</t>
  </si>
  <si>
    <t>SPC</t>
  </si>
  <si>
    <t>Solomon Islands</t>
  </si>
  <si>
    <t>Save the Children, Myanmar Office</t>
  </si>
  <si>
    <t>United Nations Office for Project Services, Myanmar</t>
  </si>
  <si>
    <t>Save the Children, Nepal Office</t>
  </si>
  <si>
    <t>SCF</t>
  </si>
  <si>
    <t>Yakubu</t>
  </si>
  <si>
    <t>SFH</t>
  </si>
  <si>
    <t>Planned Parenthood Federation of Nigeria</t>
  </si>
  <si>
    <t>PPFN</t>
  </si>
  <si>
    <t>Save the Children, Pakistan</t>
  </si>
  <si>
    <t>SC</t>
  </si>
  <si>
    <t>Population Services International, Papua New Guinea</t>
  </si>
  <si>
    <t>Rotary Club of Port Moresby</t>
  </si>
  <si>
    <t>Rotary</t>
  </si>
  <si>
    <t>Oil Search Health Foundation</t>
  </si>
  <si>
    <t>OSHF</t>
  </si>
  <si>
    <t>World Vision Papua New Guinea / USA</t>
  </si>
  <si>
    <t>PathInt</t>
  </si>
  <si>
    <t>Tropical Disease Foundation Inc.</t>
  </si>
  <si>
    <t>TDF</t>
  </si>
  <si>
    <t>Pilipinas Shell Foundation Inc.</t>
  </si>
  <si>
    <t>PSF</t>
  </si>
  <si>
    <t>Philippine Business for Social Progress</t>
  </si>
  <si>
    <t>PBSP</t>
  </si>
  <si>
    <t>RAA</t>
  </si>
  <si>
    <t>BEARR</t>
  </si>
  <si>
    <t>ESVERO</t>
  </si>
  <si>
    <t>Plan Senegal</t>
  </si>
  <si>
    <t>JAZAS</t>
  </si>
  <si>
    <t>RCS</t>
  </si>
  <si>
    <t>Sierra Leone Red Cross</t>
  </si>
  <si>
    <t>World Vision Somalia</t>
  </si>
  <si>
    <t>WCDoH</t>
  </si>
  <si>
    <t>Right to care</t>
  </si>
  <si>
    <t>Networking AIDS Community of South Africa</t>
  </si>
  <si>
    <t>NACOSA</t>
  </si>
  <si>
    <t>Population Services International, Sudan</t>
  </si>
  <si>
    <t>Tropical and Environmental Diseases and Health Associates</t>
  </si>
  <si>
    <t>TEDHA</t>
  </si>
  <si>
    <t>The Family Planning Association of Sri Lanka</t>
  </si>
  <si>
    <t>Switzerland</t>
  </si>
  <si>
    <t>PR Service Validation Test Account</t>
  </si>
  <si>
    <t>United Nations Development Programme, Syria</t>
  </si>
  <si>
    <t>Pact Tanzania</t>
  </si>
  <si>
    <t>Population Services International, Tanzania</t>
  </si>
  <si>
    <t>Raks</t>
  </si>
  <si>
    <t>World Vision Thailand</t>
  </si>
  <si>
    <t>Population Services International, Togo</t>
  </si>
  <si>
    <t>Société Tunisienne des Maladies Respiratoires</t>
  </si>
  <si>
    <t>STMR</t>
  </si>
  <si>
    <t>United Nations Development Programme, Turkmenistan</t>
  </si>
  <si>
    <t>Ukrainian Fund to Fight HIV Infection and AIDS</t>
  </si>
  <si>
    <t>UkrFund</t>
  </si>
  <si>
    <t>Ukrainian Center for Socially Dangerous Disease Control of the Ministry of Health of Ukraine</t>
  </si>
  <si>
    <t>United Nations Development Programme, Ukraine</t>
  </si>
  <si>
    <t>DOTS</t>
  </si>
  <si>
    <t>Republican Center of State Sanitary Epidemiological Surveillance</t>
  </si>
  <si>
    <t>CSSES</t>
  </si>
  <si>
    <t>United Nations Development Programme, Uzbekistan</t>
  </si>
  <si>
    <t>Viet Nam Administration of HIV/AIDS Control</t>
  </si>
  <si>
    <t>VAAC</t>
  </si>
  <si>
    <t>Yemen Ministry of Public Health and Population - National Malaria Programme</t>
  </si>
  <si>
    <t>Yemen Ministry of Public Health and Population - National AIDS Program</t>
  </si>
  <si>
    <t>Technical Secretariat of National Population Council</t>
  </si>
  <si>
    <t>Yemen Ministry of Public Health and Population - National Tuberculosis Program</t>
  </si>
  <si>
    <t>United Nations Development Programme, Zambia</t>
  </si>
  <si>
    <t>ZACH</t>
  </si>
  <si>
    <t>MonthIndex</t>
  </si>
  <si>
    <t>Indicateur de couverture/produit</t>
  </si>
  <si>
    <t>Indicador de cobertura/producto</t>
  </si>
  <si>
    <t>Показатель долгосрочного охвата/ результата</t>
  </si>
  <si>
    <t>Applicant</t>
  </si>
  <si>
    <t>Applicant to Conuntry</t>
  </si>
  <si>
    <t>CCM Barbados</t>
  </si>
  <si>
    <t>CCM Congo (Democratic Republic)</t>
  </si>
  <si>
    <t>CCM Guinea-Bissau</t>
  </si>
  <si>
    <t>CCM Lebanon</t>
  </si>
  <si>
    <t>CCM Poland</t>
  </si>
  <si>
    <t>Poland</t>
  </si>
  <si>
    <t>CCM São Tomé and Príncipe</t>
  </si>
  <si>
    <t>CCM Seychelles</t>
  </si>
  <si>
    <t>Seychelles</t>
  </si>
  <si>
    <t>CCM South Sudan</t>
  </si>
  <si>
    <t>CCM Syria</t>
  </si>
  <si>
    <t>CCM Tanzania</t>
  </si>
  <si>
    <t>CCM Vanuatu</t>
  </si>
  <si>
    <t>East African Network for Monitoring Antimalarial Treatment</t>
  </si>
  <si>
    <t>Global Health Action, Inc</t>
  </si>
  <si>
    <t>Non-CCM</t>
  </si>
  <si>
    <t>Non-CCM Al Muntadhar International Relief &amp; Development Foundation</t>
  </si>
  <si>
    <t>Non-CCM CARE Internaltional</t>
  </si>
  <si>
    <t>Non-CCM Catholic Relief Services, Madagascar</t>
  </si>
  <si>
    <t>Non-CCM ESVERO, Russian Federation</t>
  </si>
  <si>
    <t>Non-CCM Family Health International</t>
  </si>
  <si>
    <t>Non-CCM Open Health Institute, Russian Federation</t>
  </si>
  <si>
    <t>Non-CCM Raks Thai Foundation</t>
  </si>
  <si>
    <t>Non-CCM Shoklo Malaria Research Unit</t>
  </si>
  <si>
    <t>RCM Abidjan-Lagos Corridor Organisation</t>
  </si>
  <si>
    <t>RCM Andean</t>
  </si>
  <si>
    <t>RCM Andino</t>
  </si>
  <si>
    <t>RCM CCLAB</t>
  </si>
  <si>
    <t>RCM Mesoamerica</t>
  </si>
  <si>
    <t>RCM MOZIZA</t>
  </si>
  <si>
    <t>RCM Myanmar-Thailand - ISCOS-CISL</t>
  </si>
  <si>
    <t>RCM Organisation of Eastern Caribbean States</t>
  </si>
  <si>
    <t>RCM Pan Caribbean Partnership against HIV/AIDS</t>
  </si>
  <si>
    <t>RCM Regional Malaria Control Commission</t>
  </si>
  <si>
    <t>RCM Southern African Development Community</t>
  </si>
  <si>
    <t>RCM Western Pacific</t>
  </si>
  <si>
    <t>RO Academy for Educational Development</t>
  </si>
  <si>
    <t>RO Africa Alive!</t>
  </si>
  <si>
    <t>RO Africa Satellite??? (round 2)</t>
  </si>
  <si>
    <t>RO African Medical and Research Foundation</t>
  </si>
  <si>
    <t>RO AfriCASO</t>
  </si>
  <si>
    <t>RO AIDS Empowerment and Treatment International</t>
  </si>
  <si>
    <t>RO Asia Pacific Network of People Living with HIV/AIDS</t>
  </si>
  <si>
    <t>RO Asociacion Salud Integral y Ciudadanía America Latina</t>
  </si>
  <si>
    <t>RO Association of South-East Asian Nations</t>
  </si>
  <si>
    <t>RO Australasian College of Tropical Medicine</t>
  </si>
  <si>
    <t>RO CARE Asia Regional Management Unit</t>
  </si>
  <si>
    <t>RO Caribbean Regional Network</t>
  </si>
  <si>
    <t>RO Coalicion Organizaciones Diversidad Sexual Centroamerica</t>
  </si>
  <si>
    <t>RO Committee on Prevention of HIV/AIDS (COPRECOS)</t>
  </si>
  <si>
    <t>RO East, Central and Southern African Health Community</t>
  </si>
  <si>
    <t>RO Economic Community of Central African States</t>
  </si>
  <si>
    <t>RO Economic Community Of West African States</t>
  </si>
  <si>
    <t>RO Ethiopia/Zambia??? (round 1)</t>
  </si>
  <si>
    <t>RO Great Lakes Initiative on AIDS</t>
  </si>
  <si>
    <t>RO Humanist Institute for Cooperation with Developing Countries, Southern Africa</t>
  </si>
  <si>
    <t>RO Insular Southeast Asia Network of MSM, TG and HIV</t>
  </si>
  <si>
    <t>RO International Community of Women Living with HIV/AIDS</t>
  </si>
  <si>
    <t>RO Int'l Federation of Red Cross and Red Crescent</t>
  </si>
  <si>
    <t>RO Lithuanian College of Democracy</t>
  </si>
  <si>
    <t>Lithuania</t>
  </si>
  <si>
    <t>RO Lutheran World Federation</t>
  </si>
  <si>
    <t>RO Mano River Union Secretariat</t>
  </si>
  <si>
    <t>RO Middle East &amp; North Africa Harm Reduction Association</t>
  </si>
  <si>
    <t>RO Naz Foundation International</t>
  </si>
  <si>
    <t>RO Partners in Population and Development.</t>
  </si>
  <si>
    <t>RO Population Services International</t>
  </si>
  <si>
    <t>RO Presbyterian Church of Africa</t>
  </si>
  <si>
    <t>RO Red Centroamericana (REDCA+)</t>
  </si>
  <si>
    <t>RO RedLACTrans</t>
  </si>
  <si>
    <t>RO RedTraSex</t>
  </si>
  <si>
    <t>RO Religions for Peace - Hope for African Children</t>
  </si>
  <si>
    <t>RO Reseau Africain Formation VIH-sida</t>
  </si>
  <si>
    <t>RO SAARC Tuberculosis and HIV/AIDS Centre</t>
  </si>
  <si>
    <t>RO Soul city</t>
  </si>
  <si>
    <t>RO Southern African Development Community</t>
  </si>
  <si>
    <t>RO University of West Indies</t>
  </si>
  <si>
    <t>Sub-CCM St. Petersburg region</t>
  </si>
  <si>
    <t>Intervention budget (request to the Global Fund only)</t>
  </si>
  <si>
    <t>Other funding received for this intervention (including scope of activities funded)</t>
  </si>
  <si>
    <t>Cost Assumptions for the request to the Global Fund</t>
  </si>
  <si>
    <t>Description of Intervention</t>
  </si>
  <si>
    <t>Please describe 1) rationale for Global Fund support, 2) linkages to national strategic plan, 3) target population &amp; geographic scope,  4) implementation approach, and 5) other relevant information. Please differentiate between scope of indicative and above indicative request</t>
  </si>
  <si>
    <t>Idioma:</t>
  </si>
  <si>
    <t>Langue :</t>
  </si>
  <si>
    <t>Язык:</t>
  </si>
  <si>
    <t>Value</t>
  </si>
  <si>
    <t>Intervention</t>
  </si>
  <si>
    <t>Module budget</t>
  </si>
  <si>
    <t>Indicative request for entire module</t>
  </si>
  <si>
    <t>Above indicative request for entire module</t>
  </si>
  <si>
    <t>Total requested
amount</t>
  </si>
  <si>
    <t xml:space="preserve">HIV testing and Counselling as part of programs for General population </t>
  </si>
  <si>
    <t>Above</t>
  </si>
  <si>
    <t>CmpId</t>
  </si>
  <si>
    <t>CmpAcro</t>
  </si>
  <si>
    <t>Component en</t>
  </si>
  <si>
    <t>Component fr</t>
  </si>
  <si>
    <t>Component es</t>
  </si>
  <si>
    <t>Component ru</t>
  </si>
  <si>
    <t>H</t>
  </si>
  <si>
    <t>HIV/AIDS</t>
  </si>
  <si>
    <t>VIH/SIDA</t>
  </si>
  <si>
    <t>T</t>
  </si>
  <si>
    <t>M</t>
  </si>
  <si>
    <t>S</t>
  </si>
  <si>
    <t>ModId</t>
  </si>
  <si>
    <t>Module en</t>
  </si>
  <si>
    <t>Module fr</t>
  </si>
  <si>
    <t>Module es</t>
  </si>
  <si>
    <t>Module ru</t>
  </si>
  <si>
    <t>Prevention</t>
  </si>
  <si>
    <t>Monitoring and Evaluation</t>
  </si>
  <si>
    <t>Program management</t>
  </si>
  <si>
    <t>DOTS-based package</t>
  </si>
  <si>
    <t>TB/HIV package (in high TB/HIV burden countries or for high risk groups in all countries)</t>
  </si>
  <si>
    <t>MDR-TB package (in high MDR-TB burden countries or for high risk groups in all countries)</t>
  </si>
  <si>
    <t>Human Rights</t>
  </si>
  <si>
    <t>Vector Control (VC)</t>
  </si>
  <si>
    <t>Case Management (CM)</t>
  </si>
  <si>
    <t>Specific Prevention Interventions (SPI)</t>
  </si>
  <si>
    <t>Monitoring and Evaluation (ME)</t>
  </si>
  <si>
    <t>Program Management (PM)</t>
  </si>
  <si>
    <t>Service Delivery</t>
  </si>
  <si>
    <t>Health  Workforce</t>
  </si>
  <si>
    <t>Procurement and Supply Chain Management</t>
  </si>
  <si>
    <t>Information systems and M&amp;E</t>
  </si>
  <si>
    <t>Legal, policy, strategy and regulatory environment</t>
  </si>
  <si>
    <t xml:space="preserve">Healthcare financing </t>
  </si>
  <si>
    <t>Program management 
(applicable for standalone HSS grants)</t>
  </si>
  <si>
    <t>Includes specific Global Fund grant management related activities at the PMU/PR/SR level. These could include- development and submission of grant documents; oversight and technical assistance related to Global Fund grant implementation and management and specific Global Fund requirements; supervision from PR to SR level (applicable when national malaria program is not the PR); human resource planning/ staffing and   overheads, operational costs; coordination with national program, district and local authorities;  quarterly meetings, training, and office/IT equipment at PR/SR level; mobilizing leaders to support implementation and sustainability of the program</t>
  </si>
  <si>
    <t>Grant Management</t>
  </si>
  <si>
    <t>It inlcudes activities to monitor implementation and document violations (health services, human rights commissions, civil society)</t>
  </si>
  <si>
    <t>Monitoring and reporting implementation of human rights</t>
  </si>
  <si>
    <t>Activities which contribute to enforcing laws, policies and regulations that strengthen ability to deliver equal access to health services, and enable community systems to register and advocate for rights of people living with and affected by the 3 diseases. 
It includes activities to ensure routes to redress are available to people living with the three diseases, key affected populations, women, etc. 
Cross-cutting human rights interventions that affect the three diseases (e.g., prison reform, reform of laws and policies on refugees/migrants, IDPs, and others) also included here.</t>
  </si>
  <si>
    <t>Enforcement</t>
  </si>
  <si>
    <t>Activities which contribute to implementing and enforcing laws, policies and regulations that strengthen ability to deliver equal access to health services, and enable community systems to register and advocate for rights of people living with and affected by the 3 diseases. Cross-cutting human rights interventions that affect the three diseases (e.g., prison reform, reform of laws and policies on refugees/migrants, IDPs, and others) also included here. It includes capacity building activities to ensure health/human rights related laws and policies are fully implemented</t>
  </si>
  <si>
    <t xml:space="preserve">Implementation </t>
  </si>
  <si>
    <t>Activities which contribute to developing laws, policies and regulations that strengthen ability to deliver equal access to health services, and enable community systems to register and advocate for rights of people living with and affected by the 3 diseases. It includes creation of enabling environment for Global Fund supported interventions through drafting and ratifying laws and policies
Cross-cutting human rights interventions that affect the three diseases (e.g., prison reform, reform of laws and policies on refugees/migrants, IDPs, and others) also included here.</t>
  </si>
  <si>
    <t>Law and policy reform</t>
  </si>
  <si>
    <t xml:space="preserve">Activities which contribute to improving  equitable provision of financial resources to public, private and non-government institutions for effective delivery of    services and disease control programs;  </t>
  </si>
  <si>
    <t>Equity of healthcare financing</t>
  </si>
  <si>
    <t xml:space="preserve">It includes activities which contribute to improving  adequate provision of financial resources to public, private and non-government/community institutions for effective delivery of    services and disease control programs such as- Improving revenue collection, pooling and purchasing for ensuring financial sustainability of service delivery. For example, supporting the development, operationalization and management of funding schemes for purchasing healthcare services (insurance fund, community-based insurance schemes, revolving drug funds etc.); Providing training in financial planning and budgeting; Capacity building for improving public financial management; </t>
  </si>
  <si>
    <t>Financial sustainability</t>
  </si>
  <si>
    <t xml:space="preserve">This includes developing and supporting independent mechanisms to supervise, monitor and report on development and  implementation of laws and policies such as- Capacity building and support for effective litigation; Ensuring meaningful participation of community actors in national consultative forums, including policy, planning and other decision making bodies; Improving strategic and operational planning, management, accountability and leadership, including for community systems; </t>
  </si>
  <si>
    <t>Monitoring and reporting implementation of laws and policies</t>
  </si>
  <si>
    <t xml:space="preserve">This includes advocacy activities aimed at promoting appropriate legal and policy reform related to health and community systems such as- capacity building and mobilization of community activists, civil society organizations and other stakeholders to improve their engagement with government officials; Information campaigns (community level, local and national mass media etc.) aimed at promoting legislation, policy/regulation development and implementation; Building community linkages, collaboration and coordination; Advocacy on legal and policy frameworks e.g. decriminalization of behaviors or marginalized groups; development and enforcement of child protection policies; </t>
  </si>
  <si>
    <t>Advocacy for legal and policy reforms</t>
  </si>
  <si>
    <t>This includes activities which contribute to developing and executing health systems-related laws, strategies, policies, regulations, and, protocols, and monitoring their implementation such as- developing, ratifying and executing evidence-based,  non-discriminatory laws, policies, regulations, coordination and supervision mechanisms; Capacity building and training of MoH, local government, non-government and other relevant personnel to improve policy-making, policy-execution and monitoring functions; Inter-sectoral consultations, coordinating meetings, community meetings and similar activities aimed at policy-making, policy-execution and monitoring; Supporting analytical needs assessment, surveys, research and relevant activities to generate information for policy-making</t>
  </si>
  <si>
    <t>Development and Implementation of legal and policy reform</t>
  </si>
  <si>
    <t>Establishing/ strengthening and scale up of  Vital registration information system including Sample Vital Registration systems, strengthening reporting of hospital morbidity and mortality statistics, cause of death, establishment of SMS system of reporting; training of community health workers on reporting vital events, drug stock-outs etc.</t>
  </si>
  <si>
    <t>Vital Registration Systems</t>
  </si>
  <si>
    <t>Includes establishing systems for periodic (annual) reporting on key health administrative and service availability statistics, such as- Health workforce, inventory of health care providers and institutions; National Health Accounts and sub-accounts; setting up of financial reporting/ accounting systems; annual review of health sector budget and expenditures by funding source; Expenditure studies; Establishing and maintaining Logistics Management Information system (LMIS)</t>
  </si>
  <si>
    <t>Administrative and financial data sources</t>
  </si>
  <si>
    <t>Surveys/studies for assessment of morbidity, mortality, service coverage and behavioral surveys/studies in general population or identified risk groups – ex. DHS; MICS, health and morbidity surveys to assess out-of-pocket expenditures or burden etc.</t>
  </si>
  <si>
    <t>Surveys</t>
  </si>
  <si>
    <t>Analysis, interpretation and use of data and evidence generated through TB program review/ evaluation; development and sharing of periodic reports through websites/publications; reviews and evaluations of national health or disease strategies (these exclude the monthly/ quarterly review meetings held at different levels to strengthen programmatic supervision/monitoring); Operations Research</t>
  </si>
  <si>
    <t>Analysis, review and transparency</t>
  </si>
  <si>
    <t>Establishment/maintenance/strengthening of national HMIS system including DHIS 2 and any related web-based/electronic system to support data reporting from all levels of health system – including public, private, private-not-for-profit and community reporting; training; reporting forms and tools with appropriate disaggregation of indicators; sentinel surveillance; Data Quality Assessments</t>
  </si>
  <si>
    <t>Routine reporting</t>
  </si>
  <si>
    <t>Activities which ensure uninterrupted, efficient  and transparent purchase and distribution of medicines, consumables and other products that are necessary for effective delivery of more than one of the three disease  services, (HIV, TB and malaria)    but may also have broader reach to other health outcomes  (e.g. IMCI, TB/HIV, SRHR, comprehensive PMTCT, MNCH). It includes training of PSM personnel, development and implementation of policies and regulations and monitoring mechanisms such as early warning system for stock-outs.</t>
  </si>
  <si>
    <t>Operationalization of PSM system</t>
  </si>
  <si>
    <t>Activities which ensure appropriate storage and distribution of medicines, consumables and other products that are necessary for effective delivery of more than one of the three disease  services, (HIV, TB and malaria)    but may also have broader reach to other health outcomes  (e.g. IMCI, TB/HIV, SRHR, comprehensive PMTCT, MNCH). It includes refurbishing or building of storage facilities, purchase of vehicles and hardware and software for the procurement and supply management system.</t>
  </si>
  <si>
    <t>PSM infrastructure</t>
  </si>
  <si>
    <t xml:space="preserve">Activities that are aimed at improving equitable distribution and retention of skilled and competent health workforce espcially in hard-to-reach areas and serving marginalized populations, which primarily benefit more than one of the three disease outcomes (HIV, TB, malaria)  but may also have broader reach to other health outcomes  (e.g. MNCH, SRHR, etc.); It includes development and implementation of policies for workforce distribution and retention and financial and non-financial incentives for health workers for service delivery and to increase task shifting between them. Those who are engaged in single disease-specific practice, can be supported by relevant disease grant. </t>
  </si>
  <si>
    <t xml:space="preserve">Activities that are aimed at expansion and scaling up of skilled and competent health workforce, which primarily benefit more than one of the three disease outcomes (HIV, TB, malaria)  but may also have broader reach to other health outcomes  (e.g. MNCH, SRHR…).  
Scale-up of multi-disciplinary health workforce (e.g. primary care doctors and nurses, community health workers etc.) is included here. Those who are engaged in single disease-specific practice (e.g. ART clinics), can be supported by relevant disease grant. </t>
  </si>
  <si>
    <t>Scaling up and distribution of  workforce</t>
  </si>
  <si>
    <t>Activities that are aimed to train health workforce in service delivery and provision of care and support, which primarily benefit more than one of the three disease outcomes (HIV, TB, malaria)  but may also have broader reach to other health outcomes  (e.g. MNCH, SRHR, etc.);
It includes training in integrated packages (e.g. IMCI, RMNCH etc.) which cover one or more of HIV, TB, malaria, but may also go beyond the three diseases.
Single disease-specific trainings (e.g. training in new PMTCT guidelines) can be funded by relevant disease grants.</t>
  </si>
  <si>
    <t>Capacity building</t>
  </si>
  <si>
    <t xml:space="preserve">Includes capacity building for  leadership &amp; advocacy for service delivery at the community level; Increasing community awareness of service availability; Community mobilization for equitable access to services;  </t>
  </si>
  <si>
    <t>Increasing demand for health services</t>
  </si>
  <si>
    <t xml:space="preserve">Includes activities that are aimed to improve effectiveness and efficiency of organizational management systems for service delivery such as training healthcare managers at all levels, developing and implementing policies and regulations related to service delivery, organization and management (e.g. referral system, waste management etc.), developing supervision mechanisms for wuality assuance etc. It also includes necessary operational inputs, which primarily benefit more than one of the three disease outcomes (HIV, TB, malaria)  but may also have broader reach to other health outcomes  (e.g. MNCH, SRHR…) at the hospital, primary care and community levels; Similar activities benefitting only one disease may be included in a disease grant. </t>
  </si>
  <si>
    <t xml:space="preserve">Service organization and facility management   </t>
  </si>
  <si>
    <t>This intervention aims to support the scale-up, accessibility, availability and quality of health services including facility and community-level service delivery, such as- upgrading or scaling-up service delivery infrastructure including facilities, equipment, furniture, vehicles etc. It also includes necessary operational inputs that are necessary for uninterrupted seervice delivey. These activities benefit more than one of the three disease outcomes (HIV, TB, malaria), and may also have broader reach to other health outcomes  (e.g. MNCH, SRHR) at the hospital, primary care and community levels. Similar activities benefitting only one disease may be included in a disease grant.  These activities do not include large-scale construction projects (e.g.  building a multi-functional hospital)</t>
  </si>
  <si>
    <t>Infrastructure</t>
  </si>
  <si>
    <t>Includes- Activities at the administrative level outside the point of health care delivery, such as development of national strategic plans and annual operational plans and budgets; oversight, technical assistance and supervision from national to subnational levels; human resource- planning/ staffing and   overheads, operational costs; coordination with district and local authorities; quarterly meetings, training, and office/IT equipment; partnering process including Malaria advocacy and communication carried out by partners and Malaria program; mobilizing leaders to support implementation and sustainability of the program</t>
  </si>
  <si>
    <t>Planning, coordination and management</t>
  </si>
  <si>
    <t>Vital Registration System</t>
  </si>
  <si>
    <t>Includes establishing systems for periodic (annual) reporting on key health administrative and service availability statistics, such as- Health workforce, inventory of health care providers and institutions
National Health Accounts and Malaria sub-accounts; annual review of national malaria program budget and expenditures by funding source; expenditure studies according to WHO-GMP reporting guideline; Establishing and maintaining Logistics Management Information system (LMIS)</t>
  </si>
  <si>
    <t>Administrative and Finance Data Sources</t>
  </si>
  <si>
    <t>Household surveys (e.g. DHS, MICS and MIS) to monitor anemia/ parasitemia prevalence, under-5 mortality and ITN/IRS/IPT/treatment coverage implemented</t>
  </si>
  <si>
    <t>Ananalysis, interpretation and use of data and evidence generated through Malaria program reviews, evaluation of whole or a specific component of the program; development and sharing of quarterly, semi annual or annual reports through websites/ publications;
Operations Research-  specific to any of the components of Maria control program</t>
  </si>
  <si>
    <t>Analysis, Review and Transparency</t>
  </si>
  <si>
    <t>Routine data collection, recording and reporting of out-patients, in-patients and deaths (HMIS, sentinel sites or other systems); microscopy and RDT tests and treatment; reporting on stock-outs; data collection and reporting from other care providers (private, communities and civil society); reporting on ITN/LLIN distribution, IRS; 
printing of reporting forms; training on data entry and reporting; data verification; health facility assessment including quality of services</t>
  </si>
  <si>
    <t xml:space="preserve">Routine Reporting </t>
  </si>
  <si>
    <t>It includes activities (in areas with highly seasonal malaria transmission) related to intermittent administration of full treatment courses of an antimalarial medicine during the malaria season to prevent malarial illness by maintaining therapeutic antimalarial drug concentrations in the blood throughout the period of greatest malarial risk. The activities include procurement of anti-malarials (AQ-SP), pharmacovigilance, drug resistance monitoring, etc.</t>
  </si>
  <si>
    <t>It refers to activities related to administration of a full therapeutic course of sulfadoxine-pyrimethamine delivered through the Expanded Program on immunization (EPI) at defined intervals corresponding to routine vaccination schedules</t>
  </si>
  <si>
    <t>Intermittent Preventive Treatment (IPT) - in Infancy</t>
  </si>
  <si>
    <t xml:space="preserve">Includes procurement and provision of of intermittent preventive treatment with sulfadoxine-pyrimethamine during pregnancy. </t>
  </si>
  <si>
    <t>Intermittent Preventive Treatment (IPT) - in Pregnancy</t>
  </si>
  <si>
    <t>It includes advocacy, communication and social mobilization activities related to malaria case mangement- Preparation of advocacy kits (including kits for CBOs and NGOs); sensitization and mobilisation events targeting the policy makers and key players; periodic multi-media campaigns, radio and TV instructional series, jingles, billboards and community radio, etc.; development and distributtion of IEC materials; training of community health workers and community volunteers on effective BCC and Community Mobilisation on malaria; periodic sensitization meetings for opinion leaders at community and village level.</t>
  </si>
  <si>
    <t>ACSM</t>
  </si>
  <si>
    <t>Private sector case management (other)</t>
  </si>
  <si>
    <t>Private Sector Co-Payment Mechanism</t>
  </si>
  <si>
    <t>Severe Malaria</t>
  </si>
  <si>
    <t>Therapeutic Efficacy Surveillance</t>
  </si>
  <si>
    <t>Active Case Detection and Investigation (malaria elimination phase)</t>
  </si>
  <si>
    <t>Integrated Community Case Management (ICCM)</t>
  </si>
  <si>
    <t>Epidemic preparedness and response</t>
  </si>
  <si>
    <t>Includes activities related to testing and treating malaria cases ranging from procuremnt of diagnositic equipment, rapid diagnostic tests, reagents and anti-malaria drugs, quality assurance of laboratories, training of health care providers and technical assistance.</t>
  </si>
  <si>
    <t>Facility-based Treatment</t>
  </si>
  <si>
    <t>It includes advocacy, communication and social mobilization activities related to vector control- Preparation of advocacy kits (including kits for CBOs and NGOs); sensitization and mobilisation events targeting the policy makers and key players; periodic multi-media campaigns, radio and TV instructional series, jingles, billboards and community radio, etc.; development and distributtion of IEC materials; training of community health workers and community volunteers on effective BCC and Community Mobilisation on malaria; periodic sensitization meetings for opinion leaders at community and village level.</t>
  </si>
  <si>
    <t>Includes activities to determine and characterize the dominant mosquito species in the area, vector density, biting behaviour as well as test mosquitoes' susceptibility to insecticides. The activities range from planning for entomological monitoring and implementation, mosquito collection and testing, procurement of entomological equipment, training, maintenance of insectary, etc.</t>
  </si>
  <si>
    <t>Entomological Monitoring</t>
  </si>
  <si>
    <t>This includes environmental management strategies that can reduce or eliminate vector breeding grounds, through improved design or operation of water resources development projects; and the use of biological controls (e.g. bacterial larvicides and larvivorous fish) that target and kill vector larvae. In addtion it includes chemical larvicides and adulticides that reduce disease transmission by shortening or interrupting the lifespan of vectors.</t>
  </si>
  <si>
    <t>Other Vector Control Measures</t>
  </si>
  <si>
    <t>It includes planning and implementation of Indoor Residual Spraying campaigns as well as enumeration of households to be sprayed. Activities include procurement of insecticides, equipment, other commodities, IEC material for IRS campaigns, trainings, etc.</t>
  </si>
  <si>
    <t>Indoor Residual Spraying (IRS)</t>
  </si>
  <si>
    <t>This intervention encompasses efforts to
start, strengthen or scale up continuous delivery of LLINs through antenatal care (ANC) clinics, the Expanded Programme on Immunization (EPI), or other routine services at public and private health facilities, to sustain high LLIN coverage. It includes activities related to- Coordination and Planning; Training; Logistics; Communication; Supervision, etc.</t>
  </si>
  <si>
    <t>Long-lasting Insecticide-treated Nets (LLIN) - Routine Distribution</t>
  </si>
  <si>
    <t>Includes activities related to planning and implementation of mass LLIN distributions, whether targeted to specific population groups or for universal coverage. It includes coordination, planning and budgeting, procurement, logistics, communication, implementation, training, etc.</t>
  </si>
  <si>
    <t>Long-lasting Insecticide-treated Nets (LLIN) - Mass Campaign</t>
  </si>
  <si>
    <t>Supporting procurement and supply management for TB</t>
  </si>
  <si>
    <t>Grant management</t>
  </si>
  <si>
    <t>Administrative and finance data sources</t>
  </si>
  <si>
    <t>Human rights monitoring and reporting</t>
  </si>
  <si>
    <t>Access to justice</t>
  </si>
  <si>
    <t>Training and capacity-building</t>
  </si>
  <si>
    <t>Collaborative activities with other sectors⃰</t>
  </si>
  <si>
    <t>MDR-TB screening and treatment among high risk groups</t>
  </si>
  <si>
    <t>Engaging communities and civil society (includes Social mobilisation)⃰</t>
  </si>
  <si>
    <t>Engaging all care providers⃰</t>
  </si>
  <si>
    <t>Treatment: MDR-TB</t>
  </si>
  <si>
    <t>Case Detection and Diagnosis: MDR-TB</t>
  </si>
  <si>
    <t>TB/HIV screening and treatment among high risk groups</t>
  </si>
  <si>
    <t xml:space="preserve">TB/HIV collaborative interventions </t>
  </si>
  <si>
    <t>Collaborative activities with other sectors</t>
  </si>
  <si>
    <t>TB screening and treatment among high risk groups</t>
  </si>
  <si>
    <t>Engaging communities and civil society (includes Social mobilisation)</t>
  </si>
  <si>
    <t xml:space="preserve">Engaging all care providers </t>
  </si>
  <si>
    <t xml:space="preserve">Prevention
</t>
  </si>
  <si>
    <t xml:space="preserve">Treatment
</t>
  </si>
  <si>
    <t>Case detection and diagnosis</t>
  </si>
  <si>
    <t>Analysis, Review and transparency</t>
  </si>
  <si>
    <t xml:space="preserve">Routine reporting </t>
  </si>
  <si>
    <t xml:space="preserve">Other interventions for Treatment - Please specify </t>
  </si>
  <si>
    <t>Removing human rights barriers to accessing services - Treatment</t>
  </si>
  <si>
    <t>Community Systems Strengthening - Treatment</t>
  </si>
  <si>
    <t xml:space="preserve">In-patient care </t>
  </si>
  <si>
    <t xml:space="preserve">Out-patient care </t>
  </si>
  <si>
    <t xml:space="preserve">TB/HIV </t>
  </si>
  <si>
    <t xml:space="preserve"> Counselling and Psych-social Support </t>
  </si>
  <si>
    <t>Prevention, Diagnosis and treatment of  Opportunistic Infections</t>
  </si>
  <si>
    <t xml:space="preserve">Treatment   adherence </t>
  </si>
  <si>
    <t xml:space="preserve">Treatment monitoring </t>
  </si>
  <si>
    <t xml:space="preserve">Treatment as prevention </t>
  </si>
  <si>
    <t>Pre and Post-exposure prophylaxis (PrEP and PEP)</t>
  </si>
  <si>
    <t xml:space="preserve">Paediatric multidrug ART after second-line treatment failure </t>
  </si>
  <si>
    <t>Second-line ART – paediatric</t>
  </si>
  <si>
    <t>First-line ART – paediatric</t>
  </si>
  <si>
    <t>Adult multidrug ART after second-line treatment failure</t>
  </si>
  <si>
    <t>Second-line ART – adults</t>
  </si>
  <si>
    <t>First-line ART – adults</t>
  </si>
  <si>
    <t xml:space="preserve">Pre-ART Care </t>
  </si>
  <si>
    <t xml:space="preserve">Other interventions for PMTCT- Please specify </t>
  </si>
  <si>
    <t>Removing human rights barriers to accessing services - PMTCT</t>
  </si>
  <si>
    <t>Community Systems Strengthening - PMTCT</t>
  </si>
  <si>
    <t>Prong 4: Treatment, care and support to mothers living with HIV and their children and families</t>
  </si>
  <si>
    <t xml:space="preserve">Prong 3: Preventing vertical  HIV transmission </t>
  </si>
  <si>
    <t>Prong 2: Preventing unintended pregnancies among women living with HIV</t>
  </si>
  <si>
    <t>Prong 1: Primary prevention of HIV infection among women of childbearing age</t>
  </si>
  <si>
    <t>Removing human rights barriers to accessing services - Prevention adolescents and youth</t>
  </si>
  <si>
    <t>Male Circumcision as part of programs for adolescent and youth</t>
  </si>
  <si>
    <t>HIV testing and Counselling as part of programs for adolescent and youth</t>
  </si>
  <si>
    <t>Adolescents and youth: Behavioural change</t>
  </si>
  <si>
    <t xml:space="preserve">Other interventions for other vulnerable populations - Please specify </t>
  </si>
  <si>
    <t>Removing human rights barriers to accessing services - Prevention other vulnerable populations</t>
  </si>
  <si>
    <t>Community Systems Strengthening - Prevention other vulnerable populations</t>
  </si>
  <si>
    <t>Diagnosis and treatment of STIs as part of programmes for other vulnerable populations</t>
  </si>
  <si>
    <t>HIV testing and Counselling as part of programmes for other vulnerable populations</t>
  </si>
  <si>
    <t xml:space="preserve">Other interventions for IDUs and their partners - Please specify </t>
  </si>
  <si>
    <t>Removing human rights barriers to accessing services - Prevention IDUs and their partners</t>
  </si>
  <si>
    <t>Community Systems Strengthening - Prevention IDUs and their partners</t>
  </si>
  <si>
    <t>Diagnosis and treatment of viral hepatitis as part of programmes for IDUs and their partners</t>
  </si>
  <si>
    <t>Opioid Substitution Therapy and other drug dependence treatment as part of programmes for IDUs and their partners</t>
  </si>
  <si>
    <t>Needle and Syringe exchange as part of programmes for IDUs and their partners</t>
  </si>
  <si>
    <t>Diagnosis and treatment of STIs as part of programmes for IDUs and their partners</t>
  </si>
  <si>
    <t>HIV testing and Counselling as part of programmes for sex workers and their clients</t>
  </si>
  <si>
    <t>Condoms as part of programmes for IDUs and their partners</t>
  </si>
  <si>
    <t xml:space="preserve">Behavioural Change as part of programmes for IDUs and their partners </t>
  </si>
  <si>
    <t xml:space="preserve">Other interventions for sex workers and their clients - Please specify </t>
  </si>
  <si>
    <t>Removing human rights barriers to accessing services - Prevention sex workers and their clients</t>
  </si>
  <si>
    <t>Community Systems Strengthening - Prevention sex workers and their clients</t>
  </si>
  <si>
    <t>Diagnosis and treatment of STIs as part of programmes for sex workers and their clients</t>
  </si>
  <si>
    <t xml:space="preserve">Removing human rights barriers to accessing services - Prevention MSM and TGs </t>
  </si>
  <si>
    <t>Diagnosis and treatment of STIs as part of Programs for MSM and TGs</t>
  </si>
  <si>
    <t>Behavioural Change as part of Programs for MSM and TGs</t>
  </si>
  <si>
    <t xml:space="preserve">Other interventions for General Populations - please specify </t>
  </si>
  <si>
    <t xml:space="preserve">Removing human rights barriers to accessing services - Prevention General Population </t>
  </si>
  <si>
    <t xml:space="preserve">Diagnosis and treatment of STIs as part of programs for General population </t>
  </si>
  <si>
    <t xml:space="preserve">Scope and description of intervention package (includes human resources required under each intervention)  </t>
  </si>
  <si>
    <t>Intervention ru</t>
  </si>
  <si>
    <t>Intervention es</t>
  </si>
  <si>
    <t>Intervention fr</t>
  </si>
  <si>
    <t>Intervention en</t>
  </si>
  <si>
    <t>IntId</t>
  </si>
  <si>
    <t>CovIndId</t>
  </si>
  <si>
    <t>Coverage Indicator en</t>
  </si>
  <si>
    <t>Coverage Indicator fr</t>
  </si>
  <si>
    <t>Coverage Indicator es</t>
  </si>
  <si>
    <t>Coverage Indicator ru</t>
  </si>
  <si>
    <t># of women and men 15-49 who received an HIV test and know their results</t>
  </si>
  <si>
    <t># &amp; % of individuals from the targeted population reached through community outreach with a standardized HIV prevention intervention</t>
  </si>
  <si>
    <t xml:space="preserve">% of men 15-49 that are circumcised </t>
  </si>
  <si>
    <t># &amp; % of MSM reached with HIV prevention programs (defined package of services), report separately for TGs, if applicable</t>
  </si>
  <si>
    <t># &amp; % of MSM reached with individual and/or smaller group-level HIV preventive interventions that are based on evidence and/or meet the minimum standards required, report separately for TGs, if applicable</t>
  </si>
  <si>
    <t># &amp; % of MSM who received an HIV test and who know the results, report separately for TGs, if applicable</t>
  </si>
  <si>
    <t># &amp; % of SWs reached with individual and/or smaller group-level HIV preventive interventions that are based on evidence and/or meet the minimum standards required</t>
  </si>
  <si>
    <t xml:space="preserve"># &amp; % of PWID reached with HIV prevention programs- defined package of services </t>
  </si>
  <si>
    <t># &amp; % of PWID reached with individual and/or smaller group-level HIV preventive interventions that are based on evidence and/or meet the minimum standards required</t>
  </si>
  <si>
    <t xml:space="preserve"># &amp; % of PWID that received an HIV test and who know the results </t>
  </si>
  <si>
    <t># &amp; % of PWID reached with needle and syringe programmes</t>
  </si>
  <si>
    <t>Number of needles and syringes distributed per person who inject drugs per year by needle and syringe programmes</t>
  </si>
  <si>
    <t># &amp; % of PWID on opioid substitution therapy</t>
  </si>
  <si>
    <t xml:space="preserve"># and % of Other Populations (specify) reached with HIV prevention programs- defined package of services </t>
  </si>
  <si>
    <t># &amp; % of Other Populations (specify) reached with individual and/or smaller group-level HIV preventive interventions that are based on evidence and/or meet the minimum standards required</t>
  </si>
  <si>
    <t xml:space="preserve"># and % of Other Populations (specify) that received an HIV test  and who know the results </t>
  </si>
  <si>
    <t># &amp; % of orphaned and vulnerable children aged 0-17 years whose households received free basic external support in caring for the child according to national guidelines</t>
  </si>
  <si>
    <t># &amp; % of young people aged 10-24 years reached by life-skills based HIV education in schools</t>
  </si>
  <si>
    <t xml:space="preserve"># &amp; % of HIV-positive pregnant women who received anti-retrovirals to reduce the risk of mother-to-child transmission </t>
  </si>
  <si>
    <t># &amp; % of pregnant women who know their HIV status</t>
  </si>
  <si>
    <t># &amp; % of infants born to HIV-infected women who receive a virological test for HIV within 2 months of birth</t>
  </si>
  <si>
    <t># &amp; % of eligible adults and children currently receiving antiretroviral therapy (disaggregated by age and sex)</t>
  </si>
  <si>
    <t xml:space="preserve"># &amp; % of health facilities dispensing antiretroviral therapy that have experienced a stock-out of at least one required antiretroviral drug in the last 12 month                                                            </t>
  </si>
  <si>
    <t># &amp; % of adults and children enrolled in HIV care who had TB status assessed and recorded during their last visit during the reporting period among all adults and children enrolled in HIV care and seen for care during the reporting period</t>
  </si>
  <si>
    <t># &amp; % of adults and children newly enrolled in HIV care who start treatment of latent TB infection (IPT)</t>
  </si>
  <si>
    <t xml:space="preserve"># &amp; % of TB patients with known HIV status: TB patients registered during the reporting period who had an HIV test result recorded in the TB register among the total number of TB patients registered during the reporting period </t>
  </si>
  <si>
    <t># &amp; % of HIV-positive TB patients given anti-retroviral therapy during TB treatment</t>
  </si>
  <si>
    <t># &amp; % of reporting units submitting timely reports according to national guidelines</t>
  </si>
  <si>
    <t xml:space="preserve"># of notified cases of bacteriologically confirmed TB </t>
  </si>
  <si>
    <t># of notified cases of all forms of TB  (bacteriologically confirmed plus clinically diagnosed)</t>
  </si>
  <si>
    <t xml:space="preserve"># &amp; % of laboratories performing microscopy that show adequate performance on External Quality Assurance </t>
  </si>
  <si>
    <t># &amp; % of bacteriologically confirmed cases successfully treated (cured plus completed treatment) among the bacteriologically confirmed TB cases registered during a specified period.</t>
  </si>
  <si>
    <t xml:space="preserve"># of children &lt;5 in contact with TB patients who began IPT </t>
  </si>
  <si>
    <t># &amp; % of reporting units (districts or basic management units) reporting no stock-out of first-line anti-TB drugs on the last day of the quarter</t>
  </si>
  <si>
    <t># &amp; % of notified TB cases (all forms) contributed by non NTP providers among all TB cases notified in the PPM implementation areas</t>
  </si>
  <si>
    <t xml:space="preserve"># &amp; % of notified TB cases (all forms) contributed by community health workers and community volunteers among all TB cases notified in the Basic Management Unit </t>
  </si>
  <si>
    <t xml:space="preserve"># &amp; % of adults and children enrolled in HIV care who had TB status assessed and recorded during their last visit during the reporting period among all adults and children enrolled in HIV care and seen for care during the reporting period </t>
  </si>
  <si>
    <t xml:space="preserve"># &amp; % of adults and children newly enrolled in HIV care who start treatment for latent TB infection (isoniazid preventive therapy) among the total number of adults and children newly enrolled in HIV care during the reporting period </t>
  </si>
  <si>
    <t xml:space="preserve"># &amp; % of laboratories showing at least 95% proficiency for isoniazid and rifampicin drug susceptibility testing among the total number of laboratories that undertake drug susceptibility testing during the reporting period </t>
  </si>
  <si>
    <t xml:space="preserve">#  of cases with bacteriologically confirmed drug resistant TB cases (RR-TB and/or MDR-TB) who began second line treatment </t>
  </si>
  <si>
    <t># of presumptive cases of drug-resistant TB (RR-TB and/or MDR-TB) that began second-line treatment</t>
  </si>
  <si>
    <t>Number of ITNs/LLINs distributed to at-risk populations through mass campaigns</t>
  </si>
  <si>
    <t># &amp; % of population at risk potentially covered by ITNs distributed (# &amp; %)</t>
  </si>
  <si>
    <t>Number of ITNs/LLINs distributed to target populations through ANC, EPI etc.</t>
  </si>
  <si>
    <t># &amp; % of targeted risk groups receiving ITNs - pregnant women, children &lt;5, migrants, etc.</t>
  </si>
  <si>
    <t># &amp; % of households in targeted areas that received IRS in the last 12 months</t>
  </si>
  <si>
    <t># &amp; % of population protected by IRS within the last 12 months</t>
  </si>
  <si>
    <t xml:space="preserve"># &amp; % of suspected malaria cases that receive a parasitological test </t>
  </si>
  <si>
    <t># &amp; % of confirmed malaria cases that received first-line antimalarial treatment according to national policy (disaggregated by sex)</t>
  </si>
  <si>
    <t># &amp; % of public sector health facilities or private sector sites without stock-outs of key commodities by month (also report on community health workers with no stock-outs)</t>
  </si>
  <si>
    <t># &amp; % of confirmed cases fully investigated (including case investigation form, focus investigation form and active case detection) (malaria elimination phase)</t>
  </si>
  <si>
    <t xml:space="preserve"># &amp; % of women attending ANC who received at least 3 doses of intermittent preventive treatment </t>
  </si>
  <si>
    <t xml:space="preserve"># &amp; % of reporting units submitting timely reports according to national guidelines </t>
  </si>
  <si>
    <t># &amp; distribution of health facilities per 10,000 population</t>
  </si>
  <si>
    <t>Specific service readiness score for health facilities (to be included in the disease specific modules)</t>
  </si>
  <si>
    <t># of outpatients visits per 10,000 population</t>
  </si>
  <si>
    <t># of health workers per 10,000 population (report on community health workers as applicable)</t>
  </si>
  <si>
    <t>Distribution of health workers (by occupation, specialization, region, sex)</t>
  </si>
  <si>
    <t># of health workers newly recruited at primary health care facilities in the past 12 months, expressed as a percentage of planned recruitment target</t>
  </si>
  <si>
    <t>Annual rate of retention of service providers at primary health care facilities</t>
  </si>
  <si>
    <t>% of health facilities reporting no stock-outs of essential drugs</t>
  </si>
  <si>
    <t># &amp; % of reporting units at the national, provincial or district level submitting timely reports according to national guidelines</t>
  </si>
  <si>
    <t>Government expenditure on health as percentage of general government expenditure</t>
  </si>
  <si>
    <t>OutcIndId</t>
  </si>
  <si>
    <t>Outcome Indicator en</t>
  </si>
  <si>
    <t>Outcome Indicator fr</t>
  </si>
  <si>
    <t>Outcome Indicator es</t>
  </si>
  <si>
    <t>Outcome Indicator ru</t>
  </si>
  <si>
    <t>% of women and men aged 15–49 years who have had more than one sexual partner in the past 12 months (disaggregated by 15-19 and 20-24 age groups)</t>
  </si>
  <si>
    <t>% of women and men aged 15–49 years who have had more than one sexual partner in the past 12 months reporting the use of a condom during their last sexual intercourse (disaggregated by 15-19 and 20-24 age groups)</t>
  </si>
  <si>
    <t>% of men reporting the use of a condom the last time they had anal sex with a male partner</t>
  </si>
  <si>
    <t>% of sex workers reporting use of a condom with their most recent client</t>
  </si>
  <si>
    <t>% of PWID who reported using sterile injecting equipment the last time they injected</t>
  </si>
  <si>
    <t xml:space="preserve">% of other populations (specify) who report the use of a condom at last sexual intercourse </t>
  </si>
  <si>
    <t xml:space="preserve">% of current school attendance among orphans and non-orphans </t>
  </si>
  <si>
    <t>% of adults and children with HIV, known to be on treatment 12 months after initiation of ART (disaggregated by age and sex). Report also for 24 and 36 months</t>
  </si>
  <si>
    <t>Case notification rate per 100,000 population- bacteriologically confirmed (new and relapse cases), (disaggregated by age and sex)</t>
  </si>
  <si>
    <t>Case notification rate of all forms of TB per 100,000 population- bacteriologically confirmed plus clinically diagnosed (disaggregated by age and sex)</t>
  </si>
  <si>
    <t>Treatment success rate- bacteriologically confirmed TB cases (disaggregated by age and sex)</t>
  </si>
  <si>
    <t>Treatment success rate- all forms of TB</t>
  </si>
  <si>
    <t>Notification of MDR-TB: Notified cases of bacteriologically confirmed, drug resistant TB (RR-TB and/or MDR-TB) as a proportion of the estimated MDR TB cases among the notified TB cases (# &amp; %)</t>
  </si>
  <si>
    <t xml:space="preserve">Treatment success rate- MDR-TB </t>
  </si>
  <si>
    <t xml:space="preserve">% of bacteriologically confirmed drug </t>
  </si>
  <si>
    <t>Proportion of population that slept under an ITN the previous night (disaggregated by age, sex, pregnancy status, geographical location)</t>
  </si>
  <si>
    <t>Proportion of households with at least one ITN for every two people and/or sprayed by IRS within the last 12 months</t>
  </si>
  <si>
    <t>Proportion of households with at least one ITN</t>
  </si>
  <si>
    <t>Proportion of households with at least one ITN for every two people</t>
  </si>
  <si>
    <t>% of women attending antenatal care</t>
  </si>
  <si>
    <t xml:space="preserve">% of births attended by skilled birth health professional </t>
  </si>
  <si>
    <t>ImpaIndId</t>
  </si>
  <si>
    <t>Impact Indicator en</t>
  </si>
  <si>
    <t>Impact Indicator fr</t>
  </si>
  <si>
    <t>Impact Indicator es</t>
  </si>
  <si>
    <t>Impact Indicator ru</t>
  </si>
  <si>
    <t>% of young women and men aged 15-24 years who are HIV infected</t>
  </si>
  <si>
    <t>HIV prevalence among 15-49 age group</t>
  </si>
  <si>
    <t>New HIV infections (per 100 person-year population)</t>
  </si>
  <si>
    <t>AIDS related mortality (disaggregated by age and sex)</t>
  </si>
  <si>
    <t>Modelled lives saved based on latest epidemiological data</t>
  </si>
  <si>
    <t xml:space="preserve">Percentage of men who have sex with men who are living with HIV </t>
  </si>
  <si>
    <t xml:space="preserve">Percentage of sex workers who are living with HIV </t>
  </si>
  <si>
    <t>Percentage of people who inject drugs who are living with HIV</t>
  </si>
  <si>
    <t>Percentage of Other Populations (specify) who are living with HIV</t>
  </si>
  <si>
    <t>STI prevalence (key populations, pregnant women, as applicable)</t>
  </si>
  <si>
    <t>% of infants born to HIV infected mothers who are infected</t>
  </si>
  <si>
    <t>TB incidence rate</t>
  </si>
  <si>
    <t xml:space="preserve">MDR prevalence  among new TB patients </t>
  </si>
  <si>
    <t>Modeled lives saved (based on latest epidemiological data)</t>
  </si>
  <si>
    <t xml:space="preserve">Confirmed malaria cases (microscopy or RDT) per 1000 persons per year (disaggregated by sex) </t>
  </si>
  <si>
    <t>Reported malaria cases (disaggregated by sex)</t>
  </si>
  <si>
    <t>Parasite prevalence: Proportion of children aged 6-59 months with malaria infection</t>
  </si>
  <si>
    <t>Inpatient malaria deaths per 100o persons per year</t>
  </si>
  <si>
    <t>Malaria test positivity rate</t>
  </si>
  <si>
    <t>All-cause under-5 mortality rate</t>
  </si>
  <si>
    <t>Under 5 mortality rate per 1000 live births</t>
  </si>
  <si>
    <t xml:space="preserve">Maternal mortality ratio </t>
  </si>
  <si>
    <t>Ratio of household out-of-pocket payments for health to total expenditure on health</t>
  </si>
  <si>
    <t>DataSrcId</t>
  </si>
  <si>
    <t>Data src en</t>
  </si>
  <si>
    <t>Data src fr</t>
  </si>
  <si>
    <t>Data src es</t>
  </si>
  <si>
    <t>Data src ru</t>
  </si>
  <si>
    <t>ИСУЗ</t>
  </si>
  <si>
    <t>Медицинские карты пациентов</t>
  </si>
  <si>
    <t>Сведения о подготовке</t>
  </si>
  <si>
    <t>Отчеты (укажите)</t>
  </si>
  <si>
    <t>Система регистрации актов гражданского состояния с данными о конкретных заболеваниях</t>
  </si>
  <si>
    <t>Операционные исследования</t>
  </si>
  <si>
    <t>Административная отчетная документация</t>
  </si>
  <si>
    <t>Система регистрации и отчетности по ТБ, квартальные отчеты</t>
  </si>
  <si>
    <t xml:space="preserve">Система регистрации и отчетности по ТБ, годовой административный отчет </t>
  </si>
  <si>
    <t>Исследование уровня распространенности ТБ</t>
  </si>
  <si>
    <t>Реестр больных ТБ</t>
  </si>
  <si>
    <t>Реестр лабораторий, занимающихся диагностикой ТБ</t>
  </si>
  <si>
    <t>Медицинская карта больного ТБ</t>
  </si>
  <si>
    <t>Укажите: отчеты, исследования, анкеты и т.п.</t>
  </si>
  <si>
    <t>Системы регистрации актов гражданского состояния</t>
  </si>
  <si>
    <t>Системы надзора</t>
  </si>
  <si>
    <t>Autre rapport,préciser</t>
  </si>
  <si>
    <t>Другой отчет, укажите</t>
  </si>
  <si>
    <t>ModuleId</t>
  </si>
  <si>
    <t xml:space="preserve">Coverage/Output indicator </t>
  </si>
  <si>
    <t>Please describe: 1) overall assumptions used in calculating targets, 2) anticipated rate of scale-up, 3) population size estimates, 4) description of indicator/package of services, 5) data source, 6) other relevant information</t>
  </si>
  <si>
    <t>VEUILLEZ INDIQUER ICI LES HYPOTHÈSES CONCERNANT …</t>
  </si>
  <si>
    <t>PLEASE PROVIDE COST ASSUMPTIONS FOR BUDGET HERE</t>
  </si>
  <si>
    <t>It is not compulsory to provide detailed cost assumptions for the budget, however providing additional information may help to reach a common understanding and agreement between the Principal Recipient and the Global Fund Secretariat and speed up the negotiation process.</t>
  </si>
  <si>
    <t>Summary of requested 3 years of funding by module</t>
  </si>
  <si>
    <t>Indicative budget</t>
  </si>
  <si>
    <t>P1</t>
  </si>
  <si>
    <t>P2</t>
  </si>
  <si>
    <t>P3</t>
  </si>
  <si>
    <t>Row Labels</t>
  </si>
  <si>
    <t>Total / Full</t>
  </si>
  <si>
    <t>Above %</t>
  </si>
  <si>
    <t>Indicative %</t>
  </si>
  <si>
    <t>Full %</t>
  </si>
  <si>
    <t>Full request</t>
  </si>
  <si>
    <t>To refresh the pivot table with latest amounts entered in the Module budgets on the Concept Note sheet, click anywhere on the pivot table and then press Alt + F5.</t>
  </si>
  <si>
    <t>R2C</t>
  </si>
  <si>
    <t>Cov ind row</t>
  </si>
  <si>
    <t>Nbr of ind</t>
  </si>
  <si>
    <t>Start row</t>
  </si>
  <si>
    <t>Please describe: 1) cost assumptions and data sources, 2) key activities, 3) other relevant information. Please differentiate between indicative and above indicative</t>
  </si>
  <si>
    <t>Prevention - General population</t>
  </si>
  <si>
    <t>Prevention - MSM and TGs</t>
  </si>
  <si>
    <t>Prevention - Harm-reduction programmes for injecting drug users (IDUs) and their partners</t>
  </si>
  <si>
    <t>Prevention - Other vulnerable populations (please specify)</t>
  </si>
  <si>
    <t>Prevention - Adolescents and youth -in and out of school</t>
  </si>
  <si>
    <t>Prevention - Sex Workers and their clients</t>
  </si>
  <si>
    <t xml:space="preserve"># &amp; % of SWs reached with HIV prevention programs- defined package of services </t>
  </si>
  <si>
    <t># &amp; % of SWs that received an HIV test and who know the results</t>
  </si>
  <si>
    <t xml:space="preserve"># of TB cases (all forms) notified among high risk groups (e.g. prisons) to the national health authorities during a specified period  </t>
  </si>
  <si>
    <t xml:space="preserve"># of  bacteriologically confirmed drug resistant TB (RR-TB and/or MDR-TB) notified to the national TB program  </t>
  </si>
  <si>
    <t># &amp; % of foci fully investigated (malaria focus investigation form completed, including data from an entomological investigation) and registered (on register, with maps of each focus) (malaria elimination phase)</t>
  </si>
  <si>
    <t>General service readiness score for health facilities</t>
  </si>
  <si>
    <t># &amp; % of deaths registered (as reported by civil or sample registration systems, hospitals, community-based reporting systems) among the total deaths for the same period and geographical region</t>
  </si>
  <si>
    <t>Seasonal Malaria Chemoprevention</t>
  </si>
  <si>
    <t>Retention of workforce</t>
  </si>
  <si>
    <t>Treatment, care and support</t>
  </si>
  <si>
    <t>Ensuring Drug Quality</t>
  </si>
  <si>
    <t>Country has no capacity to determine this at the moment. Thus will require asssitance from WHO and GF</t>
  </si>
  <si>
    <t>101/100000</t>
  </si>
  <si>
    <t>220/100000</t>
  </si>
  <si>
    <t>*The high-risk group are part of the targets reflected under the Case detection and treatment portion of this module.</t>
  </si>
  <si>
    <t>Engaging all care providers</t>
    <phoneticPr fontId="47" type="noConversion"/>
  </si>
  <si>
    <t xml:space="preserve"> </t>
  </si>
  <si>
    <t xml:space="preserve">To be reported by NTP but will not be requested under the NFM. </t>
  </si>
  <si>
    <t xml:space="preserve">Only for New smear positive for baseline. Revised definition to be applied in 2014 </t>
  </si>
  <si>
    <t>Only 6/17 regions have reports. To be reported by NTP but not included in the NFM.</t>
  </si>
  <si>
    <t>The national government will purchase the laboratory supplies needed for the LED-FM and fund the orientation of TB coordinators and laboratory staff on the use and maintenance of the LED-FM and Xpert. UNITAID will provide 10 units of Xpert.  IMPACT project will also assist poor municipalities in their project sites including the  establishment of RSS.</t>
  </si>
  <si>
    <t>Supporting hospital engagement in TB control will lead to the detection of the "missing TB" cases, hence, directly contribute to the targetted number of TB patients.  This is a key activitiy under PhilPACT strategy no. 6 - to engage public and private health care providers in TB control (diagnosis, treatment, counselling). According to the 2007 NPS more than 40% of TB symptomatics consulted the hospitals, both public and private (more than the health centers). Pilot projects such as the WHO-CIDA funded-CATCH TB cases project in the National Capital Region and the USAID-funded SECURE project, both done in 2010 - 2012 provided the evidence that engaging hospital is both feasible and effective.   In NCR, 17 of the 230 engaged hospitals contributed at least 12% of the total notified TB cases in 2012.  As of April 2013, only 26% of 657 targeted public hospitals and 24% of 649 targeted private hospitals had been achieved. Under the Global Fund Phase 2, a total of 361 hospitals of had been engaged as of April 2013. Under the proposed assistance under the NFM,  the capacity of  599 public and private hospitals to be a DOTS providing and referring hospitals from different povinces outside those covered by IMPACT will be improved .  Financing requirements  will be within the indicative funding.  A sub-recipient will be engaged to implement the different key activities under this intervention.</t>
  </si>
  <si>
    <t>USAID-funded IMPACT project  will provide technical support to 157 hospitals from 42 provinces and cities from 2013 - 2017.</t>
  </si>
  <si>
    <t>Case Detection and Diagnosis</t>
  </si>
  <si>
    <t>TB screening and treatment among high risk/vulnerable groups</t>
  </si>
  <si>
    <t>The indicative amount is 50% of the actual cost, DOH NTP will cover the other 50%.</t>
  </si>
  <si>
    <t>Balance</t>
  </si>
  <si>
    <t>Grand Total</t>
  </si>
  <si>
    <t>(FOR ITIS) For infrastructure and other equipments for the use of the IT IS, including production of user's manual and IT IS implementation support (provision of technical assistance and performance monitoring)</t>
  </si>
  <si>
    <t>Survey</t>
  </si>
  <si>
    <t>Available</t>
  </si>
  <si>
    <t xml:space="preserve">e </t>
  </si>
  <si>
    <t>393/100000</t>
  </si>
  <si>
    <t>1000/100000</t>
  </si>
  <si>
    <t>58/100000</t>
  </si>
  <si>
    <t>WHO Global TB Report 2012: 270/100,000</t>
  </si>
  <si>
    <t>WHO Global TB Report 2012: 484/100,000</t>
  </si>
  <si>
    <t>To reduce TB prevalence and mortality beyond 55% by 2016 from the 1990 baseline in support of the Millenium Development Goals for poverty alleviation.</t>
  </si>
  <si>
    <t>Is not measured annually even by the WHO</t>
  </si>
  <si>
    <t>Increase case detection rate for TB all forms from 82% in 2012 to 90% in 2016.</t>
  </si>
  <si>
    <t>Increase Treatment Success Rate for MDR TB from 56% in 2009 to 75% in 2016.</t>
  </si>
  <si>
    <t>Increase MDR TB case detection rate  from 22% in 2012 to 40% of estimated MDR TB cases among the notifed TB cases in 2016.</t>
  </si>
  <si>
    <r>
      <t xml:space="preserve">Sustain Treatment Success Rate for TB all forms at </t>
    </r>
    <r>
      <rPr>
        <sz val="10"/>
        <rFont val="Calibri"/>
        <family val="2"/>
      </rPr>
      <t>≥</t>
    </r>
    <r>
      <rPr>
        <sz val="10"/>
        <rFont val="Arial"/>
        <family val="2"/>
      </rPr>
      <t xml:space="preserve"> 90% in 2016.</t>
    </r>
  </si>
  <si>
    <t>Assumption: 45% of all TB cases are bacteriologically confirmed.                         CNR = Estimated bacteriologically confirmed cases notified/country population x 100,000;                    note: no age disaggregation for relapse cases available</t>
  </si>
  <si>
    <t>Age and sex disaggregation is not part of current reporting system by the NTP and WHO.</t>
  </si>
  <si>
    <t xml:space="preserve">IMPACT TB project also supports capacity building activities for HIV Treatment Hubs in managing PLHIV with TB. </t>
  </si>
  <si>
    <t xml:space="preserve">The country will further strengthen the TB/HIV technical working group which is headed by the Infectious Disease Office of the Department of Health that manages both the National Tuberculosis Control Program and the National AIDS/HIV/STI Prevention and Control Program. 
Referral mechanisms among DOTS facilities, PMDT treatment facilities, Social Hygiene Clinics, treatment hubs and XpertMTB/RIF centers will be established to facilitate prompt diagnosis and treatment for TB HIV co-infection. 
Policies for IPT and referral mechanisms will be formulated to standardized the provision of IPT among PLHIV.
</t>
  </si>
  <si>
    <t xml:space="preserve">To be carried out by the National AIDS STI Prevention and Control Program, source of data will be HIV treatment facilities records and reports. This will not be reported by NTP but to provide the over-all perspective of its implementation, NASPCP will screen 90% of PLHIV for TB.  
The denominator is based from National Epidemiologic Center estimates of Annual cases of HIV+ who are being treated in HIV treatment hubs. </t>
  </si>
  <si>
    <t xml:space="preserve">Numerator is the PhilPACT target which is 80% of the TB cases in Cat A and B areas, MDR enrolment target and DR cases. While the denominator is the total number of TB cases in the same areas assummed at 5% increment annually based from actual performance report of 2010 and 2011.  
Baseline only reflected the accomplishment of NCR. It is low due to the implementation gaps and challenges. With the proposed activities and provision of HIV Kits through the subplan, NTP will cover 100% but per PhilPACT it's 80% perfomance target for registered TB patients counseled and tested on HIV (PICT). Cat A and B DOTS clinics' and PMDT Treament Centers' Nurses and Doctors will be capacitated on PICT as well as Medical Technologists to perform rapid HIV testing. 
Data Source for TB cases tested on HIV is the NTP TB Register in DOTS facilities and CatIV TB register in PMDT facilities. 
</t>
  </si>
  <si>
    <t>No baseline data available. Only anecdotal information. To be funded and reported by NTP and included as one of the new PhilPACT 2014-2016 performance indicator. This will not be included in the NFM.</t>
  </si>
  <si>
    <t>Baseline numbers include all TB cases contributed by hospitals from the CATCH project of WHO-CIDA (17 public hospitals &amp; 7,884 TB cases) and GFATM Phase 2 (124 public &amp; 109 private hospitals with 393 and 647 TB cases respectively), in 2012. Targets will only include hospitals that will be covered by NFM (200 public &amp; 400 private hospitals). For Y1: 260 hospitals will be engaged; Y2: 340 hospitals). Budget for these targets is only for capacity building. Denominator used was nationwide because hospital services are mostly not limited to people residing within the area.</t>
  </si>
  <si>
    <t xml:space="preserve">Baseline numbers include TB cases (all forms) contributed by community nationwide. NFM will deploy 300 health AIDERS covering around 10M population in 300 priority municipalities/cities. All 300 health AIDERS will be hired in Y1. Targets will only include community that will be covered by NFM. Estimated contribution by indicative funding is based on 15% contribution of health AIDERS to case detection in these priority areas. Estimated population of these priority areas are 2014=9991592; 2015=10181433 &amp; 2016=10374880. Only salary and logistics support (e.g. supplies, communication, and transpo) for AIDERS are included in the indicative budget. The budget for training/capacity building of AIDERS is not included as this will be provided by the national government. </t>
  </si>
  <si>
    <t>Baseline data is partial, covering inmates and children only. NTP will report this indicator but it will not be included in the NFM.</t>
  </si>
  <si>
    <t>PMDT</t>
  </si>
  <si>
    <t>ERIC's Computation</t>
  </si>
  <si>
    <t>TB-HIV</t>
  </si>
  <si>
    <t>M&amp;E</t>
  </si>
  <si>
    <t>1) Based on WHO standards, there should be at least 1 DST center for every 10 million population. Since the Philippine population is currently at 90 million and with the presence of existing DST centers still not part of the NTP laboratory network, PhilPACT targets to add 7 DST centers by 2016. Other existing DST centers will become part of the NTP laboratory network by 2016. Over-all, the total number of DST centers by 2016 is enough to cover the whole population.
2) Scale-up rate is based on absorptive capacity of NTRL in conducting proficiency testing. The average duration necessary for DST proficiency is 1 year.
3) 1 DST center for every 10 million population  
4) Definition: Absolute number of DST centers with 95% proficiency in isoniazid and rifampicin DST
5) Data Source: Proficiency Test Result Facility</t>
  </si>
  <si>
    <t xml:space="preserve">1) The National Tuberculosis Program through grants from the Global Fund was able to put roughly 10% MDRTB cases detected under second-line anti-TB treatment from 2010 to 2012 versus the WHO estimates in the same periods. In 2014-2016 the program aims to enroll at least 40% of cases detected by 2016.
2) The porposed indicative targets represents portion of the PhilPACT targets. On the other hand, the above indicative funding will cover for treatment of the whole PhilPACT target  (laboratory follow-ups, drugs, enablers,etc.)
3) Treatment for MDRTB cases detected will be made available across all regions in the country.
4) Approaches identified to address MDR-TB treatment are the following:
     a. Manpower augmentation in various PMDT facilities across the country. These staff will be responsible for delivering different PMDT services in the facility relative to treatment.
     b. Provision of second-line anti-TB drugs and supplies
     c. Provision of ancillary drugs to manage adverse drug reactions
     d. Provision of enablers and other support (hospitalization, surgery, and special diagnostics assistance, milestone incentives, etc.) to patients to improve treatment compliance
     e. Decentralization activities
     f. Interrupter tracing activities 
     g. Establishment of additional PMDT satellite treatment centers and provision of equipment and other budget necessary to ensure smooth operations.
     h. Regular and continuous supervision of treatment facilities </t>
  </si>
  <si>
    <t>1) In order to ensure that existing protocols and standards are being followed, the program aims to capacitate all PMDT health care providers. The program also engages HCPs both from public and private sectors.
2) The following are the strategies under this key intervention:
     a. Capacity buiding of health care providers on PMDT (both on case finding and case holding)
     b. Referral workshops for public and private health care providers
     c. Advocacy to various TB DOTS facilities (hospitals, LGUs, health centers, RHUs, etc.) in the integration of PMDT services in their Basic DOTS services</t>
  </si>
  <si>
    <t xml:space="preserve">PMDT Routine Reporitng includes quarterly moniltoring of treatment facilities (programmatic and logistics), home verification, contract tracing, patient decentralization, and default tracing. </t>
  </si>
  <si>
    <t>Includes PMDT-related costs such as : Payment of Annual GLC Fee, PMDT mid-year and annual assessment &amp; planning</t>
  </si>
  <si>
    <t xml:space="preserve">Relative to TB-HIV Collaboration, annual Joint Program Implementation Reviews will be conducted to consolidate issues and challenges of the collaborative implementation. This will be the venue to evaluate processes and bottlenecks and to come up with strategic action plans. In addition, the mechanism to capture data from both facilities on TB-HIV is to be developed supported by the funding request though establishment of inter-program reporting mechanism.
</t>
  </si>
  <si>
    <t>(FOR TB-HIV Collaboration) Two Operational researches will be conducted:
a. Non-Registered Medical Technologist to do the rapid HIV Testing - this is to explore the capacity of a non-registered MedTech like under board MedTech, nurses, physicians in performing the rapid HIV Testing. Eventually to amend the policy and protocols of the said procedure to improve access for testing. 
b.  Evaluation of the different Models of TB-HIV service delivery to profile the most suited and effecient Models like stand-alone services linked by referral, partially integrated services, one stop shop service</t>
  </si>
  <si>
    <t xml:space="preserve">This item is to support PR-related M&amp;E tasks related to programmatic and financial performance moniotirng and assessment of SRs and SSRs. This also covers for the same for SRs to monitor their SSRs. </t>
  </si>
  <si>
    <t>This item covers for PR and SR related expenses covering budget line items under Planning and Administration and Overhead</t>
  </si>
  <si>
    <t xml:space="preserve">This pertains to HR-related costs for the PR and its SRs to support project implementation. Note that that HR-related costs for PR includes those technical personnel to be seconded in LCP for PMDT and IDO for NTP to augment their staffing requirements.  </t>
  </si>
  <si>
    <t xml:space="preserve">This covers for related infrastructure (renovation, repair, mainenance) and other equipment requirements of the PR and its SRs in implementing the grant. </t>
  </si>
  <si>
    <t xml:space="preserve">M&amp;E </t>
  </si>
  <si>
    <t>Above Indicative</t>
  </si>
  <si>
    <t>Summary By Year</t>
  </si>
  <si>
    <t>AI</t>
  </si>
  <si>
    <t>HIV</t>
  </si>
  <si>
    <t>PM</t>
  </si>
  <si>
    <t>Engaging all care providers</t>
  </si>
  <si>
    <t xml:space="preserve">Based on PhilPACT.Indicative targets is based on estimated cases to be detected using domestic funding and additional cases to be contributed by hospitals and community. Above indicative target would result to 85%, 87% and 90% of CDR for 2014, 2015 and 2016 respectively.  Estimated Pop'n: 2014: 101,165, 300    2015: 102,965,300   2016: 106,156,640  Estimated Incidence Rate: 2014: 255   2015: 251   2016: 246   </t>
  </si>
  <si>
    <t>Based on PhilPACT. Assumption: 45% of all TB cases are bacteriologically  &amp; confirmed.  For the above indicative, additionality is 763 (1%), 1131 (1%) and 4257 (4%) to achive annual target.</t>
  </si>
  <si>
    <t/>
  </si>
  <si>
    <t>1) Over-all assumptions for the target is based on the WHO estimates on the number of MDRTB in the country (2003 DRS survey result: 4% among the new cases and 21 % among retreatment cases). The total estimates for MDRTB serves as the denominator for the target. The indicative target is portion of the total estimates and was determined considering available indicative funding from NFM and other technical assistance coming from other funding sources (USAID, KOFIH, etc.)
2) The anticipated rate of scale-up is also based on the available indicative funding. For the above indicative targets, scale-up is based on the targets set in the enhanced PhilPACT (National Strategic Plan). 
3) For the detailed computation of the targets, please refer to ANNEX A2.1 on the TB Estimates. 
4) Definition of the target: Absolute number of bacteriologically confirmed RRTB/MDRTB/XDRTB/Poly-resistant/Mono-resistant TB notified through gene expert/MGIT/LPA/ solid and liquid DST (based on screening cohort)
5) Data sources: DRTB Laboratory Registry and/or DRTB Symptomatics Masterlist</t>
  </si>
  <si>
    <t>Prog Mgt</t>
  </si>
  <si>
    <t xml:space="preserve">The country has reached 82% of CDR in 2012. To saturate and get the remaining "missing" cases, a more intensified and population specific approach is needed and one of this is improving access to diagnostic and treatment services among the vulnerable population, specifically the poor and people in geographically isolated and disadvantaged areas (GIDA). This is linked to PhilPACT strategy no. 5 - address MDR-TB, TB/HIV and needs of the vulnerable populations.  
Reducing poverty is a major goal of the government. The National Commission on Poverty Reduction issued a circular that listed 609 "poor municiplalities and cities" where all interventions must converge to achieve greater impact to 
poverty. One key approach by the government is by providing conditional cash transfers (CCT) to about 3.9 million poor Filipinos.  
As part of the country’s effort to achieve universal health care, this year, DOH also deployed 22,500 nurses and midwives called RN HEALS to various government health facilities. More than half of them were assigned in health centers from CCT areas and poor cities/municipalities. One of their functions is to organize the community health teams (CHTs) in these areas. 
Under the proposed GF support, Health AIDERS (accelerating implementation of DOTS enhancements to reach special populations) will be deployed to the  300 "poor municipalities and cities" (50% of total poor municipalities/cities nationwide) with GIDA areas, from 32 provinces with around 10 million population (approx. 10% of total country's population). 
Health AIDERS roles and functions are specific for TB, and will compliment with that of the RN HEALS and CHTs. Health AIDERS activities will focus to improve access to TB care by the urban/rural poor and GIDA areas through strengthening the capability of CHTs to identify and refer TB suspects to health centers, work with existing community organizations or NGOs in the area, assist NTP in the establishment of remote smearing station (RSS), conducting community health education on TB, and supervising volunteers doing DOT. These will not only increase case detection in the area, but will address the equity and human rights issues as well.  
To ensure that the interventions and services established by AIDERS are sustained and mainstreamed after 3 years, the following sustainability measures will be implemented, the project will: advocate to local officials to absorb the health AIDERS later, or sharing of staff cost between municipalities under the inter-local convergence zone initiative; and will tap existing community groups or NGOs working in the area at the onset, where TB information, early identification of TB suspects, and referral process will be introduced in their activities. The PR in collaboration with the NTP and the Health Human Resource Development Bureau of DOH, will be in charge of hiring and deployment of the health AIDERS. It will also work closely the municipal/city health office and the local social welfare and development office of the LGU. </t>
  </si>
  <si>
    <t xml:space="preserve">The RSS, which will be established in 263 GIDA areas identified by DOH, and within the 300 municipalities, is intended to build the skills of health volunteers, including CHTs to collect sputum specimens, fix them and send to microscopy centers.  USAID-supported IMPACT project will provide technical support in increasing access to TB services by the urban poor and establishment of the RSS. RIT/JATA is currently 
helping urban poor in two areas of the NCR. Nurses and midwives under the RN HEALS program of DOH are considered as pre-service trainees for one (1) year only. CHT is composed of a leader (nurse or midwife) and 4 members mainly volunteers that periodically visits households and provide health information, counseling, treatment and immunization packages and other health services.  
   </t>
  </si>
  <si>
    <t>1. The Philippines has a high TB prevalence but low level epidemic state for HIV. However, the National Epidemiology Center of the Department of Health in-charge of conducting the Integrated HIV Behavioral and Serologic Surveilance classified the different areas of the country into Categories A, B and C where, Cat A areas are areas with the highest HIV cases, the fastest HIV transmission due  to  continued practice of  multiple high risk  behaviors and the greatest  risk  for spreading the infection to other  areas in the Philippines  because of urbanization. Category B on the other hand, have been  reporting a steady increase in number of newly diagnosed  HIV cases compared  to previous  years. HIV prevalence  is still low.  However, these areas are adjacent, in close proximity to  or have direct  transport routes to Category A areas. An HIV epidemic will  most  likely occur sometime soon if interventions are not in place and high risk behaviors are sustained. Investing in both Category A and B areas would be the most cost-efficient and beneficial to the country.
2. TB HIV collaboration is part of Strategy 5 of the Philippine Plan of Action to Control Tuberculosis and supported by a DOH Adminstrative order 2008 0022. 
3. The initiative will be implemented in Category A  (22 areas ) and B (18 areas), all PMDT treatment facilities, Social Hygiene Clinics and Treatment hubs. All other areas will be covered through provision of information regarding benifits of HIV testing which will be conducted by the Social Hygiene Clinics supported
 by National AIDS/STI/HIV Prevention and Control Program.
4. Screening for HIV among registered TB patients will be conducted in the DOTS facilities and PMDT treatment facilities. HIV positive cases will be referred to treatment hubs for co-manangement. ARV will be provided by the NASPCP. 
On the other hand, TB screening and treatment among PLHIV will be conducted by the Social Hygiene Clinics and Treatment hubs or will be referred to DOTS/PMDT treatment facilities for co-management. Anti-TB drugs including IPT will be provided by NTP. 
With all the activities identified to strenghten the TB HIV collaboration in the country, the budget allocated is insufficient to implement such activites.</t>
  </si>
  <si>
    <r>
      <t xml:space="preserve">1) 100% of all notified cases should be put on treatment. Since the budget is anchored on the number of patients put on treatment, the number of notified cases was also based on it to ensure that every notified case has allocated budget for treatment. Therefore, for budgeting purposes, notified cases should be equal to target for enrollment
2) The anticipated rate of scale-up is also based on the available indicative funding and the absorptive capacity of existing treatment facilties. For the above indicative targets, scale-up is based on the targets set in the enhanced PhilPACT (National Strategic Plan). 
3) For the detailed computation of the targets, </t>
    </r>
    <r>
      <rPr>
        <sz val="10"/>
        <rFont val="Arial"/>
        <family val="2"/>
      </rPr>
      <t>please refer to ANNEX 6: TB Estimates. 
4) Definition of the target: Absolute number of bacteriologically confirmed RRTB/MDRTB/XDRTB/Poly-resistant/Mono-resistant TB enrolled for treatment through gene expert/MGIT/LPA/ solid and liquid DST (based on enrollment cohort)
5) Data sources: CatIV Registry</t>
    </r>
  </si>
  <si>
    <t>Increasing access to TB laboratory tests will directly lead to more TB patients detected and put into treatment, thus, achieving the targetted number of TB patients of the country.  This intervention is under PhilPACT strategy no. 6  -  to make available quality TB diagnostic tests and drugs.  Key approaches will be to provide a microscope that is more sentive like LED-FM. Currently, there are 2,565 TB microscopy centers in the country.  With the engagement of more hospitals, both public and private, and advocacy to LGUs to establish  more TB microscopy centers specially in the cities, there is a need for more TB diagnostic equipment.  The current protocol calls for x-ray examination which is less specific, thus, leading to misdiagnosis. The LED-FM will be provided to DOTS facilities with high laboratory workload like the hospitals and big health centers, hence, more patients will be served with a shorter turn around time.  Under the indicative budget 113 LED-FM will be included.  For the above indicative budget, 287 more LED-FM and additional Xpert cartridges will be purchased for detection of TB among vulenrable groups (TB-HIV, children and inbmates).   The National TB Reference Laboratory of the Research Intitute of Tropical Medicine-DOH will lead the implementation of this intervention under  the NTP guidance.</t>
  </si>
  <si>
    <t xml:space="preserve">One of the reasons identified in the increasing number of MDR-TB patient default rate is the acccessibility of the treatment facilities. An ongoing effort in the current grant is identifying community-based health volunteers to be trained to support the PMDT treatment facility (STC/TS) in default tracing and contact training. BY the end of 2013, all current facilities would have 1-3 CHVs. Under the NFM, CHV will still be tained aligned with the scale up of STC/TS. 
</t>
  </si>
  <si>
    <t>1) The case detection of MDRTB is one aspect of the National Tuberculosis Program which is not met due to unavailability of funding sources in the country. 2012 data reflects case detection of MDR-TB only at 17.4% versus the WHO estimates on the number of MDR-TB in the same year. The support from GF would ensure access for diagnosis of MDRTB suspects.
2) The PhilPACT (National Strategic Plan) targets to cover 30%, 35%, 40% of the case detection in 2014, 2015, and 2016 respectively. Portion of this country target is proposed as indicative target under the Global Fund project. The whole country target per PhilPACT is covered under the proposed above indicative funding.
3) The program aims to detect cases among the notified cases among new and retreatment prioritizing high risk groups (PLHIV, inmates, PLWD, elderly, children, etc). The program is being implemented across all regions in the country.
4) The following are the strategies and approaches identified under case detection and diagnosis:
     a. Manpower augmentation across all PMDT laboratories
     b. Procurement of gene expert machines and cartridges
     c. Procurement of commodities necessary to conduct various laboratory tests for case detection (DSSM, TB culture, DST, MGIT, LPA)
     d. Provision of assistance to MDR TB suspects to facilitate screening and detection as well as for contact tracing
     e. Maintenance of laboratory equipment</t>
  </si>
  <si>
    <t>No baseline data for this indicator. The targets herein is 0.1% of TB patients tested for HIV that will be reactive/confirmed for HIV,  based from WHO Global TB Report 2012. (e.g 47 is 0.1% of 46,660). Data source will be TB Registry and CatIV Registry</t>
  </si>
  <si>
    <t>Corresponds to 85%, 87% and 90% of CDR for 2014, 2015 and 2016 respectively.  CNR=Estimated all forms TB cases notified/total population x 100,000;  baseline is higher than 2014-2016 targets because the reduction rate in the incidence is higher than population growth rate. Estimated Pop'n: 2014: 101,165, 300    2015: 102,965,300   2016: 106,156,640. Estimated Incidence Rate: 2014: 255   2015: 251   2016: 246 
NOTE:  no age disaggregation for relapse cases available</t>
  </si>
  <si>
    <t>Expenses covered here are related cost for building the capability of 200 public hospitals and 400 private hospitals on DOTS provision. Three participants (Essentially representing the core team) for each hospital will undergo basic 4-day DOTS training and 15 (public) to 20 (private) hospital healthcare workers from each hospital will undergo 1-day Hospital-based DOTS Providers Training.  Around 36 batched of basic DOTS training and 260 batches of DOTS providers training will be conducted. Cost Assumptions are based on PBSP standard rates: Land transportation is pegged at USD 24 per pax, while air transpo for trainers is at USD 195/pax. Participants’ full board and lodging is as USD 51/pax/day. Training kits are pegged at USD 8/pax. Each hospital will also be supported in their 2-day operations planning in integrating DOTS services into the hospital which will be conducted with around 36 batches. All target hospitals will be engaged within 2 years. The 3rd year will essentially be monitoring performance of the hospitals and cost is under the M&amp;E Module.
FULL cost assumptions in Annex 4.3A</t>
  </si>
  <si>
    <t>Expenses covered herein the 3-day training for community health volunteers among the new PMDT TS that will be newly established. It estimated that each TS will have 1-3 CHVs and under the NFM, 3 batches of 50 CHV will be done to train a total of 150 PMDT CHVs to support TS. Costs Assumptions here USD 49/day/pax for meals USD 23/pax for land transportation and  USD 186/trainer for air transportation.
FULL costing in Annex 4.3B</t>
  </si>
  <si>
    <t>Cost assumptions were based on the prevailing rates on conduct of meetings (venue, meals and transportation expenses)  include meetings and coordinations of both TB and HIV Programs for the collaborative interventions. There will be development of Cross-Referral System Workshops in consultation with the different key implementers. This referral mechanism will be anchored on the review of the different set-ups of the treament facilities. There will be capacity building of 20 HIV Treatment Hubs to adopt the TB Infection control of NTP.
Key activities are mostly coordination and dissemination of policies and updates on inter-program implementation. Also included is the development of IPT guideline.
FULL costing in Annex 4.3 C</t>
  </si>
  <si>
    <t>Drug Warehouse monthly monitoring by 2 staff @ USD40/visit; monthly monitoring of all TxC by 3 staff @ USD 20/person/visit; quarterly monitoring of STCs by 3 staff @ USD20/person/visit; contact tracing @ USD 5/contact; bi monthly patient home verification, patient decentralization and default tracing by 2 staff @ USD 30/staff/activity.
FULL costing in Annex 4.3 B under M&amp;E</t>
  </si>
  <si>
    <t>Relative to the implementation of the Hospital-based DOTS Initiative is the need to capture data of TB cases detected and treated by hospitals. While the NTP requires quarterly submssion of the reports, there is a need for project to support collection and improvement of recording and reporting systems among participating public and private hospitals. Based on the previous grant, this is implemented successfully and more cost-efficiently with the annual Project Impmenetation Review (PIR)</t>
  </si>
  <si>
    <t>Unit cost used in this  cost assumptions were based from the previous approved grant. Key activities are: Initial hospital management to do rapid self assessment, Referral systems strengthening to monitor performance of each engaged hospitals and to do mentoring and coaching. Project Performance Review, will be the venue to consolidate challenges and implementation gaps, with the aim to come up with a strategic plan to address gaps and improve implementation. Year 1 PIR will be attended by 100 public and 200 private hospitals, while in Y2 and Y3, 200 and 400 hospitals will be attending respectively. The PIRs will be done by island regions, usually for 3 days. The cost for each participant is usually at USD 277.
FULL costing in Annex 4.3C</t>
  </si>
  <si>
    <t>To help further improve the PMDT approach in the country, PMDT-related studies will be comissioned to look into topics relating to: 
1. Community-Based/Home-based care for PMDT
2 Enabler Functionality
3. Sustainability Models for PMDT facilities and 
4. Efective models for reducing default</t>
  </si>
  <si>
    <t xml:space="preserve">These PMDT-related researches/ studies will be subcontracted through competitive bidding. The budget therefore was based similar commissioned contracts by PBSP in 2012. The pegged cost per study is around U$24,390, whereby 20-30% for professional fees, 50-60% for operating expenses conducting the research, 10-20% for production and dissemination of findings. 
</t>
  </si>
  <si>
    <t>Annually, PMDT conducts 3-day PIRS for both the clinics and laboratories. Cost per participant is at USD 277 covering meals and accommodation for the entire event.  Airfare is @ USD 150.  PMDT Clinic PIRS are usually attended by 200 people and 100 people for Lab PIRs. 
The cost for GLC annual fee is USD 50,000</t>
  </si>
  <si>
    <t xml:space="preserve">Cost herein includes (1) hiring of 10 personnel to support development, piloting and conduct of training on IT IS during the roll-out and rates are aligned with their government employee counter-parts; (2) Procurement of server-related hardware to support the development and maintenance of the IT IS server and costs are based on canvass; (3) IT IS User’s manuals and briefers will also be produced @ USD 7; (4) monthly coaching and monitoring of end-users pegged @ USD 20/staff/day with logistics cost for air travel @ USD 150 and accommodations @USD 41/day. HR cost details can be seen in Annex 4.3D-HR for ITIS and cost details for 2-5 in Annex 4.3D-NHSS    </t>
  </si>
  <si>
    <t>This reflects related cost in the conduct of  annual program Implementation review for TB-HIV Collaboration, participated by representatives from the PMDT facilities and HIV treatment facilities. The budget covers for 100 participants and runs for 3 days and the average cost per participant is USD 160 for the  and those requiring airfare @ USD 150 round trip.
FULL costing is in Annex 4.3 C</t>
  </si>
  <si>
    <t>Expenses under this item essentially covers PR and SR costs for procurement of office equipments (for replacement and for new SRs) , office renovation and monthly repair budget. It also includes procurement related cost (warehousing fees, freight, fixed assets insurances). Cost details in Annex 4.3D-PR and SR</t>
  </si>
  <si>
    <t>This includes all routine (programmatic/financial) monitoring and reporting done by the PR and its 4 SRs  in prepration of progress updates for the GF. Full cost details is in Annex 4.3D - PR and SR M&amp;E sections</t>
  </si>
  <si>
    <t>The DOH-IMS will procure computers for all RHUs for use in DOH IS, inclduing the IT IS. Cost for IT IS training will be via NTP and USAID/IMPACT (in their project sites)</t>
  </si>
  <si>
    <t>This pertains to the cost of the operations researches to be conducted under the TB-HIV module which will be subcontracted thorugh competitive bidding. The usual cost parameters will be 20-30% for professional fees, 50-60% for operating expenses on the research and 10-20% for reproduction and dissemination of findings.
Full cost details in Annex 4.3 C</t>
  </si>
  <si>
    <t>4. For the PR, costs included herein are (1) Technical Management Assistance budget for the NTP (on Org development, Logistics Management, Preparation for the National Prevalence Survey 2017, and Operations research) , SRs (on organizational systems strengthening based on results of SR assessment and audit) , NTRL (Laboratory Management). This is usually engagement of short term consultants with rates ranging from USD 100 – 240/day; (2) Cost of training for SRs (on PDIME, Risk Management, use of e-TRAMS, and Financial Management) PR staff development trainings related to function and limited international trainings for specialists; (3) Production of project collaterals like annual project reports, documentation of best practices and support to NTP communication activities; (4) Monthly SR financial and programmatic monitoring &amp; contract compliance monitoring, semi-annual internal audit reviews, OSDV costs and semi-annual project implementation reviews; (5) Commissioning of PR and SR annual external audit: (6) Conduct of special studies on sustainability and project technical needs;  (7) Planning and administration costs to include SR selection and orientation, annual project operations planning, bi-monthly operations meetings, quarterly PR-SR meetings, annual fixed assets registry monitoring &amp; updating, and other related expenses (Office supplies, gasoline and related transportation fees, legal, bank charges, etc.) and (8) overheads (internet and communication, freight and messenerial, office rental fees, reproduction costs, vehicle insurances, security and maintenance). All cost units herein are based on actual cost. For the SRs, its essentially number 7 and 8. FULL details can be seen in Annex 4.3D – PR &amp; SR Costs.</t>
  </si>
  <si>
    <t>TBD</t>
  </si>
  <si>
    <t xml:space="preserve">Baseline has yet to be determined. There is policy that supports the practice, but implementation is not consistent. Both NTP and NASPCP will map out implementation to determine baseline by end of 2013. The targets will be revised thereafter. Note that 50% is an agreed upon target by both NTP and NASPCP. This intervention will be carried out by the National AIDS STI Prevention and Control Program, source of data will be HIV treatment facilities records and reports. This will not be reported by NTP but to provide the over-all perspective of its implementation, NASPCP will start IPT to at least 50% of new HIV cases. Denominator is based from the NEC estimates of Annual cases of HIV+ who are being treated in HIV Treatment Hubs. There are trainings to be conducted and part of it will be discussing the policy and practice in using IPT. This will be done nationwide in all treatment hubs. </t>
  </si>
  <si>
    <t>TOTAL</t>
  </si>
  <si>
    <t>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PMDT Training of Trainers = 50 participants X 5 days
Basic Course for Referring Physicians = 1500 participants X 1day
PMDT Training for Physician's and Nurses = 1500 participants X 5 days
PMDT Training for CHTs = 1500 participants X 1 day
PMDT Staff Training = 75 participants X 25 days
Training for Hospital Doctors= 150 participants X 3days
For Above Indicative, additional 3 health care workers for 15 STCs will be trained to support increase in patients to be managed. Unit cost for trainings will be the same as in the indicative budget.
FULL costing in Annex 4.3B</t>
  </si>
  <si>
    <t>1) Case detection targets were based on WHO estimates
2) For number of MDRTB for screening: For every 6 suspects screened 1 turns out as MDR-TB. Thus, under the indicative budget, 9406 X 6 = 56,436 DRTB suspects for screening. Unit Cost for utilization per specimen are based on prevailing rates:
Gene expert cartridge is U$11.5
DSSM = U$5
Blood Chem= U$70
X-ray = U$5
Cost of Gene Expert machine = 140 units X U$19200
3) 30% of screened suspects will undergo TB culture and DST
TB Culture = U$23
DST= U$16
4) Cost assumptions for service fees per laboratory test were based on existing lab. cost. This is essentially 9406 patients x 10 average culture tests at USD 23.
5) Additional 3,804 patients for case detection on top of the 9,406 as above indicative target. The same will use the same cost assumptions as reflected in #2 and 3.
6) Manpower augmentation at the laboratories comprises of 54 medical technologists and 30 laboratory aides following standard rates of the facility. Total HR cost at U$1.4M for 3 years
FULL cost assumptions in Annex 4.3B</t>
  </si>
  <si>
    <t xml:space="preserve"> Cost assumptions were based on prevailing rate of HIV individual test kit of $1.75 to screen 97, 910 registered TB patients of Cat A and B DOTS facilities and enrolled MDR TB Patients in all PMDT Facilities based on 2012 actual report and assumed a yearly 5% increment. Procurement of the 2/3 of the total number of HIV test Kits (1/3 will be care of DOH-NTP). Proposed cost will also cover for the training activities of the HIV Treatment Hubs staffs to be capacitated on TB management amongst PLHIV as well as HIV proficiency testing for 120 Medical Technologists both were based on historical costs implementing training activities. Provision of baseline HIV screening for those TB patients who resulted positive for HIV assumed at .05% of the target registered TB patients costed based on the prevailing rate of liver function test $48.78 per patient. There will be development and reproduction of TB-HIV specific IEC materials for
 500 TB and HIV facilities costed at the minimum of $121.95 based on historical reproduction of IEC TB materials.
Key activities inludes Cat A and B DOTS and all PMDT treamtent facilities' nurses and doctors capacitated to do Provider Initiated Counseling and Testing PICT. As well as Medical Technologists of TB laboratories will be capacitated to do rapid HIV testing among registered TB patients. HIV Treatment Hubs and Social Hygiene clinics will be trained to do TB screening among PLHIV and will refer TB symptomatics for GeneExpert testing. Categorization of areas were based from NEC's assessment on:
1.Size estimates of the Most At-Risk Population
2. Number of Newly Diagnosed HIV case
3.HIV Prevalence and Behavioral Risk Factors
and others. Cat A and B Areas are defined as highiest HIV cases and fastest transmission. 
FULL costing in Annex 4.3 C</t>
  </si>
  <si>
    <t>WHO Global TB Report 2012: 29/100,000</t>
  </si>
  <si>
    <t>≥90%</t>
  </si>
  <si>
    <t>Estimated MDR TB cases based on the 2003 DRS Survey (4% among new and 21% among retreatment): 11,469    2014: 12,225   2015: 12,472    2016: 12,942</t>
  </si>
  <si>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staffing is 38 more than the PR manning in the current grant. This is due to the NGM implementation arrangement, whereby the PR will fucntion as fiduciary agent for IDO-NTP, IMS, NTRL and LCP to facilitate efficient fund management. This is also beause PR will facilitate hiring and management of the 300 AIDERS to be deployed nationwide. This also reflects PR beefing up its finance and audit team for improved financial management and accounting . The NFM will also support 23 core personnel of PBSP ( 19 under the current grant) and will still be compensated based on Level of Effort.  The PR will also engage and second technical personnel to LCP (4), IDO (8) and CHDs (17) to augment manpower to guarantee smooth NTP management and supervision as the direction of the NTP in the next 3 years is intensifying (DOTS) and scaling-up (PMDT).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A comparative staffing plan of the current grant and the NFM is also attached as Annex 7.      </t>
  </si>
  <si>
    <t>Above Indicative %</t>
  </si>
  <si>
    <t>MDT-TB package</t>
  </si>
  <si>
    <t>TB-HIV package</t>
  </si>
  <si>
    <t>Summary of requested 3 years of funding by year</t>
  </si>
  <si>
    <t>Total</t>
  </si>
  <si>
    <t>MDR-TB</t>
  </si>
  <si>
    <t>Full Request</t>
  </si>
  <si>
    <r>
      <t xml:space="preserve">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t>
    </r>
    <r>
      <rPr>
        <sz val="10"/>
        <rFont val="Arial"/>
        <family val="2"/>
      </rPr>
      <t>$446 per month for 30 months (2.5 years only as 0.5 years will be recruitment anticipating delayed grant signing), and 
(b) logistics support per AIDER at $71 per month for 30 months. 
Key activities will be (a) case finding and case holding; (2) profiling of the poor municipalities, (b) development of guidelines, (c) recruitment and training of health AIDERS, (d) provision of logistics support, and (f) monitoring.
FULL cost assumptions in Annex 4.3A</t>
    </r>
  </si>
  <si>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
(a) Cost of 113 LED-FM at $</t>
    </r>
    <r>
      <rPr>
        <b/>
        <sz val="10"/>
        <rFont val="Arial"/>
        <family val="2"/>
      </rPr>
      <t>2,136</t>
    </r>
    <r>
      <rPr>
        <sz val="10"/>
        <rFont val="Arial"/>
        <family val="2"/>
      </rPr>
      <t xml:space="preserve"> per unit (FIND Costing) plus 25% (freight, insurance and Procurement Agent Fees) 
(b) Maintenance cost of LED-FM per unit per year at $333.66 
Above indicative FR will be purchase and maintenance of additional 287 LED-FM (out of total targeted 400 LED-FM units) @ USD 2,136 per microscope with USD 334 annual maintenance cost for each.
FULL cost assumptions in Annex 4.3A </t>
    </r>
  </si>
  <si>
    <t xml:space="preserve">1)100% of cases detected should be put on treatment
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U$2200. total ancillary for the patients is at USD 380,000
3) Health and non-health equipment for 15 expansion sites is @ U$3500 per site.
4) Patient enabler and other support is based on approved ceiling per Phase 2 grant. Cost for enabler is at U$750 per patient for the entire duration of the treatment.
5)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
6) PSMC for drugs and equipments roughly account to USD 2M and nonhealth equipments @ USD 42,000
7) special diagnostics for 6% of patients costed at USD 120 per consultation X 36 patients x 17 regions
For above indicative funding, additional3,804 patients for treatment and establishment of additional 15 satellite treatment center in the 2014-2016. The same unit costs applies as reflected in #2,3,4,6 &amp; 7: Part of the cost is also cost for training 3-4 staff from each of the 15 additional expansion sites on PMDT management.
FULL costing in Annex 4.3B
</t>
  </si>
  <si>
    <t>1994 
(17.4%)</t>
  </si>
  <si>
    <t>2700 
(22.3%)</t>
  </si>
  <si>
    <t>3097 
(24.8%)</t>
  </si>
  <si>
    <t>3609  
(28%)</t>
  </si>
  <si>
    <t>N/A</t>
  </si>
  <si>
    <t xml:space="preserve">The assumption is by 2016, we will reach 75% treatment success rate.  Targets are 2014-2015-2016 cohorts.    </t>
  </si>
  <si>
    <t xml:space="preserve">Note that the SLD budget being requested  for 2014-2016 is at 90% from the NFM. </t>
  </si>
  <si>
    <t>% of Full Request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</si>
</sst>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quot;$&quot;* #,##0.00_-;_-&quot;$&quot;* &quot;-&quot;??_-;_-@_-"/>
    <numFmt numFmtId="43" formatCode="_-* #,##0.00_-;\-* #,##0.00_-;_-* &quot;-&quot;??_-;_-@_-"/>
    <numFmt numFmtId="164" formatCode="_(* #,##0.00_);_(* \(#,##0.00\);_(* &quot;-&quot;??_);_(@_)"/>
    <numFmt numFmtId="165" formatCode="_(&quot;$&quot;* #,##0.00_);_(&quot;$&quot;* \(#,##0.00\);_(&quot;$&quot;* &quot;-&quot;??_);_(@_)"/>
    <numFmt numFmtId="166" formatCode="[$-409]d\-mmm\-yy;@"/>
    <numFmt numFmtId="167" formatCode="0.0%"/>
    <numFmt numFmtId="168" formatCode="_(* #,##0_);_(* \(#,##0\);_(* &quot;-&quot;??_);_(@_)"/>
  </numFmts>
  <fonts count="59"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12"/>
      <name val="Arial"/>
      <family val="2"/>
    </font>
    <font>
      <sz val="11"/>
      <name val="Arial"/>
      <family val="2"/>
    </font>
    <font>
      <sz val="14"/>
      <name val="Arial"/>
      <family val="2"/>
    </font>
    <font>
      <b/>
      <sz val="11"/>
      <name val="Arial"/>
      <family val="2"/>
    </font>
    <font>
      <b/>
      <sz val="12"/>
      <name val="Arial"/>
      <family val="2"/>
    </font>
    <font>
      <b/>
      <sz val="10"/>
      <name val="Arial"/>
      <family val="2"/>
    </font>
    <font>
      <b/>
      <sz val="14"/>
      <name val="Arial"/>
      <family val="2"/>
    </font>
    <font>
      <sz val="10"/>
      <name val="Arial"/>
      <family val="2"/>
    </font>
    <font>
      <i/>
      <sz val="10"/>
      <name val="Arial"/>
      <family val="2"/>
    </font>
    <font>
      <sz val="9"/>
      <color indexed="81"/>
      <name val="Tahoma"/>
      <family val="2"/>
    </font>
    <font>
      <b/>
      <sz val="9"/>
      <name val="Arial"/>
      <family val="2"/>
    </font>
    <font>
      <b/>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rgb="FF000000"/>
      <name val="Arial"/>
      <family val="2"/>
    </font>
    <font>
      <sz val="10"/>
      <color theme="1"/>
      <name val="Calibri"/>
      <family val="2"/>
      <scheme val="minor"/>
    </font>
    <font>
      <b/>
      <sz val="12"/>
      <color theme="0"/>
      <name val="Arial"/>
      <family val="2"/>
    </font>
    <font>
      <b/>
      <sz val="10"/>
      <color rgb="FFFF0000"/>
      <name val="Arial"/>
      <family val="2"/>
    </font>
    <font>
      <b/>
      <sz val="14"/>
      <color theme="0"/>
      <name val="Arial"/>
      <family val="2"/>
    </font>
    <font>
      <b/>
      <sz val="12"/>
      <color theme="5"/>
      <name val="Arial"/>
      <family val="2"/>
    </font>
    <font>
      <sz val="12"/>
      <color theme="1"/>
      <name val="Arial"/>
      <family val="2"/>
    </font>
    <font>
      <b/>
      <sz val="11"/>
      <color theme="1"/>
      <name val="Arial"/>
      <family val="2"/>
    </font>
    <font>
      <sz val="9"/>
      <name val="Arial"/>
      <family val="2"/>
    </font>
    <font>
      <b/>
      <sz val="10"/>
      <color indexed="10"/>
      <name val="Arial"/>
      <family val="2"/>
    </font>
    <font>
      <sz val="8"/>
      <name val="Arial"/>
      <family val="2"/>
    </font>
    <font>
      <sz val="10"/>
      <color rgb="FFFF0000"/>
      <name val="Arial"/>
      <family val="2"/>
    </font>
    <font>
      <u/>
      <sz val="10"/>
      <color theme="10"/>
      <name val="Arial"/>
      <family val="2"/>
    </font>
    <font>
      <u/>
      <sz val="10"/>
      <color theme="11"/>
      <name val="Arial"/>
      <family val="2"/>
    </font>
    <font>
      <sz val="12"/>
      <color theme="0"/>
      <name val="Arial"/>
      <family val="2"/>
    </font>
    <font>
      <sz val="11"/>
      <color theme="0"/>
      <name val="Arial"/>
      <family val="2"/>
    </font>
    <font>
      <sz val="10"/>
      <name val="Calibri"/>
      <family val="2"/>
    </font>
    <font>
      <b/>
      <u/>
      <sz val="10"/>
      <name val="Arial"/>
      <family val="2"/>
    </font>
    <font>
      <b/>
      <sz val="16"/>
      <name val="Arial"/>
      <family val="2"/>
    </font>
  </fonts>
  <fills count="46">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000"/>
        <bgColor indexed="64"/>
      </patternFill>
    </fill>
    <fill>
      <patternFill patternType="solid">
        <fgColor theme="3" tint="0.59996337778862885"/>
        <bgColor indexed="64"/>
      </patternFill>
    </fill>
    <fill>
      <patternFill patternType="solid">
        <fgColor rgb="FF00B05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79998168889431442"/>
        <bgColor indexed="64"/>
      </patternFill>
    </fill>
  </fills>
  <borders count="10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dotted">
        <color auto="1"/>
      </right>
      <top style="thin">
        <color auto="1"/>
      </top>
      <bottom style="dotted">
        <color auto="1"/>
      </bottom>
      <diagonal/>
    </border>
    <border>
      <left style="thin">
        <color auto="1"/>
      </left>
      <right/>
      <top style="dotted">
        <color auto="1"/>
      </top>
      <bottom style="dotted">
        <color auto="1"/>
      </bottom>
      <diagonal/>
    </border>
    <border>
      <left style="dotted">
        <color auto="1"/>
      </left>
      <right/>
      <top style="thin">
        <color auto="1"/>
      </top>
      <bottom style="dotted">
        <color auto="1"/>
      </bottom>
      <diagonal/>
    </border>
    <border>
      <left style="dotted">
        <color auto="1"/>
      </left>
      <right/>
      <top style="dotted">
        <color auto="1"/>
      </top>
      <bottom style="dotted">
        <color auto="1"/>
      </bottom>
      <diagonal/>
    </border>
    <border>
      <left style="dotted">
        <color auto="1"/>
      </left>
      <right style="dotted">
        <color auto="1"/>
      </right>
      <top style="dotted">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dotted">
        <color auto="1"/>
      </bottom>
      <diagonal/>
    </border>
    <border>
      <left/>
      <right style="dotted">
        <color auto="1"/>
      </right>
      <top style="dotted">
        <color auto="1"/>
      </top>
      <bottom style="thin">
        <color auto="1"/>
      </bottom>
      <diagonal/>
    </border>
    <border>
      <left style="thin">
        <color auto="1"/>
      </left>
      <right/>
      <top style="thin">
        <color auto="1"/>
      </top>
      <bottom style="dotted">
        <color auto="1"/>
      </bottom>
      <diagonal/>
    </border>
    <border>
      <left style="thin">
        <color auto="1"/>
      </left>
      <right style="dotted">
        <color auto="1"/>
      </right>
      <top/>
      <bottom/>
      <diagonal/>
    </border>
    <border>
      <left style="thin">
        <color auto="1"/>
      </left>
      <right style="dotted">
        <color auto="1"/>
      </right>
      <top style="dotted">
        <color auto="1"/>
      </top>
      <bottom style="dotted">
        <color auto="1"/>
      </bottom>
      <diagonal/>
    </border>
    <border>
      <left style="thin">
        <color auto="1"/>
      </left>
      <right/>
      <top style="dotted">
        <color auto="1"/>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dotted">
        <color auto="1"/>
      </left>
      <right/>
      <top/>
      <bottom style="dotted">
        <color auto="1"/>
      </bottom>
      <diagonal/>
    </border>
    <border>
      <left style="thin">
        <color auto="1"/>
      </left>
      <right/>
      <top/>
      <bottom/>
      <diagonal/>
    </border>
    <border>
      <left style="thin">
        <color auto="1"/>
      </left>
      <right/>
      <top style="dotted">
        <color auto="1"/>
      </top>
      <bottom/>
      <diagonal/>
    </border>
    <border>
      <left style="thin">
        <color auto="1"/>
      </left>
      <right style="dotted">
        <color auto="1"/>
      </right>
      <top/>
      <bottom style="thin">
        <color auto="1"/>
      </bottom>
      <diagonal/>
    </border>
    <border>
      <left style="dotted">
        <color auto="1"/>
      </left>
      <right style="dotted">
        <color auto="1"/>
      </right>
      <top/>
      <bottom style="thin">
        <color auto="1"/>
      </bottom>
      <diagonal/>
    </border>
    <border>
      <left style="thin">
        <color auto="1"/>
      </left>
      <right/>
      <top style="thin">
        <color auto="1"/>
      </top>
      <bottom/>
      <diagonal/>
    </border>
    <border>
      <left style="dotted">
        <color auto="1"/>
      </left>
      <right style="dotted">
        <color auto="1"/>
      </right>
      <top/>
      <bottom/>
      <diagonal/>
    </border>
    <border>
      <left style="dotted">
        <color auto="1"/>
      </left>
      <right style="dotted">
        <color auto="1"/>
      </right>
      <top style="thin">
        <color auto="1"/>
      </top>
      <bottom style="dotted">
        <color auto="1"/>
      </bottom>
      <diagonal/>
    </border>
    <border>
      <left style="dotted">
        <color auto="1"/>
      </left>
      <right style="dotted">
        <color auto="1"/>
      </right>
      <top style="dotted">
        <color auto="1"/>
      </top>
      <bottom style="dotted">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right style="dotted">
        <color auto="1"/>
      </right>
      <top style="thin">
        <color auto="1"/>
      </top>
      <bottom/>
      <diagonal/>
    </border>
    <border>
      <left/>
      <right style="dotted">
        <color auto="1"/>
      </right>
      <top/>
      <bottom style="thin">
        <color auto="1"/>
      </bottom>
      <diagonal/>
    </border>
    <border>
      <left style="dotted">
        <color auto="1"/>
      </left>
      <right style="dotted">
        <color auto="1"/>
      </right>
      <top style="thin">
        <color auto="1"/>
      </top>
      <bottom/>
      <diagonal/>
    </border>
    <border>
      <left style="dotted">
        <color auto="1"/>
      </left>
      <right/>
      <top style="thin">
        <color auto="1"/>
      </top>
      <bottom/>
      <diagonal/>
    </border>
    <border>
      <left style="dotted">
        <color auto="1"/>
      </left>
      <right/>
      <top/>
      <bottom style="thin">
        <color auto="1"/>
      </bottom>
      <diagonal/>
    </border>
    <border>
      <left/>
      <right style="thin">
        <color auto="1"/>
      </right>
      <top style="thin">
        <color auto="1"/>
      </top>
      <bottom style="dotted">
        <color auto="1"/>
      </bottom>
      <diagonal/>
    </border>
    <border>
      <left/>
      <right style="dotted">
        <color auto="1"/>
      </right>
      <top style="thin">
        <color auto="1"/>
      </top>
      <bottom style="dotted">
        <color auto="1"/>
      </bottom>
      <diagonal/>
    </border>
    <border>
      <left style="dotted">
        <color auto="1"/>
      </left>
      <right/>
      <top style="dotted">
        <color auto="1"/>
      </top>
      <bottom style="thin">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right style="thin">
        <color auto="1"/>
      </right>
      <top/>
      <bottom style="dotted">
        <color auto="1"/>
      </bottom>
      <diagonal/>
    </border>
    <border>
      <left style="thin">
        <color auto="1"/>
      </left>
      <right/>
      <top/>
      <bottom style="dotted">
        <color auto="1"/>
      </bottom>
      <diagonal/>
    </border>
    <border>
      <left/>
      <right/>
      <top style="dotted">
        <color auto="1"/>
      </top>
      <bottom style="dotted">
        <color auto="1"/>
      </bottom>
      <diagonal/>
    </border>
    <border>
      <left style="dotted">
        <color auto="1"/>
      </left>
      <right/>
      <top style="dotted">
        <color auto="1"/>
      </top>
      <bottom/>
      <diagonal/>
    </border>
    <border>
      <left/>
      <right style="thin">
        <color auto="1"/>
      </right>
      <top style="dotted">
        <color auto="1"/>
      </top>
      <bottom style="dotted">
        <color auto="1"/>
      </bottom>
      <diagonal/>
    </border>
    <border>
      <left/>
      <right style="dotted">
        <color auto="1"/>
      </right>
      <top/>
      <bottom/>
      <diagonal/>
    </border>
    <border>
      <left/>
      <right style="dotted">
        <color auto="1"/>
      </right>
      <top style="dotted">
        <color auto="1"/>
      </top>
      <bottom style="dotted">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dotted">
        <color auto="1"/>
      </right>
      <top/>
      <bottom style="dotted">
        <color auto="1"/>
      </bottom>
      <diagonal/>
    </border>
    <border>
      <left/>
      <right style="dotted">
        <color auto="1"/>
      </right>
      <top style="dotted">
        <color auto="1"/>
      </top>
      <bottom/>
      <diagonal/>
    </border>
    <border>
      <left/>
      <right style="thin">
        <color auto="1"/>
      </right>
      <top style="dotted">
        <color auto="1"/>
      </top>
      <bottom/>
      <diagonal/>
    </border>
    <border>
      <left/>
      <right style="thin">
        <color auto="1"/>
      </right>
      <top style="thin">
        <color auto="1"/>
      </top>
      <bottom style="dashed">
        <color auto="1"/>
      </bottom>
      <diagonal/>
    </border>
    <border>
      <left/>
      <right style="thin">
        <color auto="1"/>
      </right>
      <top style="dashed">
        <color auto="1"/>
      </top>
      <bottom style="dashed">
        <color auto="1"/>
      </bottom>
      <diagonal/>
    </border>
    <border>
      <left/>
      <right style="thin">
        <color auto="1"/>
      </right>
      <top style="dashed">
        <color auto="1"/>
      </top>
      <bottom style="thin">
        <color auto="1"/>
      </bottom>
      <diagonal/>
    </border>
    <border>
      <left style="dashed">
        <color auto="1"/>
      </left>
      <right style="thin">
        <color auto="1"/>
      </right>
      <top style="thin">
        <color auto="1"/>
      </top>
      <bottom style="thin">
        <color auto="1"/>
      </bottom>
      <diagonal/>
    </border>
    <border>
      <left style="dashed">
        <color auto="1"/>
      </left>
      <right/>
      <top style="thin">
        <color auto="1"/>
      </top>
      <bottom style="dashed">
        <color auto="1"/>
      </bottom>
      <diagonal/>
    </border>
    <border>
      <left style="dashed">
        <color auto="1"/>
      </left>
      <right/>
      <top style="dashed">
        <color auto="1"/>
      </top>
      <bottom style="dashed">
        <color auto="1"/>
      </bottom>
      <diagonal/>
    </border>
    <border>
      <left style="dashed">
        <color auto="1"/>
      </left>
      <right/>
      <top style="dashed">
        <color auto="1"/>
      </top>
      <bottom style="thin">
        <color auto="1"/>
      </bottom>
      <diagonal/>
    </border>
    <border>
      <left/>
      <right style="dashed">
        <color auto="1"/>
      </right>
      <top style="thin">
        <color auto="1"/>
      </top>
      <bottom style="thin">
        <color auto="1"/>
      </bottom>
      <diagonal/>
    </border>
    <border>
      <left/>
      <right style="dashed">
        <color auto="1"/>
      </right>
      <top style="thin">
        <color auto="1"/>
      </top>
      <bottom/>
      <diagonal/>
    </border>
    <border>
      <left/>
      <right style="dashed">
        <color auto="1"/>
      </right>
      <top/>
      <bottom/>
      <diagonal/>
    </border>
    <border>
      <left/>
      <right style="dashed">
        <color auto="1"/>
      </right>
      <top/>
      <bottom style="thin">
        <color auto="1"/>
      </bottom>
      <diagonal/>
    </border>
    <border>
      <left style="thin">
        <color auto="1"/>
      </left>
      <right style="dashed">
        <color auto="1"/>
      </right>
      <top style="thin">
        <color auto="1"/>
      </top>
      <bottom style="dotted">
        <color auto="1"/>
      </bottom>
      <diagonal/>
    </border>
    <border>
      <left style="thin">
        <color auto="1"/>
      </left>
      <right style="dashed">
        <color auto="1"/>
      </right>
      <top style="dotted">
        <color auto="1"/>
      </top>
      <bottom style="dotted">
        <color auto="1"/>
      </bottom>
      <diagonal/>
    </border>
    <border>
      <left style="thin">
        <color auto="1"/>
      </left>
      <right style="dashed">
        <color auto="1"/>
      </right>
      <top style="dotted">
        <color auto="1"/>
      </top>
      <bottom style="thin">
        <color auto="1"/>
      </bottom>
      <diagonal/>
    </border>
    <border>
      <left style="thin">
        <color auto="1"/>
      </left>
      <right style="dashed">
        <color auto="1"/>
      </right>
      <top/>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
      <left style="thin">
        <color auto="1"/>
      </left>
      <right style="thin">
        <color auto="1"/>
      </right>
      <top style="thin">
        <color auto="1"/>
      </top>
      <bottom style="dashed">
        <color auto="1"/>
      </bottom>
      <diagonal/>
    </border>
    <border>
      <left style="thin">
        <color auto="1"/>
      </left>
      <right style="thin">
        <color auto="1"/>
      </right>
      <top style="dashed">
        <color auto="1"/>
      </top>
      <bottom style="thin">
        <color auto="1"/>
      </bottom>
      <diagonal/>
    </border>
    <border>
      <left style="dashed">
        <color auto="1"/>
      </left>
      <right/>
      <top style="thin">
        <color auto="1"/>
      </top>
      <bottom style="thin">
        <color auto="1"/>
      </bottom>
      <diagonal/>
    </border>
    <border>
      <left style="thin">
        <color auto="1"/>
      </left>
      <right style="thin">
        <color auto="1"/>
      </right>
      <top style="thin">
        <color auto="1"/>
      </top>
      <bottom style="thin">
        <color auto="1"/>
      </bottom>
      <diagonal/>
    </border>
    <border>
      <left style="dotted">
        <color auto="1"/>
      </left>
      <right style="thin">
        <color auto="1"/>
      </right>
      <top style="thin">
        <color auto="1"/>
      </top>
      <bottom/>
      <diagonal/>
    </border>
    <border>
      <left style="dotted">
        <color auto="1"/>
      </left>
      <right style="thin">
        <color auto="1"/>
      </right>
      <top/>
      <bottom style="thin">
        <color auto="1"/>
      </bottom>
      <diagonal/>
    </border>
    <border>
      <left style="dashed">
        <color auto="1"/>
      </left>
      <right/>
      <top style="thin">
        <color auto="1"/>
      </top>
      <bottom/>
      <diagonal/>
    </border>
    <border>
      <left style="dashed">
        <color auto="1"/>
      </left>
      <right/>
      <top/>
      <bottom/>
      <diagonal/>
    </border>
    <border>
      <left style="dashed">
        <color auto="1"/>
      </left>
      <right/>
      <top/>
      <bottom style="thin">
        <color auto="1"/>
      </bottom>
      <diagonal/>
    </border>
    <border>
      <left style="thin">
        <color auto="1"/>
      </left>
      <right style="dashed">
        <color auto="1"/>
      </right>
      <top style="thin">
        <color auto="1"/>
      </top>
      <bottom/>
      <diagonal/>
    </border>
    <border>
      <left style="dashed">
        <color auto="1"/>
      </left>
      <right style="dashed">
        <color auto="1"/>
      </right>
      <top style="thin">
        <color auto="1"/>
      </top>
      <bottom/>
      <diagonal/>
    </border>
    <border>
      <left style="dashed">
        <color auto="1"/>
      </left>
      <right style="dotted">
        <color auto="1"/>
      </right>
      <top style="thin">
        <color auto="1"/>
      </top>
      <bottom/>
      <diagonal/>
    </border>
    <border>
      <left style="dashed">
        <color auto="1"/>
      </left>
      <right style="dashed">
        <color auto="1"/>
      </right>
      <top/>
      <bottom/>
      <diagonal/>
    </border>
    <border>
      <left style="dashed">
        <color auto="1"/>
      </left>
      <right style="dotted">
        <color auto="1"/>
      </right>
      <top/>
      <bottom/>
      <diagonal/>
    </border>
    <border>
      <left style="thin">
        <color auto="1"/>
      </left>
      <right style="dashed">
        <color auto="1"/>
      </right>
      <top/>
      <bottom style="thin">
        <color auto="1"/>
      </bottom>
      <diagonal/>
    </border>
    <border>
      <left style="dashed">
        <color auto="1"/>
      </left>
      <right style="dashed">
        <color auto="1"/>
      </right>
      <top/>
      <bottom style="thin">
        <color auto="1"/>
      </bottom>
      <diagonal/>
    </border>
    <border>
      <left style="dashed">
        <color auto="1"/>
      </left>
      <right style="dotted">
        <color auto="1"/>
      </right>
      <top/>
      <bottom style="thin">
        <color auto="1"/>
      </bottom>
      <diagonal/>
    </border>
    <border>
      <left style="dashed">
        <color auto="1"/>
      </left>
      <right style="dashed">
        <color auto="1"/>
      </right>
      <top style="thin">
        <color auto="1"/>
      </top>
      <bottom style="dotted">
        <color auto="1"/>
      </bottom>
      <diagonal/>
    </border>
    <border>
      <left style="dashed">
        <color auto="1"/>
      </left>
      <right style="dashed">
        <color auto="1"/>
      </right>
      <top style="thin">
        <color auto="1"/>
      </top>
      <bottom style="thin">
        <color auto="1"/>
      </bottom>
      <diagonal/>
    </border>
    <border>
      <left style="dashed">
        <color auto="1"/>
      </left>
      <right style="thin">
        <color auto="1"/>
      </right>
      <top style="thin">
        <color auto="1"/>
      </top>
      <bottom/>
      <diagonal/>
    </border>
    <border>
      <left style="dashed">
        <color auto="1"/>
      </left>
      <right style="dashed">
        <color auto="1"/>
      </right>
      <top style="dotted">
        <color auto="1"/>
      </top>
      <bottom style="thin">
        <color auto="1"/>
      </bottom>
      <diagonal/>
    </border>
    <border>
      <left style="dashed">
        <color auto="1"/>
      </left>
      <right style="dashed">
        <color auto="1"/>
      </right>
      <top/>
      <bottom style="dotted">
        <color auto="1"/>
      </bottom>
      <diagonal/>
    </border>
    <border>
      <left style="dashed">
        <color auto="1"/>
      </left>
      <right style="dashed">
        <color auto="1"/>
      </right>
      <top style="dotted">
        <color auto="1"/>
      </top>
      <bottom/>
      <diagonal/>
    </border>
    <border>
      <left style="dashed">
        <color auto="1"/>
      </left>
      <right style="thin">
        <color auto="1"/>
      </right>
      <top/>
      <bottom style="thin">
        <color auto="1"/>
      </bottom>
      <diagonal/>
    </border>
    <border>
      <left style="dashed">
        <color auto="1"/>
      </left>
      <right/>
      <top style="dotted">
        <color auto="1"/>
      </top>
      <bottom style="thin">
        <color auto="1"/>
      </bottom>
      <diagonal/>
    </border>
    <border>
      <left/>
      <right style="dashed">
        <color auto="1"/>
      </right>
      <top style="dotted">
        <color auto="1"/>
      </top>
      <bottom style="thin">
        <color auto="1"/>
      </bottom>
      <diagonal/>
    </border>
    <border>
      <left style="dashed">
        <color auto="1"/>
      </left>
      <right/>
      <top style="thin">
        <color auto="1"/>
      </top>
      <bottom style="dotted">
        <color auto="1"/>
      </bottom>
      <diagonal/>
    </border>
    <border>
      <left/>
      <right style="dashed">
        <color auto="1"/>
      </right>
      <top style="thin">
        <color auto="1"/>
      </top>
      <bottom style="dotted">
        <color auto="1"/>
      </bottom>
      <diagonal/>
    </border>
  </borders>
  <cellStyleXfs count="396">
    <xf numFmtId="0" fontId="0" fillId="0" borderId="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51" applyNumberFormat="0" applyAlignment="0" applyProtection="0"/>
    <xf numFmtId="0" fontId="26" fillId="29" borderId="52" applyNumberFormat="0" applyAlignment="0" applyProtection="0"/>
    <xf numFmtId="43" fontId="17"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53" applyNumberFormat="0" applyFill="0" applyAlignment="0" applyProtection="0"/>
    <xf numFmtId="0" fontId="30" fillId="0" borderId="54" applyNumberFormat="0" applyFill="0" applyAlignment="0" applyProtection="0"/>
    <xf numFmtId="0" fontId="31" fillId="0" borderId="55" applyNumberFormat="0" applyFill="0" applyAlignment="0" applyProtection="0"/>
    <xf numFmtId="0" fontId="31" fillId="0" borderId="0" applyNumberFormat="0" applyFill="0" applyBorder="0" applyAlignment="0" applyProtection="0"/>
    <xf numFmtId="0" fontId="32" fillId="31" borderId="51" applyNumberFormat="0" applyAlignment="0" applyProtection="0"/>
    <xf numFmtId="0" fontId="33" fillId="0" borderId="56" applyNumberFormat="0" applyFill="0" applyAlignment="0" applyProtection="0"/>
    <xf numFmtId="0" fontId="34" fillId="32" borderId="0" applyNumberFormat="0" applyBorder="0" applyAlignment="0" applyProtection="0"/>
    <xf numFmtId="0" fontId="17" fillId="0" borderId="0"/>
    <xf numFmtId="0" fontId="9" fillId="0" borderId="0"/>
    <xf numFmtId="0" fontId="22" fillId="33" borderId="57" applyNumberFormat="0" applyFont="0" applyAlignment="0" applyProtection="0"/>
    <xf numFmtId="0" fontId="22" fillId="33" borderId="57" applyNumberFormat="0" applyFont="0" applyAlignment="0" applyProtection="0"/>
    <xf numFmtId="0" fontId="22" fillId="33" borderId="57" applyNumberFormat="0" applyFont="0" applyAlignment="0" applyProtection="0"/>
    <xf numFmtId="0" fontId="22" fillId="33" borderId="57" applyNumberFormat="0" applyFont="0" applyAlignment="0" applyProtection="0"/>
    <xf numFmtId="0" fontId="35" fillId="28" borderId="58" applyNumberFormat="0" applyAlignment="0" applyProtection="0"/>
    <xf numFmtId="9" fontId="9" fillId="0" borderId="0" applyFont="0" applyFill="0" applyBorder="0" applyAlignment="0" applyProtection="0"/>
    <xf numFmtId="9" fontId="9" fillId="0" borderId="0" applyFont="0" applyFill="0" applyBorder="0" applyAlignment="0" applyProtection="0"/>
    <xf numFmtId="0" fontId="36" fillId="0" borderId="0" applyNumberFormat="0" applyFill="0" applyBorder="0" applyAlignment="0" applyProtection="0"/>
    <xf numFmtId="0" fontId="37" fillId="0" borderId="59" applyNumberFormat="0" applyFill="0" applyAlignment="0" applyProtection="0"/>
    <xf numFmtId="0" fontId="38" fillId="0" borderId="0" applyNumberFormat="0" applyFill="0" applyBorder="0" applyAlignment="0" applyProtection="0"/>
    <xf numFmtId="0" fontId="9" fillId="0" borderId="0"/>
    <xf numFmtId="0" fontId="8" fillId="0" borderId="0"/>
    <xf numFmtId="164" fontId="9"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33" borderId="57" applyNumberFormat="0" applyFont="0" applyAlignment="0" applyProtection="0"/>
    <xf numFmtId="0" fontId="3" fillId="33" borderId="57" applyNumberFormat="0" applyFont="0" applyAlignment="0" applyProtection="0"/>
    <xf numFmtId="0" fontId="3" fillId="33" borderId="57" applyNumberFormat="0" applyFont="0" applyAlignment="0" applyProtection="0"/>
    <xf numFmtId="0" fontId="3" fillId="33" borderId="57" applyNumberFormat="0" applyFont="0" applyAlignment="0" applyProtection="0"/>
    <xf numFmtId="0" fontId="4" fillId="0" borderId="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2" fillId="0" borderId="0"/>
    <xf numFmtId="165" fontId="2" fillId="0" borderId="0" applyFont="0" applyFill="0" applyBorder="0" applyAlignment="0" applyProtection="0"/>
    <xf numFmtId="164" fontId="2"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3" borderId="57" applyNumberFormat="0" applyFont="0" applyAlignment="0" applyProtection="0"/>
    <xf numFmtId="0" fontId="1" fillId="33" borderId="57" applyNumberFormat="0" applyFont="0" applyAlignment="0" applyProtection="0"/>
    <xf numFmtId="0" fontId="1" fillId="33" borderId="57" applyNumberFormat="0" applyFont="0" applyAlignment="0" applyProtection="0"/>
    <xf numFmtId="0" fontId="1" fillId="33" borderId="57" applyNumberFormat="0" applyFont="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33" borderId="57" applyNumberFormat="0" applyFont="0" applyAlignment="0" applyProtection="0"/>
    <xf numFmtId="0" fontId="1" fillId="33" borderId="57" applyNumberFormat="0" applyFont="0" applyAlignment="0" applyProtection="0"/>
    <xf numFmtId="0" fontId="1" fillId="33" borderId="57" applyNumberFormat="0" applyFont="0" applyAlignment="0" applyProtection="0"/>
    <xf numFmtId="0" fontId="1" fillId="33" borderId="57" applyNumberFormat="0" applyFont="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cellStyleXfs>
  <cellXfs count="898">
    <xf numFmtId="0" fontId="0" fillId="0" borderId="0" xfId="0"/>
    <xf numFmtId="0" fontId="10" fillId="0" borderId="0" xfId="0" applyFont="1" applyAlignment="1">
      <alignment horizontal="left" vertical="center" wrapText="1"/>
    </xf>
    <xf numFmtId="0" fontId="12" fillId="0" borderId="0" xfId="0" applyFont="1" applyAlignment="1">
      <alignment horizontal="left" vertical="center" wrapText="1"/>
    </xf>
    <xf numFmtId="0" fontId="11" fillId="0" borderId="0" xfId="0" applyFont="1"/>
    <xf numFmtId="0" fontId="0" fillId="0" borderId="1" xfId="0" applyFont="1" applyBorder="1" applyAlignment="1" applyProtection="1">
      <alignment horizontal="left" vertical="top" wrapText="1"/>
    </xf>
    <xf numFmtId="0" fontId="10" fillId="0" borderId="0" xfId="0" applyFont="1" applyAlignment="1">
      <alignment horizontal="center" vertical="center" wrapText="1"/>
    </xf>
    <xf numFmtId="0" fontId="10" fillId="0" borderId="0" xfId="0" applyFont="1" applyAlignment="1" applyProtection="1">
      <alignment horizontal="center" vertical="center" wrapText="1"/>
      <protection hidden="1"/>
    </xf>
    <xf numFmtId="0" fontId="9" fillId="0" borderId="0" xfId="76" applyFont="1" applyAlignment="1">
      <alignment horizontal="left" vertical="center"/>
    </xf>
    <xf numFmtId="0" fontId="9" fillId="0" borderId="0" xfId="76" applyFont="1" applyAlignment="1" applyProtection="1">
      <alignment horizontal="left" vertical="center"/>
    </xf>
    <xf numFmtId="49" fontId="9" fillId="0" borderId="0" xfId="76" applyNumberFormat="1" applyFont="1" applyProtection="1"/>
    <xf numFmtId="0" fontId="0" fillId="0" borderId="0" xfId="76" applyFont="1" applyAlignment="1" applyProtection="1">
      <alignment horizontal="left" vertical="center"/>
    </xf>
    <xf numFmtId="0" fontId="0" fillId="0" borderId="3" xfId="0" applyFont="1" applyFill="1" applyBorder="1" applyAlignment="1" applyProtection="1">
      <alignment horizontal="center" vertical="center" wrapText="1"/>
      <protection locked="0"/>
    </xf>
    <xf numFmtId="0" fontId="0" fillId="0" borderId="0" xfId="0" applyAlignment="1">
      <alignment horizontal="center" vertical="center"/>
    </xf>
    <xf numFmtId="0" fontId="14" fillId="35" borderId="8" xfId="0" applyFont="1" applyFill="1" applyBorder="1" applyAlignment="1" applyProtection="1">
      <alignment vertical="center" wrapText="1"/>
    </xf>
    <xf numFmtId="0" fontId="14" fillId="35" borderId="9" xfId="0" applyFont="1" applyFill="1" applyBorder="1" applyAlignment="1" applyProtection="1">
      <alignment vertical="center" wrapText="1"/>
    </xf>
    <xf numFmtId="0" fontId="16" fillId="35" borderId="8" xfId="0" applyFont="1" applyFill="1" applyBorder="1" applyAlignment="1" applyProtection="1">
      <alignment vertical="center" wrapText="1"/>
    </xf>
    <xf numFmtId="0" fontId="0" fillId="0" borderId="13" xfId="0" applyFont="1" applyFill="1" applyBorder="1" applyAlignment="1" applyProtection="1">
      <alignment horizontal="center" vertical="center" wrapText="1"/>
      <protection locked="0"/>
    </xf>
    <xf numFmtId="0" fontId="0" fillId="0" borderId="14" xfId="0" applyFont="1" applyFill="1" applyBorder="1" applyAlignment="1" applyProtection="1">
      <alignment horizontal="center" vertical="center" wrapText="1"/>
      <protection locked="0"/>
    </xf>
    <xf numFmtId="0" fontId="11" fillId="37" borderId="0" xfId="0" applyFont="1" applyFill="1" applyAlignment="1" applyProtection="1">
      <alignment horizontal="left" vertical="center" wrapText="1"/>
    </xf>
    <xf numFmtId="0" fontId="0" fillId="0" borderId="0" xfId="0" applyProtection="1"/>
    <xf numFmtId="0" fontId="0" fillId="0" borderId="0" xfId="0" applyProtection="1">
      <protection locked="0"/>
    </xf>
    <xf numFmtId="0" fontId="0" fillId="0" borderId="0" xfId="0" quotePrefix="1" applyProtection="1"/>
    <xf numFmtId="0" fontId="0" fillId="0" borderId="0" xfId="0" applyFont="1" applyAlignment="1" applyProtection="1">
      <alignment horizontal="left" vertical="top" wrapText="1"/>
    </xf>
    <xf numFmtId="0" fontId="9" fillId="0" borderId="0" xfId="0" applyFont="1" applyAlignment="1">
      <alignment horizontal="left" vertical="center"/>
    </xf>
    <xf numFmtId="0" fontId="0" fillId="0" borderId="0" xfId="0" applyFont="1" applyAlignment="1">
      <alignment horizontal="left" vertical="center"/>
    </xf>
    <xf numFmtId="0" fontId="0" fillId="0" borderId="25" xfId="0" applyFont="1" applyFill="1" applyBorder="1" applyAlignment="1" applyProtection="1">
      <alignment horizontal="center" vertical="center" wrapText="1"/>
      <protection locked="0"/>
    </xf>
    <xf numFmtId="0" fontId="10" fillId="37" borderId="0" xfId="0" applyFont="1" applyFill="1" applyAlignment="1" applyProtection="1">
      <alignment horizontal="left" vertical="center" wrapText="1"/>
      <protection locked="0"/>
    </xf>
    <xf numFmtId="0" fontId="10" fillId="0" borderId="0" xfId="0" applyFont="1" applyFill="1" applyAlignment="1" applyProtection="1">
      <alignment horizontal="left" vertical="center" wrapText="1"/>
      <protection locked="0"/>
    </xf>
    <xf numFmtId="0" fontId="10" fillId="0" borderId="0" xfId="0" applyFont="1" applyAlignment="1" applyProtection="1">
      <alignment horizontal="left" vertical="center" wrapText="1"/>
      <protection locked="0"/>
    </xf>
    <xf numFmtId="0" fontId="11" fillId="0" borderId="0" xfId="0" applyFont="1" applyAlignment="1" applyProtection="1">
      <alignment horizontal="left" wrapText="1"/>
      <protection locked="0" hidden="1"/>
    </xf>
    <xf numFmtId="0" fontId="0" fillId="38" borderId="1" xfId="0" applyFont="1" applyFill="1" applyBorder="1" applyAlignment="1" applyProtection="1">
      <alignment horizontal="left" vertical="top" wrapText="1"/>
    </xf>
    <xf numFmtId="0" fontId="9" fillId="38" borderId="1" xfId="76" applyFont="1" applyFill="1" applyBorder="1" applyAlignment="1" applyProtection="1">
      <alignment horizontal="left" vertical="center"/>
    </xf>
    <xf numFmtId="0" fontId="39" fillId="38" borderId="1" xfId="0" applyFont="1" applyFill="1" applyBorder="1" applyAlignment="1">
      <alignment horizontal="left" vertical="center" wrapText="1"/>
    </xf>
    <xf numFmtId="0" fontId="9" fillId="38" borderId="1" xfId="0" applyFont="1" applyFill="1" applyBorder="1" applyAlignment="1" applyProtection="1">
      <alignment horizontal="left" vertical="center" wrapText="1"/>
    </xf>
    <xf numFmtId="0" fontId="0" fillId="38" borderId="1" xfId="0" applyFont="1" applyFill="1" applyBorder="1" applyAlignment="1" applyProtection="1">
      <alignment horizontal="left" vertical="center" wrapText="1"/>
    </xf>
    <xf numFmtId="0" fontId="15" fillId="2" borderId="1" xfId="76" applyFont="1" applyFill="1" applyBorder="1" applyAlignment="1" applyProtection="1">
      <alignment horizontal="left" vertical="center"/>
    </xf>
    <xf numFmtId="0" fontId="9" fillId="34" borderId="1" xfId="0" applyFont="1" applyFill="1" applyBorder="1" applyAlignment="1">
      <alignment horizontal="left" vertical="center"/>
    </xf>
    <xf numFmtId="0" fontId="40" fillId="0" borderId="0" xfId="0" applyFont="1" applyAlignment="1">
      <alignment vertical="top"/>
    </xf>
    <xf numFmtId="0" fontId="40" fillId="0" borderId="0" xfId="0" applyFont="1" applyAlignment="1">
      <alignment vertical="center"/>
    </xf>
    <xf numFmtId="0" fontId="9" fillId="0" borderId="0" xfId="76" applyNumberFormat="1" applyFont="1" applyAlignment="1" applyProtection="1">
      <alignment horizontal="left" vertical="center"/>
    </xf>
    <xf numFmtId="0" fontId="0" fillId="38" borderId="1" xfId="0" applyFont="1" applyFill="1" applyBorder="1" applyAlignment="1">
      <alignment vertical="center" wrapText="1"/>
    </xf>
    <xf numFmtId="0" fontId="0" fillId="34" borderId="1" xfId="0" applyFont="1" applyFill="1" applyBorder="1" applyAlignment="1">
      <alignment horizontal="left" vertical="center"/>
    </xf>
    <xf numFmtId="0" fontId="12" fillId="37" borderId="0" xfId="0" applyFont="1" applyFill="1" applyAlignment="1" applyProtection="1">
      <alignment horizontal="left" vertical="center" wrapText="1"/>
      <protection locked="0"/>
    </xf>
    <xf numFmtId="0" fontId="10" fillId="37" borderId="0" xfId="0" applyFont="1" applyFill="1" applyAlignment="1" applyProtection="1">
      <alignment horizontal="center" vertical="center" wrapText="1"/>
      <protection locked="0"/>
    </xf>
    <xf numFmtId="0" fontId="11" fillId="37" borderId="0" xfId="0" applyFont="1" applyFill="1" applyAlignment="1" applyProtection="1">
      <alignment horizontal="left" wrapText="1"/>
      <protection locked="0"/>
    </xf>
    <xf numFmtId="0" fontId="14" fillId="37" borderId="0" xfId="0" applyFont="1" applyFill="1" applyBorder="1" applyAlignment="1" applyProtection="1">
      <alignment vertical="center" wrapText="1"/>
      <protection locked="0"/>
    </xf>
    <xf numFmtId="0" fontId="42" fillId="35" borderId="8" xfId="0" applyFont="1" applyFill="1" applyBorder="1" applyAlignment="1" applyProtection="1">
      <alignment horizontal="right" vertical="center"/>
    </xf>
    <xf numFmtId="0" fontId="12" fillId="0" borderId="0" xfId="0" applyFont="1" applyAlignment="1" applyProtection="1">
      <alignment horizontal="left" vertical="center" wrapText="1"/>
      <protection locked="0"/>
    </xf>
    <xf numFmtId="0" fontId="10" fillId="0" borderId="0" xfId="0" applyFont="1" applyAlignment="1" applyProtection="1">
      <alignment horizontal="center" vertical="center" wrapText="1"/>
      <protection locked="0"/>
    </xf>
    <xf numFmtId="0" fontId="11" fillId="0" borderId="0" xfId="0" applyFont="1" applyAlignment="1" applyProtection="1">
      <alignment horizontal="left" wrapText="1"/>
      <protection locked="0"/>
    </xf>
    <xf numFmtId="0" fontId="10" fillId="37" borderId="0" xfId="0" applyFont="1" applyFill="1" applyAlignment="1" applyProtection="1">
      <alignment horizontal="left" vertical="center" wrapText="1"/>
      <protection locked="0"/>
    </xf>
    <xf numFmtId="0" fontId="14" fillId="37" borderId="23" xfId="0" applyFont="1" applyFill="1" applyBorder="1" applyAlignment="1" applyProtection="1">
      <alignment horizontal="left" vertical="center" wrapText="1"/>
    </xf>
    <xf numFmtId="0" fontId="14" fillId="37" borderId="0" xfId="0" applyFont="1" applyFill="1" applyBorder="1" applyAlignment="1" applyProtection="1">
      <alignment horizontal="left" vertical="center" wrapText="1"/>
    </xf>
    <xf numFmtId="0" fontId="14" fillId="37" borderId="0" xfId="0" applyFont="1" applyFill="1" applyBorder="1" applyAlignment="1" applyProtection="1">
      <alignment vertical="center" wrapText="1"/>
    </xf>
    <xf numFmtId="0" fontId="12" fillId="37" borderId="0" xfId="0" applyFont="1" applyFill="1" applyAlignment="1">
      <alignment horizontal="left" vertical="center" wrapText="1"/>
    </xf>
    <xf numFmtId="0" fontId="13" fillId="0" borderId="17" xfId="0" applyFont="1" applyFill="1" applyBorder="1" applyAlignment="1" applyProtection="1">
      <alignment vertical="center" wrapText="1"/>
    </xf>
    <xf numFmtId="0" fontId="13" fillId="0" borderId="0" xfId="0" applyFont="1" applyFill="1" applyBorder="1" applyAlignment="1" applyProtection="1">
      <alignment vertical="center" wrapText="1"/>
    </xf>
    <xf numFmtId="0" fontId="0" fillId="37" borderId="0" xfId="0" applyFont="1" applyFill="1" applyAlignment="1">
      <alignment horizontal="left" vertical="center" wrapText="1"/>
    </xf>
    <xf numFmtId="0" fontId="15" fillId="36" borderId="1" xfId="0" applyFont="1" applyFill="1" applyBorder="1" applyAlignment="1" applyProtection="1">
      <alignment horizontal="center" vertical="center" wrapText="1"/>
    </xf>
    <xf numFmtId="49" fontId="0" fillId="37" borderId="0" xfId="0" applyNumberFormat="1" applyFont="1" applyFill="1" applyBorder="1" applyAlignment="1" applyProtection="1">
      <alignment horizontal="left" vertical="top" wrapText="1"/>
      <protection locked="0"/>
    </xf>
    <xf numFmtId="0" fontId="0" fillId="0" borderId="7" xfId="0" applyNumberFormat="1" applyFont="1" applyBorder="1" applyAlignment="1" applyProtection="1">
      <alignment horizontal="center" vertical="center" wrapText="1"/>
      <protection locked="0"/>
    </xf>
    <xf numFmtId="0" fontId="15" fillId="37" borderId="0" xfId="0" applyFont="1" applyFill="1" applyBorder="1" applyAlignment="1" applyProtection="1">
      <alignment horizontal="center" vertical="center" wrapText="1"/>
      <protection locked="0"/>
    </xf>
    <xf numFmtId="0" fontId="15" fillId="36" borderId="21" xfId="0" applyFont="1" applyFill="1" applyBorder="1" applyAlignment="1" applyProtection="1">
      <alignment horizontal="center" vertical="center" wrapText="1"/>
    </xf>
    <xf numFmtId="0" fontId="10" fillId="37" borderId="0" xfId="0" applyFont="1" applyFill="1" applyBorder="1" applyAlignment="1" applyProtection="1">
      <alignment vertical="center" wrapText="1"/>
      <protection locked="0"/>
    </xf>
    <xf numFmtId="0" fontId="0" fillId="0" borderId="0" xfId="76" applyNumberFormat="1" applyFont="1" applyProtection="1"/>
    <xf numFmtId="49" fontId="9" fillId="0" borderId="0" xfId="0" applyNumberFormat="1" applyFont="1"/>
    <xf numFmtId="0" fontId="15" fillId="2" borderId="2" xfId="76" applyFont="1" applyFill="1" applyBorder="1" applyAlignment="1" applyProtection="1">
      <alignment horizontal="left" vertical="center"/>
    </xf>
    <xf numFmtId="0" fontId="15" fillId="2" borderId="21" xfId="76" applyFont="1" applyFill="1" applyBorder="1" applyAlignment="1" applyProtection="1">
      <alignment horizontal="left" vertical="center"/>
    </xf>
    <xf numFmtId="0" fontId="10" fillId="37" borderId="0" xfId="0" applyFont="1" applyFill="1" applyAlignment="1" applyProtection="1">
      <alignment horizontal="left" vertical="center" wrapText="1"/>
      <protection locked="0"/>
    </xf>
    <xf numFmtId="0" fontId="12" fillId="37" borderId="0" xfId="0" applyFont="1" applyFill="1" applyAlignment="1" applyProtection="1">
      <alignment horizontal="left" vertical="center" wrapText="1"/>
      <protection locked="0"/>
    </xf>
    <xf numFmtId="0" fontId="14" fillId="37" borderId="0" xfId="0" applyFont="1" applyFill="1" applyBorder="1" applyAlignment="1" applyProtection="1">
      <alignment vertical="center" wrapText="1"/>
      <protection locked="0"/>
    </xf>
    <xf numFmtId="0" fontId="15" fillId="37" borderId="0" xfId="0" applyFont="1" applyFill="1" applyBorder="1" applyAlignment="1" applyProtection="1">
      <alignment vertical="center" wrapText="1"/>
      <protection locked="0"/>
    </xf>
    <xf numFmtId="0" fontId="0" fillId="37" borderId="0" xfId="0" applyFont="1" applyFill="1" applyAlignment="1" applyProtection="1">
      <alignment horizontal="left" vertical="center" wrapText="1"/>
      <protection locked="0"/>
    </xf>
    <xf numFmtId="0" fontId="10"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center" vertical="center" wrapText="1"/>
    </xf>
    <xf numFmtId="0" fontId="0" fillId="0" borderId="3" xfId="0" applyFont="1" applyFill="1" applyBorder="1" applyAlignment="1" applyProtection="1">
      <alignment horizontal="center" vertical="center" wrapText="1"/>
      <protection locked="0"/>
    </xf>
    <xf numFmtId="0" fontId="14" fillId="35" borderId="9" xfId="0" applyFont="1" applyFill="1" applyBorder="1" applyAlignment="1" applyProtection="1">
      <alignment vertical="center" wrapText="1"/>
    </xf>
    <xf numFmtId="0" fontId="16" fillId="35" borderId="8" xfId="0" applyFont="1" applyFill="1" applyBorder="1" applyAlignment="1" applyProtection="1">
      <alignment vertical="center" wrapText="1"/>
    </xf>
    <xf numFmtId="0" fontId="0" fillId="0" borderId="13" xfId="0" applyFont="1" applyFill="1" applyBorder="1" applyAlignment="1" applyProtection="1">
      <alignment horizontal="center" vertical="center" wrapText="1"/>
      <protection locked="0"/>
    </xf>
    <xf numFmtId="0" fontId="0" fillId="0" borderId="14" xfId="0" applyFont="1" applyFill="1" applyBorder="1" applyAlignment="1" applyProtection="1">
      <alignment horizontal="center" vertical="center" wrapText="1"/>
      <protection locked="0"/>
    </xf>
    <xf numFmtId="0" fontId="10" fillId="37" borderId="0" xfId="0" applyFont="1" applyFill="1" applyAlignment="1" applyProtection="1">
      <alignment horizontal="left" vertical="center" wrapText="1"/>
    </xf>
    <xf numFmtId="0" fontId="11" fillId="37" borderId="0" xfId="0" applyFont="1" applyFill="1" applyAlignment="1" applyProtection="1">
      <alignment horizontal="left" vertical="center" wrapText="1"/>
    </xf>
    <xf numFmtId="0" fontId="11" fillId="37" borderId="0" xfId="0" applyFont="1" applyFill="1" applyBorder="1" applyAlignment="1" applyProtection="1">
      <alignment horizontal="left" vertical="center" wrapText="1"/>
    </xf>
    <xf numFmtId="0" fontId="0" fillId="0" borderId="25" xfId="0" applyFont="1" applyFill="1" applyBorder="1" applyAlignment="1" applyProtection="1">
      <alignment horizontal="center" vertical="center" wrapText="1"/>
      <protection locked="0"/>
    </xf>
    <xf numFmtId="0" fontId="10" fillId="37" borderId="0" xfId="0" applyFont="1" applyFill="1" applyAlignment="1" applyProtection="1">
      <alignment horizontal="left" vertical="center" wrapText="1"/>
      <protection locked="0"/>
    </xf>
    <xf numFmtId="0" fontId="10" fillId="0" borderId="0" xfId="0" applyFont="1" applyAlignment="1" applyProtection="1">
      <alignment horizontal="left" vertical="center" wrapText="1"/>
      <protection locked="0"/>
    </xf>
    <xf numFmtId="0" fontId="0" fillId="0" borderId="29" xfId="0" applyNumberFormat="1" applyFont="1" applyBorder="1" applyAlignment="1" applyProtection="1">
      <alignment horizontal="center" vertical="center" wrapText="1"/>
      <protection locked="0"/>
    </xf>
    <xf numFmtId="0" fontId="0" fillId="0" borderId="30" xfId="0" applyNumberFormat="1" applyFont="1" applyBorder="1" applyAlignment="1" applyProtection="1">
      <alignment horizontal="center" vertical="center" wrapText="1"/>
      <protection locked="0"/>
    </xf>
    <xf numFmtId="0" fontId="0" fillId="0" borderId="7" xfId="0" applyNumberFormat="1" applyFont="1" applyBorder="1" applyAlignment="1" applyProtection="1">
      <alignment horizontal="center" vertical="center" wrapText="1"/>
      <protection locked="0"/>
    </xf>
    <xf numFmtId="0" fontId="12" fillId="37" borderId="0" xfId="0" applyFont="1" applyFill="1" applyAlignment="1" applyProtection="1">
      <alignment horizontal="left" vertical="center" wrapText="1"/>
      <protection locked="0"/>
    </xf>
    <xf numFmtId="0" fontId="10" fillId="37" borderId="0" xfId="0" applyFont="1" applyFill="1" applyAlignment="1" applyProtection="1">
      <alignment horizontal="center" vertical="center" wrapText="1"/>
      <protection locked="0"/>
    </xf>
    <xf numFmtId="0" fontId="14" fillId="37" borderId="0" xfId="0" applyFont="1" applyFill="1" applyBorder="1" applyAlignment="1" applyProtection="1">
      <alignment vertical="center" wrapText="1"/>
      <protection locked="0"/>
    </xf>
    <xf numFmtId="0" fontId="42" fillId="35" borderId="8" xfId="0" applyFont="1" applyFill="1" applyBorder="1" applyAlignment="1" applyProtection="1">
      <alignment horizontal="right" vertical="center"/>
    </xf>
    <xf numFmtId="0" fontId="12" fillId="0" borderId="0" xfId="0" applyFont="1" applyAlignment="1" applyProtection="1">
      <alignment horizontal="left" vertical="center" wrapText="1"/>
      <protection locked="0"/>
    </xf>
    <xf numFmtId="0" fontId="10" fillId="0" borderId="0" xfId="0" applyFont="1" applyAlignment="1" applyProtection="1">
      <alignment horizontal="center" vertical="center" wrapText="1"/>
      <protection locked="0"/>
    </xf>
    <xf numFmtId="0" fontId="15" fillId="37" borderId="0" xfId="0" applyFont="1" applyFill="1" applyBorder="1" applyAlignment="1" applyProtection="1">
      <alignment vertical="center" wrapText="1"/>
      <protection locked="0"/>
    </xf>
    <xf numFmtId="0" fontId="0" fillId="37" borderId="20" xfId="0" applyFont="1" applyFill="1" applyBorder="1" applyAlignment="1" applyProtection="1">
      <alignment vertical="top" wrapText="1"/>
      <protection locked="0"/>
    </xf>
    <xf numFmtId="0" fontId="0" fillId="37" borderId="8" xfId="0" applyFont="1" applyFill="1" applyBorder="1" applyAlignment="1" applyProtection="1">
      <alignment vertical="top" wrapText="1"/>
      <protection locked="0"/>
    </xf>
    <xf numFmtId="0" fontId="0" fillId="37" borderId="9" xfId="0" applyFont="1" applyFill="1" applyBorder="1" applyAlignment="1" applyProtection="1">
      <alignment vertical="top" wrapText="1"/>
      <protection locked="0"/>
    </xf>
    <xf numFmtId="0" fontId="14" fillId="35" borderId="0" xfId="0" applyFont="1" applyFill="1" applyBorder="1" applyAlignment="1" applyProtection="1">
      <alignment horizontal="left" vertical="center" wrapText="1"/>
    </xf>
    <xf numFmtId="0" fontId="14" fillId="37" borderId="23" xfId="0" applyFont="1" applyFill="1" applyBorder="1" applyAlignment="1" applyProtection="1">
      <alignment horizontal="left" vertical="center" wrapText="1"/>
    </xf>
    <xf numFmtId="0" fontId="14" fillId="37" borderId="0" xfId="0" applyFont="1" applyFill="1" applyBorder="1" applyAlignment="1" applyProtection="1">
      <alignment horizontal="left" vertical="center" wrapText="1"/>
    </xf>
    <xf numFmtId="0" fontId="14" fillId="37" borderId="0" xfId="0" applyFont="1" applyFill="1" applyBorder="1" applyAlignment="1" applyProtection="1">
      <alignment vertical="center" wrapText="1"/>
    </xf>
    <xf numFmtId="0" fontId="12" fillId="37" borderId="0" xfId="0" applyFont="1" applyFill="1" applyAlignment="1">
      <alignment horizontal="left" vertical="center" wrapText="1"/>
    </xf>
    <xf numFmtId="0" fontId="13" fillId="0" borderId="17" xfId="0" applyFont="1" applyFill="1" applyBorder="1" applyAlignment="1" applyProtection="1">
      <alignment vertical="center" wrapText="1"/>
    </xf>
    <xf numFmtId="0" fontId="13" fillId="0" borderId="0" xfId="0" applyFont="1" applyFill="1" applyBorder="1" applyAlignment="1" applyProtection="1">
      <alignment vertical="center" wrapText="1"/>
    </xf>
    <xf numFmtId="0" fontId="0" fillId="37" borderId="12" xfId="0" applyFont="1" applyFill="1" applyBorder="1" applyAlignment="1" applyProtection="1">
      <alignment vertical="top" wrapText="1"/>
      <protection locked="0"/>
    </xf>
    <xf numFmtId="0" fontId="0" fillId="37" borderId="10" xfId="0" applyFont="1" applyFill="1" applyBorder="1" applyAlignment="1" applyProtection="1">
      <alignment vertical="top" wrapText="1"/>
      <protection locked="0"/>
    </xf>
    <xf numFmtId="0" fontId="0" fillId="37" borderId="39" xfId="0" applyFont="1" applyFill="1" applyBorder="1" applyAlignment="1" applyProtection="1">
      <alignment vertical="top" wrapText="1"/>
      <protection locked="0"/>
    </xf>
    <xf numFmtId="0" fontId="0" fillId="37" borderId="4" xfId="0" applyFont="1" applyFill="1" applyBorder="1" applyAlignment="1" applyProtection="1">
      <alignment vertical="top" wrapText="1"/>
      <protection locked="0"/>
    </xf>
    <xf numFmtId="0" fontId="0" fillId="37" borderId="46" xfId="0" applyFont="1" applyFill="1" applyBorder="1" applyAlignment="1" applyProtection="1">
      <alignment vertical="top" wrapText="1"/>
      <protection locked="0"/>
    </xf>
    <xf numFmtId="0" fontId="0" fillId="37" borderId="48" xfId="0" applyFont="1" applyFill="1" applyBorder="1" applyAlignment="1" applyProtection="1">
      <alignment vertical="top" wrapText="1"/>
      <protection locked="0"/>
    </xf>
    <xf numFmtId="0" fontId="0" fillId="37" borderId="15" xfId="0" applyFont="1" applyFill="1" applyBorder="1" applyAlignment="1" applyProtection="1">
      <alignment vertical="top" wrapText="1"/>
      <protection locked="0"/>
    </xf>
    <xf numFmtId="0" fontId="0" fillId="37" borderId="42" xfId="0" applyFont="1" applyFill="1" applyBorder="1" applyAlignment="1" applyProtection="1">
      <alignment vertical="top" wrapText="1"/>
      <protection locked="0"/>
    </xf>
    <xf numFmtId="0" fontId="0" fillId="37" borderId="43" xfId="0" applyFont="1" applyFill="1" applyBorder="1" applyAlignment="1" applyProtection="1">
      <alignment vertical="top" wrapText="1"/>
      <protection locked="0"/>
    </xf>
    <xf numFmtId="0" fontId="0" fillId="37" borderId="0" xfId="0" applyFont="1" applyFill="1" applyAlignment="1" applyProtection="1">
      <alignment horizontal="left" vertical="center" wrapText="1"/>
      <protection locked="0"/>
    </xf>
    <xf numFmtId="0" fontId="0" fillId="37" borderId="0" xfId="0" applyFont="1" applyFill="1" applyAlignment="1">
      <alignment horizontal="left" vertical="center" wrapText="1"/>
    </xf>
    <xf numFmtId="0" fontId="14" fillId="35" borderId="8" xfId="0" applyFont="1" applyFill="1" applyBorder="1" applyAlignment="1" applyProtection="1">
      <alignment horizontal="left" vertical="center" wrapText="1"/>
    </xf>
    <xf numFmtId="0" fontId="15" fillId="36" borderId="20" xfId="0" applyFont="1" applyFill="1" applyBorder="1" applyAlignment="1" applyProtection="1">
      <alignment horizontal="center" vertical="center" wrapText="1"/>
    </xf>
    <xf numFmtId="0" fontId="15" fillId="36" borderId="9" xfId="0" applyFont="1" applyFill="1" applyBorder="1" applyAlignment="1" applyProtection="1">
      <alignment horizontal="center" vertical="center" wrapText="1"/>
    </xf>
    <xf numFmtId="0" fontId="14" fillId="35" borderId="9" xfId="0" applyFont="1" applyFill="1" applyBorder="1" applyAlignment="1" applyProtection="1">
      <alignment horizontal="left" vertical="center" wrapText="1"/>
    </xf>
    <xf numFmtId="0" fontId="14" fillId="35" borderId="20" xfId="0" applyFont="1" applyFill="1" applyBorder="1" applyAlignment="1" applyProtection="1">
      <alignment vertical="center" wrapText="1"/>
    </xf>
    <xf numFmtId="0" fontId="14" fillId="35" borderId="8" xfId="0" applyFont="1" applyFill="1" applyBorder="1" applyAlignment="1" applyProtection="1">
      <alignment vertical="center" wrapText="1"/>
    </xf>
    <xf numFmtId="0" fontId="16" fillId="35" borderId="20" xfId="0" applyFont="1" applyFill="1" applyBorder="1" applyAlignment="1" applyProtection="1">
      <alignment horizontal="left" vertical="center" wrapText="1"/>
    </xf>
    <xf numFmtId="0" fontId="16" fillId="35" borderId="8" xfId="0" applyFont="1" applyFill="1" applyBorder="1" applyAlignment="1" applyProtection="1">
      <alignment horizontal="left" vertical="center" wrapText="1"/>
    </xf>
    <xf numFmtId="0" fontId="14" fillId="35" borderId="8" xfId="0" applyFont="1" applyFill="1" applyBorder="1" applyAlignment="1" applyProtection="1">
      <alignment horizontal="left" vertical="center" wrapText="1"/>
    </xf>
    <xf numFmtId="0" fontId="14" fillId="35" borderId="9" xfId="0" applyFont="1" applyFill="1" applyBorder="1" applyAlignment="1" applyProtection="1">
      <alignment horizontal="left" vertical="center" wrapText="1"/>
    </xf>
    <xf numFmtId="0" fontId="15" fillId="36" borderId="20" xfId="0" applyFont="1" applyFill="1" applyBorder="1" applyAlignment="1" applyProtection="1">
      <alignment horizontal="center" vertical="center" wrapText="1"/>
    </xf>
    <xf numFmtId="0" fontId="15" fillId="36" borderId="9" xfId="0" applyFont="1" applyFill="1" applyBorder="1" applyAlignment="1" applyProtection="1">
      <alignment horizontal="center" vertical="center" wrapText="1"/>
    </xf>
    <xf numFmtId="0" fontId="15" fillId="36" borderId="1" xfId="0" applyFont="1" applyFill="1" applyBorder="1" applyAlignment="1" applyProtection="1">
      <alignment horizontal="center" vertical="center" wrapText="1"/>
    </xf>
    <xf numFmtId="0" fontId="11" fillId="0" borderId="0" xfId="0" applyFont="1" applyFill="1" applyBorder="1" applyAlignment="1" applyProtection="1">
      <alignment horizontal="center" vertical="center" wrapText="1"/>
    </xf>
    <xf numFmtId="0" fontId="16" fillId="35" borderId="20" xfId="0" applyFont="1" applyFill="1" applyBorder="1" applyAlignment="1" applyProtection="1">
      <alignment horizontal="left" vertical="center" wrapText="1"/>
    </xf>
    <xf numFmtId="0" fontId="16" fillId="35" borderId="8" xfId="0" applyFont="1" applyFill="1" applyBorder="1" applyAlignment="1" applyProtection="1">
      <alignment horizontal="left" vertical="center" wrapText="1"/>
    </xf>
    <xf numFmtId="0" fontId="15" fillId="37" borderId="23" xfId="0" applyFont="1" applyFill="1" applyBorder="1" applyAlignment="1" applyProtection="1">
      <alignment horizontal="center" vertical="center" wrapText="1"/>
      <protection locked="0"/>
    </xf>
    <xf numFmtId="0" fontId="15" fillId="37" borderId="0" xfId="0" applyFont="1" applyFill="1" applyBorder="1" applyAlignment="1" applyProtection="1">
      <alignment horizontal="center" vertical="center" wrapText="1"/>
      <protection locked="0"/>
    </xf>
    <xf numFmtId="0" fontId="15" fillId="36" borderId="21" xfId="0" applyFont="1" applyFill="1" applyBorder="1" applyAlignment="1" applyProtection="1">
      <alignment horizontal="center" vertical="center" wrapText="1"/>
    </xf>
    <xf numFmtId="0" fontId="0" fillId="37" borderId="23" xfId="0" applyFont="1" applyFill="1" applyBorder="1" applyAlignment="1" applyProtection="1">
      <alignment horizontal="left" vertical="top" wrapText="1"/>
      <protection locked="0"/>
    </xf>
    <xf numFmtId="0" fontId="0" fillId="37" borderId="0" xfId="0" applyFont="1" applyFill="1" applyBorder="1" applyAlignment="1" applyProtection="1">
      <alignment horizontal="left" vertical="top" wrapText="1"/>
      <protection locked="0"/>
    </xf>
    <xf numFmtId="0" fontId="14" fillId="35" borderId="20" xfId="0" applyFont="1" applyFill="1" applyBorder="1" applyAlignment="1" applyProtection="1">
      <alignment vertical="center" wrapText="1"/>
    </xf>
    <xf numFmtId="0" fontId="14" fillId="35" borderId="8" xfId="0" applyFont="1" applyFill="1" applyBorder="1" applyAlignment="1" applyProtection="1">
      <alignment vertical="center" wrapText="1"/>
    </xf>
    <xf numFmtId="49" fontId="0" fillId="37" borderId="23" xfId="0" applyNumberFormat="1" applyFont="1" applyFill="1" applyBorder="1" applyAlignment="1" applyProtection="1">
      <alignment horizontal="left" vertical="top" wrapText="1"/>
      <protection locked="0"/>
    </xf>
    <xf numFmtId="49" fontId="0" fillId="37" borderId="0" xfId="0" applyNumberFormat="1" applyFont="1" applyFill="1" applyBorder="1" applyAlignment="1" applyProtection="1">
      <alignment horizontal="left" vertical="top" wrapText="1"/>
      <protection locked="0"/>
    </xf>
    <xf numFmtId="0" fontId="43" fillId="37" borderId="0" xfId="0" applyFont="1" applyFill="1" applyBorder="1" applyAlignment="1" applyProtection="1">
      <alignment horizontal="center" vertical="center" wrapText="1"/>
      <protection locked="0"/>
    </xf>
    <xf numFmtId="0" fontId="14" fillId="35" borderId="20" xfId="0" applyFont="1" applyFill="1" applyBorder="1" applyAlignment="1" applyProtection="1">
      <alignment horizontal="left" vertical="center"/>
    </xf>
    <xf numFmtId="0" fontId="16" fillId="35" borderId="20" xfId="0" applyFont="1" applyFill="1" applyBorder="1" applyAlignment="1" applyProtection="1">
      <alignment horizontal="left" vertical="center"/>
    </xf>
    <xf numFmtId="0" fontId="16" fillId="35" borderId="8" xfId="0" applyFont="1" applyFill="1" applyBorder="1" applyAlignment="1" applyProtection="1">
      <alignment horizontal="left" vertical="center"/>
    </xf>
    <xf numFmtId="0" fontId="16" fillId="35" borderId="9" xfId="0" applyFont="1" applyFill="1" applyBorder="1" applyAlignment="1" applyProtection="1">
      <alignment horizontal="left" vertical="center" wrapText="1"/>
    </xf>
    <xf numFmtId="0" fontId="13" fillId="37" borderId="16" xfId="0" applyFont="1" applyFill="1" applyBorder="1" applyAlignment="1" applyProtection="1">
      <alignment horizontal="right" vertical="center" wrapText="1"/>
    </xf>
    <xf numFmtId="0" fontId="12" fillId="41" borderId="0" xfId="0" applyFont="1" applyFill="1" applyAlignment="1" applyProtection="1">
      <alignment horizontal="left" vertical="center" wrapText="1"/>
      <protection locked="0"/>
    </xf>
    <xf numFmtId="0" fontId="12" fillId="41" borderId="18" xfId="0" applyFont="1" applyFill="1" applyBorder="1" applyAlignment="1" applyProtection="1">
      <alignment horizontal="left" vertical="center" wrapText="1"/>
      <protection locked="0"/>
    </xf>
    <xf numFmtId="0" fontId="12" fillId="41" borderId="17" xfId="0" applyFont="1" applyFill="1" applyBorder="1" applyAlignment="1" applyProtection="1">
      <alignment horizontal="left" vertical="center" wrapText="1"/>
      <protection locked="0"/>
    </xf>
    <xf numFmtId="0" fontId="0" fillId="36" borderId="74" xfId="0" applyFont="1" applyFill="1" applyBorder="1" applyAlignment="1" applyProtection="1">
      <alignment horizontal="center" vertical="center" wrapText="1"/>
      <protection locked="0"/>
    </xf>
    <xf numFmtId="0" fontId="0" fillId="36" borderId="75" xfId="0" applyFont="1" applyFill="1" applyBorder="1" applyAlignment="1" applyProtection="1">
      <alignment horizontal="center" vertical="center" wrapText="1"/>
      <protection locked="0"/>
    </xf>
    <xf numFmtId="0" fontId="0" fillId="36" borderId="76" xfId="0" applyFont="1" applyFill="1" applyBorder="1" applyAlignment="1" applyProtection="1">
      <alignment horizontal="center" vertical="center" wrapText="1"/>
      <protection locked="0"/>
    </xf>
    <xf numFmtId="0" fontId="0" fillId="36" borderId="77" xfId="0" applyFont="1" applyFill="1" applyBorder="1" applyAlignment="1" applyProtection="1">
      <alignment horizontal="center" vertical="center" wrapText="1"/>
      <protection locked="0"/>
    </xf>
    <xf numFmtId="166" fontId="0" fillId="36" borderId="81" xfId="0" applyNumberFormat="1" applyFont="1" applyFill="1" applyBorder="1" applyAlignment="1" applyProtection="1">
      <alignment horizontal="center" vertical="center" wrapText="1"/>
    </xf>
    <xf numFmtId="166" fontId="0" fillId="36" borderId="82" xfId="0" applyNumberFormat="1" applyFont="1" applyFill="1" applyBorder="1" applyAlignment="1" applyProtection="1">
      <alignment horizontal="center" vertical="center" wrapText="1"/>
    </xf>
    <xf numFmtId="0" fontId="0" fillId="0" borderId="0" xfId="0" applyFont="1" applyAlignment="1" applyProtection="1">
      <alignment horizontal="left" vertical="center" wrapText="1"/>
      <protection locked="0"/>
    </xf>
    <xf numFmtId="0" fontId="0" fillId="0" borderId="0" xfId="0" applyFont="1" applyAlignment="1">
      <alignment horizontal="left" vertical="center" wrapText="1"/>
    </xf>
    <xf numFmtId="0" fontId="14" fillId="35" borderId="8" xfId="0" applyFont="1" applyFill="1" applyBorder="1" applyAlignment="1" applyProtection="1">
      <alignment horizontal="left" vertical="center"/>
    </xf>
    <xf numFmtId="0" fontId="14" fillId="37" borderId="0" xfId="0" applyFont="1" applyFill="1" applyAlignment="1" applyProtection="1">
      <alignment horizontal="left" vertical="center" wrapText="1"/>
      <protection locked="0"/>
    </xf>
    <xf numFmtId="0" fontId="16" fillId="0" borderId="0" xfId="0" applyFont="1" applyAlignment="1" applyProtection="1">
      <alignment horizontal="left" vertical="center" wrapText="1"/>
      <protection locked="0"/>
    </xf>
    <xf numFmtId="0" fontId="16" fillId="0" borderId="0" xfId="0" applyFont="1" applyAlignment="1">
      <alignment horizontal="left" vertical="center" wrapText="1"/>
    </xf>
    <xf numFmtId="3" fontId="0" fillId="36" borderId="8" xfId="0" applyNumberFormat="1" applyFont="1" applyFill="1" applyBorder="1" applyAlignment="1" applyProtection="1">
      <alignment horizontal="left" vertical="center" wrapText="1"/>
    </xf>
    <xf numFmtId="3" fontId="0" fillId="36" borderId="9" xfId="0" applyNumberFormat="1" applyFont="1" applyFill="1" applyBorder="1" applyAlignment="1" applyProtection="1">
      <alignment horizontal="left" vertical="center" wrapText="1"/>
    </xf>
    <xf numFmtId="3" fontId="0" fillId="36" borderId="8" xfId="0" applyNumberFormat="1" applyFont="1" applyFill="1" applyBorder="1" applyAlignment="1" applyProtection="1">
      <alignment horizontal="right" vertical="center" wrapText="1"/>
    </xf>
    <xf numFmtId="3" fontId="0" fillId="36" borderId="66" xfId="0" applyNumberFormat="1" applyFont="1" applyFill="1" applyBorder="1" applyAlignment="1" applyProtection="1">
      <alignment horizontal="right" vertical="center" wrapText="1"/>
    </xf>
    <xf numFmtId="0" fontId="0" fillId="34" borderId="1" xfId="0" applyFill="1" applyBorder="1" applyAlignment="1" applyProtection="1">
      <alignment horizontal="left" vertical="top" wrapText="1"/>
    </xf>
    <xf numFmtId="0" fontId="0" fillId="0" borderId="0" xfId="0" applyAlignment="1">
      <alignment horizontal="left" vertical="top" wrapText="1"/>
    </xf>
    <xf numFmtId="0" fontId="0" fillId="0" borderId="0" xfId="0" applyAlignment="1" applyProtection="1">
      <alignment horizontal="left" vertical="top" wrapText="1"/>
    </xf>
    <xf numFmtId="0" fontId="41" fillId="0" borderId="1" xfId="0" applyFont="1" applyBorder="1" applyAlignment="1" applyProtection="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pplyProtection="1">
      <alignment horizontal="left" vertical="top" wrapText="1"/>
    </xf>
    <xf numFmtId="0" fontId="0" fillId="0" borderId="1" xfId="0" applyBorder="1" applyAlignment="1">
      <alignment horizontal="left" vertical="top" wrapText="1"/>
    </xf>
    <xf numFmtId="0" fontId="0" fillId="39" borderId="1" xfId="0" applyFill="1" applyBorder="1" applyAlignment="1">
      <alignment horizontal="left" vertical="top" wrapText="1"/>
    </xf>
    <xf numFmtId="0" fontId="0" fillId="39" borderId="1" xfId="0" applyFont="1" applyFill="1" applyBorder="1" applyAlignment="1">
      <alignment horizontal="left" vertical="top" wrapText="1"/>
    </xf>
    <xf numFmtId="0" fontId="0" fillId="0" borderId="1" xfId="0" applyFill="1" applyBorder="1" applyAlignment="1">
      <alignment horizontal="left" vertical="top" wrapText="1"/>
    </xf>
    <xf numFmtId="0" fontId="14" fillId="35" borderId="70" xfId="0" applyFont="1" applyFill="1" applyBorder="1" applyAlignment="1" applyProtection="1">
      <alignment vertical="center" wrapText="1"/>
    </xf>
    <xf numFmtId="0" fontId="10" fillId="37" borderId="0" xfId="0" applyFont="1" applyFill="1" applyAlignment="1" applyProtection="1">
      <alignment horizontal="left" wrapText="1"/>
      <protection locked="0"/>
    </xf>
    <xf numFmtId="0" fontId="14" fillId="37" borderId="0" xfId="0" applyFont="1" applyFill="1" applyBorder="1" applyAlignment="1" applyProtection="1">
      <alignment horizontal="center" vertical="center" wrapText="1"/>
      <protection locked="0"/>
    </xf>
    <xf numFmtId="49" fontId="10" fillId="37" borderId="0" xfId="0" applyNumberFormat="1" applyFont="1" applyFill="1" applyBorder="1" applyAlignment="1" applyProtection="1">
      <alignment horizontal="left" vertical="top" wrapText="1"/>
      <protection locked="0"/>
    </xf>
    <xf numFmtId="3" fontId="10" fillId="37" borderId="0" xfId="0" applyNumberFormat="1" applyFont="1" applyFill="1" applyBorder="1" applyAlignment="1" applyProtection="1">
      <alignment vertical="center" wrapText="1"/>
      <protection locked="0"/>
    </xf>
    <xf numFmtId="3" fontId="0" fillId="0" borderId="10" xfId="0" applyNumberFormat="1" applyFont="1" applyFill="1" applyBorder="1" applyAlignment="1" applyProtection="1">
      <alignment horizontal="center" vertical="center" wrapText="1"/>
      <protection locked="0"/>
    </xf>
    <xf numFmtId="3" fontId="0" fillId="0" borderId="11" xfId="0" applyNumberFormat="1" applyFont="1" applyFill="1" applyBorder="1" applyAlignment="1" applyProtection="1">
      <alignment horizontal="center" vertical="center" wrapText="1"/>
      <protection locked="0"/>
    </xf>
    <xf numFmtId="3" fontId="0" fillId="0" borderId="5" xfId="0" applyNumberFormat="1" applyFont="1" applyFill="1" applyBorder="1" applyAlignment="1" applyProtection="1">
      <alignment horizontal="center" vertical="center" wrapText="1"/>
      <protection locked="0"/>
    </xf>
    <xf numFmtId="3" fontId="0" fillId="0" borderId="7" xfId="0" applyNumberFormat="1" applyFont="1" applyFill="1" applyBorder="1" applyAlignment="1" applyProtection="1">
      <alignment horizontal="center" vertical="center" wrapText="1"/>
      <protection locked="0"/>
    </xf>
    <xf numFmtId="3" fontId="0" fillId="0" borderId="0" xfId="0" applyNumberFormat="1"/>
    <xf numFmtId="0" fontId="47" fillId="0" borderId="0" xfId="89" applyFont="1"/>
    <xf numFmtId="0" fontId="8" fillId="0" borderId="0" xfId="89"/>
    <xf numFmtId="0" fontId="8" fillId="39" borderId="0" xfId="89" applyFill="1"/>
    <xf numFmtId="0" fontId="8" fillId="0" borderId="0" xfId="89" applyFill="1"/>
    <xf numFmtId="0" fontId="8" fillId="0" borderId="0" xfId="89" applyAlignment="1"/>
    <xf numFmtId="0" fontId="8" fillId="39" borderId="0" xfId="89" applyFill="1" applyAlignment="1"/>
    <xf numFmtId="0" fontId="47" fillId="0" borderId="0" xfId="89" applyFont="1" applyAlignment="1"/>
    <xf numFmtId="0" fontId="8" fillId="40" borderId="0" xfId="89" applyFill="1"/>
    <xf numFmtId="0" fontId="47" fillId="0" borderId="0" xfId="89" applyFont="1" applyAlignment="1">
      <alignment horizontal="left"/>
    </xf>
    <xf numFmtId="0" fontId="13" fillId="0" borderId="0" xfId="0" applyFont="1"/>
    <xf numFmtId="0" fontId="12" fillId="0" borderId="0" xfId="0" applyFont="1"/>
    <xf numFmtId="3" fontId="12" fillId="0" borderId="0" xfId="0" applyNumberFormat="1" applyFont="1"/>
    <xf numFmtId="9" fontId="0" fillId="0" borderId="0" xfId="0" applyNumberFormat="1"/>
    <xf numFmtId="0" fontId="0" fillId="0" borderId="0" xfId="0" applyBorder="1"/>
    <xf numFmtId="3" fontId="0" fillId="0" borderId="0" xfId="0" applyNumberFormat="1" applyBorder="1"/>
    <xf numFmtId="9" fontId="0" fillId="0" borderId="0" xfId="0" applyNumberFormat="1" applyBorder="1"/>
    <xf numFmtId="0" fontId="0" fillId="0" borderId="84" xfId="0" applyBorder="1" applyAlignment="1">
      <alignment horizontal="left" vertical="top" wrapText="1"/>
    </xf>
    <xf numFmtId="0" fontId="12" fillId="35" borderId="0" xfId="0" applyFont="1" applyFill="1" applyBorder="1" applyAlignment="1">
      <alignment vertical="center"/>
    </xf>
    <xf numFmtId="0" fontId="12" fillId="35" borderId="0" xfId="0" applyFont="1" applyFill="1" applyBorder="1"/>
    <xf numFmtId="0" fontId="0" fillId="0" borderId="0" xfId="0" pivotButton="1" applyBorder="1"/>
    <xf numFmtId="0" fontId="0" fillId="0" borderId="0" xfId="0" applyBorder="1" applyAlignment="1">
      <alignment horizontal="left"/>
    </xf>
    <xf numFmtId="49" fontId="0" fillId="0" borderId="0" xfId="0" applyNumberFormat="1" applyFont="1"/>
    <xf numFmtId="0" fontId="15" fillId="36" borderId="1" xfId="0" applyFont="1" applyFill="1" applyBorder="1" applyAlignment="1" applyProtection="1">
      <alignment horizontal="center" vertical="center" wrapText="1"/>
    </xf>
    <xf numFmtId="0" fontId="15" fillId="36" borderId="20" xfId="0" applyFont="1" applyFill="1" applyBorder="1" applyAlignment="1" applyProtection="1">
      <alignment horizontal="center" vertical="center" wrapText="1"/>
    </xf>
    <xf numFmtId="0" fontId="15" fillId="36" borderId="9" xfId="0" applyFont="1" applyFill="1" applyBorder="1" applyAlignment="1" applyProtection="1">
      <alignment horizontal="center" vertical="center" wrapText="1"/>
    </xf>
    <xf numFmtId="3" fontId="0" fillId="36" borderId="8" xfId="0" applyNumberFormat="1" applyFont="1" applyFill="1" applyBorder="1" applyAlignment="1" applyProtection="1">
      <alignment horizontal="right" vertical="center" wrapText="1"/>
    </xf>
    <xf numFmtId="0" fontId="15" fillId="36" borderId="21" xfId="0" applyFont="1" applyFill="1" applyBorder="1" applyAlignment="1" applyProtection="1">
      <alignment horizontal="center" vertical="center" wrapText="1"/>
    </xf>
    <xf numFmtId="0" fontId="14" fillId="35" borderId="8" xfId="0" applyFont="1" applyFill="1" applyBorder="1" applyAlignment="1" applyProtection="1">
      <alignment horizontal="left" vertical="center" wrapText="1"/>
    </xf>
    <xf numFmtId="0" fontId="14" fillId="35" borderId="9" xfId="0" applyFont="1" applyFill="1" applyBorder="1" applyAlignment="1" applyProtection="1">
      <alignment horizontal="left" vertical="center" wrapText="1"/>
    </xf>
    <xf numFmtId="0" fontId="14" fillId="35" borderId="20" xfId="0" applyFont="1" applyFill="1" applyBorder="1" applyAlignment="1" applyProtection="1">
      <alignment vertical="center" wrapText="1"/>
    </xf>
    <xf numFmtId="0" fontId="14" fillId="35" borderId="8" xfId="0" applyFont="1" applyFill="1" applyBorder="1" applyAlignment="1" applyProtection="1">
      <alignment vertical="center" wrapText="1"/>
    </xf>
    <xf numFmtId="0" fontId="15" fillId="37" borderId="0" xfId="0" applyFont="1" applyFill="1" applyBorder="1" applyAlignment="1" applyProtection="1">
      <alignment horizontal="center" vertical="center" wrapText="1"/>
      <protection locked="0"/>
    </xf>
    <xf numFmtId="49" fontId="0" fillId="37" borderId="0" xfId="0" applyNumberFormat="1" applyFont="1" applyFill="1" applyBorder="1" applyAlignment="1" applyProtection="1">
      <alignment horizontal="left" vertical="top" wrapText="1"/>
      <protection locked="0"/>
    </xf>
    <xf numFmtId="0" fontId="0" fillId="37" borderId="0" xfId="0" applyNumberFormat="1" applyFont="1" applyFill="1" applyBorder="1" applyAlignment="1" applyProtection="1">
      <alignment horizontal="left" vertical="top" wrapText="1"/>
      <protection locked="0"/>
    </xf>
    <xf numFmtId="0" fontId="10" fillId="37" borderId="0" xfId="0" applyNumberFormat="1" applyFont="1" applyFill="1" applyAlignment="1" applyProtection="1">
      <alignment horizontal="right" vertical="center" wrapText="1"/>
      <protection locked="0"/>
    </xf>
    <xf numFmtId="0" fontId="12" fillId="37" borderId="0" xfId="0" applyNumberFormat="1" applyFont="1" applyFill="1" applyAlignment="1" applyProtection="1">
      <alignment horizontal="right" vertical="center" wrapText="1"/>
      <protection locked="0"/>
    </xf>
    <xf numFmtId="0" fontId="11" fillId="37" borderId="0" xfId="0" applyNumberFormat="1" applyFont="1" applyFill="1" applyAlignment="1" applyProtection="1">
      <alignment horizontal="right" wrapText="1"/>
      <protection locked="0"/>
    </xf>
    <xf numFmtId="0" fontId="14" fillId="37" borderId="0" xfId="0" applyNumberFormat="1" applyFont="1" applyFill="1" applyBorder="1" applyAlignment="1" applyProtection="1">
      <alignment horizontal="right" vertical="center" wrapText="1"/>
      <protection locked="0"/>
    </xf>
    <xf numFmtId="0" fontId="15" fillId="37" borderId="0" xfId="0" applyNumberFormat="1" applyFont="1" applyFill="1" applyBorder="1" applyAlignment="1" applyProtection="1">
      <alignment horizontal="right" vertical="center" wrapText="1"/>
      <protection locked="0"/>
    </xf>
    <xf numFmtId="0" fontId="10" fillId="0" borderId="0" xfId="0" applyNumberFormat="1" applyFont="1" applyAlignment="1">
      <alignment horizontal="right" vertical="center" wrapText="1"/>
    </xf>
    <xf numFmtId="0" fontId="14" fillId="37" borderId="0" xfId="0" applyNumberFormat="1" applyFont="1" applyFill="1" applyBorder="1" applyAlignment="1" applyProtection="1">
      <alignment horizontal="left" vertical="top" wrapText="1"/>
      <protection locked="0"/>
    </xf>
    <xf numFmtId="0" fontId="15" fillId="37" borderId="0" xfId="0" applyNumberFormat="1" applyFont="1" applyFill="1" applyBorder="1" applyAlignment="1" applyProtection="1">
      <alignment horizontal="right" vertical="top" wrapText="1"/>
      <protection locked="0"/>
    </xf>
    <xf numFmtId="0" fontId="0" fillId="37" borderId="0" xfId="0" applyNumberFormat="1" applyFont="1" applyFill="1" applyBorder="1" applyAlignment="1" applyProtection="1">
      <alignment horizontal="right" vertical="top" wrapText="1"/>
      <protection locked="0"/>
    </xf>
    <xf numFmtId="0" fontId="7" fillId="0" borderId="0" xfId="89" applyFont="1"/>
    <xf numFmtId="0" fontId="6" fillId="0" borderId="0" xfId="89" applyFont="1"/>
    <xf numFmtId="0" fontId="6" fillId="40" borderId="0" xfId="89" applyFont="1" applyFill="1"/>
    <xf numFmtId="0" fontId="6" fillId="0" borderId="0" xfId="89" applyFont="1" applyAlignment="1"/>
    <xf numFmtId="0" fontId="5" fillId="0" borderId="0" xfId="89" applyFont="1"/>
    <xf numFmtId="0" fontId="4" fillId="0" borderId="0" xfId="89" applyFont="1" applyAlignment="1"/>
    <xf numFmtId="0" fontId="0" fillId="37" borderId="0" xfId="0" applyFont="1" applyFill="1" applyBorder="1" applyAlignment="1" applyProtection="1">
      <alignment horizontal="left" vertical="top" wrapText="1"/>
      <protection locked="0"/>
    </xf>
    <xf numFmtId="0" fontId="15" fillId="36" borderId="20" xfId="0" applyFont="1" applyFill="1" applyBorder="1" applyAlignment="1" applyProtection="1">
      <alignment horizontal="center" vertical="center" wrapText="1"/>
    </xf>
    <xf numFmtId="0" fontId="15" fillId="36" borderId="9" xfId="0" applyFont="1" applyFill="1" applyBorder="1" applyAlignment="1" applyProtection="1">
      <alignment horizontal="center" vertical="center" wrapText="1"/>
    </xf>
    <xf numFmtId="3" fontId="0" fillId="36" borderId="8" xfId="0" applyNumberFormat="1" applyFont="1" applyFill="1" applyBorder="1" applyAlignment="1" applyProtection="1">
      <alignment horizontal="right" vertical="center" wrapText="1"/>
    </xf>
    <xf numFmtId="0" fontId="15" fillId="36" borderId="21" xfId="0" applyFont="1" applyFill="1" applyBorder="1" applyAlignment="1" applyProtection="1">
      <alignment horizontal="center" vertical="center" wrapText="1"/>
    </xf>
    <xf numFmtId="0" fontId="14" fillId="35" borderId="8" xfId="0" applyFont="1" applyFill="1" applyBorder="1" applyAlignment="1" applyProtection="1">
      <alignment horizontal="left" vertical="center" wrapText="1"/>
    </xf>
    <xf numFmtId="0" fontId="14" fillId="35" borderId="9" xfId="0" applyFont="1" applyFill="1" applyBorder="1" applyAlignment="1" applyProtection="1">
      <alignment horizontal="left" vertical="center" wrapText="1"/>
    </xf>
    <xf numFmtId="0" fontId="14" fillId="35" borderId="20" xfId="0" applyFont="1" applyFill="1" applyBorder="1" applyAlignment="1" applyProtection="1">
      <alignment vertical="center" wrapText="1"/>
    </xf>
    <xf numFmtId="0" fontId="14" fillId="35" borderId="8" xfId="0" applyFont="1" applyFill="1" applyBorder="1" applyAlignment="1" applyProtection="1">
      <alignment vertical="center" wrapText="1"/>
    </xf>
    <xf numFmtId="0" fontId="0" fillId="37" borderId="0" xfId="0" applyNumberFormat="1" applyFont="1" applyFill="1" applyBorder="1" applyAlignment="1" applyProtection="1">
      <alignment horizontal="right" vertical="top" wrapText="1"/>
      <protection locked="0"/>
    </xf>
    <xf numFmtId="49" fontId="0" fillId="37" borderId="0" xfId="0" applyNumberFormat="1" applyFont="1" applyFill="1" applyBorder="1" applyAlignment="1" applyProtection="1">
      <alignment horizontal="left" vertical="top" wrapText="1"/>
      <protection locked="0"/>
    </xf>
    <xf numFmtId="0" fontId="15" fillId="37" borderId="0" xfId="0" applyNumberFormat="1" applyFont="1" applyFill="1" applyBorder="1" applyAlignment="1" applyProtection="1">
      <alignment horizontal="right" vertical="top" wrapText="1"/>
      <protection locked="0"/>
    </xf>
    <xf numFmtId="0" fontId="15" fillId="37" borderId="0" xfId="0" applyFont="1" applyFill="1" applyBorder="1" applyAlignment="1" applyProtection="1">
      <alignment horizontal="center" vertical="center" wrapText="1"/>
      <protection locked="0"/>
    </xf>
    <xf numFmtId="0" fontId="15" fillId="36" borderId="84" xfId="0" applyFont="1" applyFill="1" applyBorder="1" applyAlignment="1" applyProtection="1">
      <alignment horizontal="center" vertical="center" wrapText="1"/>
    </xf>
    <xf numFmtId="4" fontId="0" fillId="36" borderId="8" xfId="0" applyNumberFormat="1" applyFont="1" applyFill="1" applyBorder="1" applyAlignment="1" applyProtection="1">
      <alignment horizontal="left" vertical="center" wrapText="1"/>
    </xf>
    <xf numFmtId="0" fontId="49" fillId="37" borderId="0" xfId="0" applyFont="1" applyFill="1" applyBorder="1" applyAlignment="1" applyProtection="1">
      <alignment horizontal="center" vertical="center" wrapText="1"/>
      <protection locked="0"/>
    </xf>
    <xf numFmtId="0" fontId="51" fillId="37" borderId="0" xfId="0" applyFont="1" applyFill="1" applyBorder="1" applyAlignment="1" applyProtection="1">
      <alignment horizontal="center" vertical="center" wrapText="1"/>
      <protection locked="0"/>
    </xf>
    <xf numFmtId="0" fontId="0" fillId="37" borderId="0" xfId="0" applyFont="1" applyFill="1" applyBorder="1" applyAlignment="1" applyProtection="1">
      <alignment vertical="center" wrapText="1"/>
      <protection locked="0"/>
    </xf>
    <xf numFmtId="0" fontId="15" fillId="0" borderId="0" xfId="0" applyFont="1"/>
    <xf numFmtId="3" fontId="15" fillId="0" borderId="0" xfId="0" applyNumberFormat="1" applyFont="1"/>
    <xf numFmtId="9" fontId="15" fillId="0" borderId="0" xfId="0" applyNumberFormat="1" applyFont="1"/>
    <xf numFmtId="3" fontId="0" fillId="0" borderId="0" xfId="0" applyNumberFormat="1"/>
    <xf numFmtId="3" fontId="0" fillId="37" borderId="10" xfId="0" applyNumberFormat="1" applyFont="1" applyFill="1" applyBorder="1" applyAlignment="1" applyProtection="1">
      <alignment horizontal="center" vertical="center" wrapText="1"/>
      <protection locked="0"/>
    </xf>
    <xf numFmtId="3" fontId="0" fillId="37" borderId="11" xfId="0" applyNumberFormat="1" applyFont="1" applyFill="1" applyBorder="1" applyAlignment="1" applyProtection="1">
      <alignment horizontal="center" vertical="center" wrapText="1"/>
      <protection locked="0"/>
    </xf>
    <xf numFmtId="0" fontId="15" fillId="42" borderId="0" xfId="0" applyFont="1" applyFill="1"/>
    <xf numFmtId="3" fontId="15" fillId="42" borderId="0" xfId="0" applyNumberFormat="1" applyFont="1" applyFill="1"/>
    <xf numFmtId="164" fontId="0" fillId="42" borderId="0" xfId="0" applyNumberFormat="1" applyFill="1"/>
    <xf numFmtId="0" fontId="15" fillId="37" borderId="16" xfId="0" applyFont="1" applyFill="1" applyBorder="1" applyAlignment="1" applyProtection="1">
      <alignment vertical="center" wrapText="1"/>
    </xf>
    <xf numFmtId="0" fontId="0" fillId="37" borderId="19" xfId="0" applyFont="1" applyFill="1" applyBorder="1" applyAlignment="1" applyProtection="1">
      <alignment horizontal="center" vertical="center" wrapText="1"/>
    </xf>
    <xf numFmtId="0" fontId="0" fillId="37" borderId="16" xfId="0" applyFont="1" applyFill="1" applyBorder="1" applyAlignment="1" applyProtection="1">
      <alignment horizontal="center" vertical="center" wrapText="1"/>
    </xf>
    <xf numFmtId="0" fontId="0" fillId="37" borderId="32" xfId="0" applyFont="1" applyFill="1" applyBorder="1" applyAlignment="1" applyProtection="1">
      <alignment horizontal="center" vertical="center" wrapText="1"/>
    </xf>
    <xf numFmtId="0" fontId="15" fillId="37" borderId="16" xfId="0" applyFont="1" applyFill="1" applyBorder="1" applyAlignment="1" applyProtection="1">
      <alignment horizontal="center" vertical="center" wrapText="1"/>
    </xf>
    <xf numFmtId="0" fontId="0" fillId="37" borderId="16" xfId="0" applyFont="1" applyFill="1" applyBorder="1" applyAlignment="1" applyProtection="1">
      <alignment horizontal="left" vertical="top" wrapText="1"/>
    </xf>
    <xf numFmtId="0" fontId="0" fillId="37" borderId="73" xfId="0" applyFont="1" applyFill="1" applyBorder="1" applyAlignment="1" applyProtection="1">
      <alignment horizontal="center" vertical="center" wrapText="1"/>
    </xf>
    <xf numFmtId="0" fontId="54" fillId="37" borderId="0" xfId="0" applyFont="1" applyFill="1" applyAlignment="1" applyProtection="1">
      <alignment horizontal="left" vertical="center" wrapText="1"/>
      <protection locked="0"/>
    </xf>
    <xf numFmtId="0" fontId="55" fillId="37" borderId="0" xfId="0" applyFont="1" applyFill="1" applyAlignment="1" applyProtection="1">
      <alignment horizontal="left" wrapText="1"/>
      <protection locked="0"/>
    </xf>
    <xf numFmtId="0" fontId="55" fillId="37" borderId="0" xfId="0" applyNumberFormat="1" applyFont="1" applyFill="1" applyAlignment="1" applyProtection="1">
      <alignment horizontal="right" wrapText="1"/>
      <protection locked="0"/>
    </xf>
    <xf numFmtId="0" fontId="54" fillId="37" borderId="0" xfId="0" applyFont="1" applyFill="1" applyAlignment="1" applyProtection="1">
      <alignment horizontal="left" wrapText="1"/>
      <protection locked="0"/>
    </xf>
    <xf numFmtId="0" fontId="55" fillId="0" borderId="0" xfId="0" applyFont="1" applyAlignment="1" applyProtection="1">
      <alignment horizontal="left" wrapText="1"/>
      <protection locked="0"/>
    </xf>
    <xf numFmtId="0" fontId="55" fillId="0" borderId="0" xfId="0" applyFont="1" applyAlignment="1" applyProtection="1">
      <alignment horizontal="left" wrapText="1"/>
      <protection locked="0" hidden="1"/>
    </xf>
    <xf numFmtId="0" fontId="57" fillId="0" borderId="0" xfId="0" applyFont="1"/>
    <xf numFmtId="0" fontId="0" fillId="39" borderId="0" xfId="0" applyFill="1"/>
    <xf numFmtId="3" fontId="0" fillId="39" borderId="0" xfId="0" applyNumberFormat="1" applyFill="1"/>
    <xf numFmtId="3" fontId="15" fillId="39" borderId="0" xfId="0" applyNumberFormat="1" applyFont="1" applyFill="1"/>
    <xf numFmtId="0" fontId="14" fillId="37" borderId="20" xfId="0" applyFont="1" applyFill="1" applyBorder="1" applyAlignment="1" applyProtection="1">
      <alignment horizontal="left" vertical="center" wrapText="1"/>
    </xf>
    <xf numFmtId="0" fontId="14" fillId="37" borderId="8" xfId="0" applyFont="1" applyFill="1" applyBorder="1" applyAlignment="1" applyProtection="1">
      <alignment horizontal="left" vertical="center" wrapText="1"/>
    </xf>
    <xf numFmtId="0" fontId="14" fillId="37" borderId="9" xfId="0" applyFont="1" applyFill="1" applyBorder="1" applyAlignment="1" applyProtection="1">
      <alignment horizontal="left" vertical="center" wrapText="1"/>
    </xf>
    <xf numFmtId="3" fontId="9" fillId="37" borderId="16" xfId="66" applyNumberFormat="1" applyFont="1" applyFill="1" applyBorder="1" applyAlignment="1" applyProtection="1">
      <alignment horizontal="right" vertical="center" wrapText="1"/>
    </xf>
    <xf numFmtId="0" fontId="0" fillId="37" borderId="8" xfId="0" applyFont="1" applyFill="1" applyBorder="1" applyAlignment="1" applyProtection="1">
      <alignment horizontal="left" vertical="center" wrapText="1"/>
    </xf>
    <xf numFmtId="0" fontId="0" fillId="37" borderId="8" xfId="0" applyFont="1" applyFill="1" applyBorder="1" applyAlignment="1" applyProtection="1">
      <alignment horizontal="center" vertical="center" wrapText="1"/>
    </xf>
    <xf numFmtId="0" fontId="0" fillId="37" borderId="9" xfId="0" applyFont="1" applyFill="1" applyBorder="1" applyAlignment="1" applyProtection="1">
      <alignment horizontal="center" vertical="center" wrapText="1"/>
    </xf>
    <xf numFmtId="3" fontId="9" fillId="37" borderId="0" xfId="66" applyNumberFormat="1" applyFont="1" applyFill="1" applyBorder="1" applyAlignment="1" applyProtection="1">
      <alignment horizontal="right" vertical="center" wrapText="1"/>
    </xf>
    <xf numFmtId="0" fontId="0" fillId="37" borderId="14" xfId="0" applyFont="1" applyFill="1" applyBorder="1" applyAlignment="1" applyProtection="1">
      <alignment horizontal="center" vertical="center" wrapText="1"/>
      <protection locked="0"/>
    </xf>
    <xf numFmtId="0" fontId="0" fillId="37" borderId="30" xfId="0" applyNumberFormat="1" applyFont="1" applyFill="1" applyBorder="1" applyAlignment="1" applyProtection="1">
      <alignment horizontal="center" vertical="center" wrapText="1"/>
      <protection locked="0"/>
    </xf>
    <xf numFmtId="3" fontId="0" fillId="37" borderId="5" xfId="0" applyNumberFormat="1" applyFont="1" applyFill="1" applyBorder="1" applyAlignment="1" applyProtection="1">
      <alignment horizontal="center" vertical="center" wrapText="1"/>
      <protection locked="0"/>
    </xf>
    <xf numFmtId="3" fontId="0" fillId="37" borderId="7" xfId="0" applyNumberFormat="1" applyFont="1" applyFill="1" applyBorder="1" applyAlignment="1" applyProtection="1">
      <alignment horizontal="center" vertical="center" wrapText="1"/>
      <protection locked="0"/>
    </xf>
    <xf numFmtId="9" fontId="0" fillId="39" borderId="0" xfId="83" applyFont="1" applyFill="1" applyAlignment="1">
      <alignment horizontal="center"/>
    </xf>
    <xf numFmtId="10" fontId="0" fillId="39" borderId="0" xfId="83" applyNumberFormat="1" applyFont="1" applyFill="1" applyAlignment="1">
      <alignment horizontal="center"/>
    </xf>
    <xf numFmtId="0" fontId="15" fillId="39" borderId="0" xfId="0" applyFont="1" applyFill="1"/>
    <xf numFmtId="168" fontId="0" fillId="39" borderId="0" xfId="90" applyNumberFormat="1" applyFont="1" applyFill="1"/>
    <xf numFmtId="0" fontId="0" fillId="0" borderId="0" xfId="0" applyAlignment="1">
      <alignment horizontal="center"/>
    </xf>
    <xf numFmtId="0" fontId="2" fillId="0" borderId="0" xfId="204"/>
    <xf numFmtId="3" fontId="2" fillId="0" borderId="0" xfId="204" applyNumberFormat="1"/>
    <xf numFmtId="4" fontId="2" fillId="0" borderId="0" xfId="204" applyNumberFormat="1"/>
    <xf numFmtId="168" fontId="0" fillId="0" borderId="0" xfId="206" applyNumberFormat="1" applyFont="1"/>
    <xf numFmtId="168" fontId="2" fillId="0" borderId="0" xfId="204" applyNumberFormat="1"/>
    <xf numFmtId="164" fontId="0" fillId="0" borderId="0" xfId="206" applyFont="1"/>
    <xf numFmtId="3" fontId="43" fillId="0" borderId="0" xfId="0" applyNumberFormat="1" applyFont="1"/>
    <xf numFmtId="168" fontId="43" fillId="0" borderId="0" xfId="0" applyNumberFormat="1" applyFont="1"/>
    <xf numFmtId="164" fontId="0" fillId="0" borderId="0" xfId="0" applyNumberFormat="1"/>
    <xf numFmtId="164" fontId="50" fillId="0" borderId="0" xfId="0" applyNumberFormat="1" applyFont="1"/>
    <xf numFmtId="0" fontId="51" fillId="0" borderId="0" xfId="0" applyFont="1"/>
    <xf numFmtId="164" fontId="51" fillId="0" borderId="0" xfId="0" applyNumberFormat="1" applyFont="1"/>
    <xf numFmtId="167" fontId="50" fillId="37" borderId="26" xfId="83" applyNumberFormat="1" applyFont="1" applyFill="1" applyBorder="1" applyAlignment="1" applyProtection="1">
      <alignment horizontal="center" vertical="center" wrapText="1"/>
      <protection locked="0"/>
    </xf>
    <xf numFmtId="167" fontId="0" fillId="37" borderId="36" xfId="83" applyNumberFormat="1" applyFont="1" applyFill="1" applyBorder="1" applyAlignment="1" applyProtection="1">
      <alignment horizontal="center" vertical="center" wrapText="1"/>
      <protection locked="0"/>
    </xf>
    <xf numFmtId="167" fontId="0" fillId="37" borderId="26" xfId="83" applyNumberFormat="1" applyFont="1" applyFill="1" applyBorder="1" applyAlignment="1" applyProtection="1">
      <alignment horizontal="center" vertical="center" wrapText="1"/>
      <protection locked="0"/>
    </xf>
    <xf numFmtId="168" fontId="0" fillId="43" borderId="0" xfId="90" applyNumberFormat="1" applyFont="1" applyFill="1"/>
    <xf numFmtId="3" fontId="0" fillId="43" borderId="0" xfId="0" applyNumberFormat="1" applyFill="1"/>
    <xf numFmtId="0" fontId="0" fillId="43" borderId="0" xfId="0" applyFill="1"/>
    <xf numFmtId="1" fontId="0" fillId="43" borderId="0" xfId="0" applyNumberFormat="1" applyFill="1"/>
    <xf numFmtId="3" fontId="0" fillId="39" borderId="66" xfId="0" applyNumberFormat="1" applyFont="1" applyFill="1" applyBorder="1" applyAlignment="1" applyProtection="1">
      <alignment horizontal="right" vertical="center" wrapText="1"/>
    </xf>
    <xf numFmtId="0" fontId="16" fillId="35" borderId="0" xfId="0" applyFont="1" applyFill="1" applyBorder="1" applyAlignment="1">
      <alignment vertical="center"/>
    </xf>
    <xf numFmtId="0" fontId="0" fillId="44" borderId="84" xfId="0" applyFill="1" applyBorder="1"/>
    <xf numFmtId="0" fontId="15" fillId="44" borderId="84" xfId="0" applyFont="1" applyFill="1" applyBorder="1" applyAlignment="1">
      <alignment vertical="center"/>
    </xf>
    <xf numFmtId="0" fontId="0" fillId="44" borderId="84" xfId="0" applyFont="1" applyFill="1" applyBorder="1" applyAlignment="1">
      <alignment vertical="center"/>
    </xf>
    <xf numFmtId="168" fontId="0" fillId="0" borderId="84" xfId="0" applyNumberFormat="1" applyBorder="1"/>
    <xf numFmtId="9" fontId="15" fillId="0" borderId="84" xfId="0" applyNumberFormat="1" applyFont="1" applyBorder="1"/>
    <xf numFmtId="0" fontId="14" fillId="45" borderId="84" xfId="0" applyFont="1" applyFill="1" applyBorder="1" applyAlignment="1">
      <alignment vertical="center"/>
    </xf>
    <xf numFmtId="168" fontId="14" fillId="45" borderId="84" xfId="0" applyNumberFormat="1" applyFont="1" applyFill="1" applyBorder="1" applyAlignment="1">
      <alignment vertical="center"/>
    </xf>
    <xf numFmtId="9" fontId="10" fillId="45" borderId="84" xfId="0" applyNumberFormat="1" applyFont="1" applyFill="1" applyBorder="1" applyAlignment="1">
      <alignment vertical="center"/>
    </xf>
    <xf numFmtId="0" fontId="58" fillId="0" borderId="84" xfId="0" applyFont="1" applyBorder="1"/>
    <xf numFmtId="0" fontId="15" fillId="0" borderId="84" xfId="0" applyFont="1" applyBorder="1" applyAlignment="1">
      <alignment horizontal="center" vertical="center"/>
    </xf>
    <xf numFmtId="0" fontId="0" fillId="0" borderId="0" xfId="0" applyAlignment="1">
      <alignment vertical="center"/>
    </xf>
    <xf numFmtId="168" fontId="0" fillId="0" borderId="84" xfId="0" applyNumberFormat="1" applyBorder="1" applyAlignment="1">
      <alignment vertical="center"/>
    </xf>
    <xf numFmtId="0" fontId="0" fillId="45" borderId="84" xfId="0" applyFill="1" applyBorder="1" applyAlignment="1">
      <alignment vertical="center"/>
    </xf>
    <xf numFmtId="168" fontId="15" fillId="45" borderId="84" xfId="0" applyNumberFormat="1" applyFont="1" applyFill="1" applyBorder="1" applyAlignment="1">
      <alignment vertical="center"/>
    </xf>
    <xf numFmtId="1" fontId="0" fillId="0" borderId="0" xfId="0" applyNumberFormat="1"/>
    <xf numFmtId="0" fontId="0" fillId="0" borderId="84" xfId="0" applyBorder="1" applyAlignment="1">
      <alignment vertical="center"/>
    </xf>
    <xf numFmtId="168" fontId="0" fillId="0" borderId="9" xfId="0" applyNumberFormat="1" applyBorder="1" applyAlignment="1">
      <alignment vertical="center"/>
    </xf>
    <xf numFmtId="3" fontId="0" fillId="0" borderId="84" xfId="0" applyNumberFormat="1" applyBorder="1"/>
    <xf numFmtId="167" fontId="9" fillId="37" borderId="36" xfId="83" applyNumberFormat="1" applyFont="1" applyFill="1" applyBorder="1" applyAlignment="1" applyProtection="1">
      <alignment horizontal="center" vertical="center" wrapText="1"/>
      <protection locked="0"/>
    </xf>
    <xf numFmtId="9" fontId="0" fillId="0" borderId="84" xfId="0" applyNumberFormat="1" applyBorder="1"/>
    <xf numFmtId="0" fontId="15" fillId="36" borderId="20" xfId="0" applyFont="1" applyFill="1" applyBorder="1" applyAlignment="1" applyProtection="1">
      <alignment horizontal="left" vertical="center" wrapText="1"/>
    </xf>
    <xf numFmtId="0" fontId="15" fillId="36" borderId="8" xfId="0" applyFont="1" applyFill="1" applyBorder="1" applyAlignment="1" applyProtection="1">
      <alignment horizontal="left" vertical="center" wrapText="1"/>
    </xf>
    <xf numFmtId="0" fontId="15" fillId="36" borderId="70" xfId="0" applyFont="1" applyFill="1" applyBorder="1" applyAlignment="1" applyProtection="1">
      <alignment horizontal="left" vertical="center" wrapText="1"/>
    </xf>
    <xf numFmtId="0" fontId="0" fillId="0" borderId="46" xfId="0" applyNumberFormat="1" applyFont="1" applyBorder="1" applyAlignment="1" applyProtection="1">
      <alignment horizontal="left" vertical="center" wrapText="1"/>
      <protection locked="0"/>
    </xf>
    <xf numFmtId="0" fontId="0" fillId="0" borderId="48" xfId="0" applyNumberFormat="1" applyFont="1" applyBorder="1" applyAlignment="1" applyProtection="1">
      <alignment horizontal="left" vertical="center" wrapText="1"/>
      <protection locked="0"/>
    </xf>
    <xf numFmtId="0" fontId="18" fillId="36" borderId="23" xfId="0" applyFont="1" applyFill="1" applyBorder="1" applyAlignment="1" applyProtection="1">
      <alignment horizontal="center" vertical="top" wrapText="1"/>
    </xf>
    <xf numFmtId="0" fontId="18" fillId="36" borderId="0" xfId="0" applyFont="1" applyFill="1" applyBorder="1" applyAlignment="1" applyProtection="1">
      <alignment horizontal="center" vertical="top" wrapText="1"/>
    </xf>
    <xf numFmtId="0" fontId="18" fillId="36" borderId="72" xfId="0" applyFont="1" applyFill="1" applyBorder="1" applyAlignment="1" applyProtection="1">
      <alignment horizontal="center" vertical="top" wrapText="1"/>
    </xf>
    <xf numFmtId="0" fontId="18" fillId="36" borderId="19" xfId="0" applyFont="1" applyFill="1" applyBorder="1" applyAlignment="1" applyProtection="1">
      <alignment horizontal="center" vertical="top" wrapText="1"/>
    </xf>
    <xf numFmtId="0" fontId="18" fillId="36" borderId="16" xfId="0" applyFont="1" applyFill="1" applyBorder="1" applyAlignment="1" applyProtection="1">
      <alignment horizontal="center" vertical="top" wrapText="1"/>
    </xf>
    <xf numFmtId="0" fontId="18" fillId="36" borderId="73" xfId="0" applyFont="1" applyFill="1" applyBorder="1" applyAlignment="1" applyProtection="1">
      <alignment horizontal="center" vertical="top" wrapText="1"/>
    </xf>
    <xf numFmtId="0" fontId="0" fillId="0" borderId="42" xfId="0" applyNumberFormat="1" applyFont="1" applyBorder="1" applyAlignment="1" applyProtection="1">
      <alignment horizontal="left" vertical="center" wrapText="1"/>
      <protection locked="0"/>
    </xf>
    <xf numFmtId="0" fontId="0" fillId="0" borderId="43" xfId="0" applyNumberFormat="1" applyFont="1" applyBorder="1" applyAlignment="1" applyProtection="1">
      <alignment horizontal="left" vertical="center" wrapText="1"/>
      <protection locked="0"/>
    </xf>
    <xf numFmtId="0" fontId="0" fillId="0" borderId="10" xfId="0" applyNumberFormat="1" applyFont="1" applyBorder="1" applyAlignment="1" applyProtection="1">
      <alignment horizontal="left" vertical="center" wrapText="1"/>
      <protection locked="0"/>
    </xf>
    <xf numFmtId="0" fontId="0" fillId="0" borderId="39" xfId="0" applyNumberFormat="1" applyFont="1" applyBorder="1" applyAlignment="1" applyProtection="1">
      <alignment horizontal="left" vertical="center" wrapText="1"/>
      <protection locked="0"/>
    </xf>
    <xf numFmtId="0" fontId="15" fillId="36" borderId="27" xfId="0" applyFont="1" applyFill="1" applyBorder="1" applyAlignment="1" applyProtection="1">
      <alignment horizontal="center" vertical="center" wrapText="1"/>
    </xf>
    <xf numFmtId="0" fontId="15" fillId="36" borderId="17" xfId="0" applyFont="1" applyFill="1" applyBorder="1" applyAlignment="1" applyProtection="1">
      <alignment horizontal="center" vertical="center" wrapText="1"/>
    </xf>
    <xf numFmtId="0" fontId="15" fillId="36" borderId="71" xfId="0" applyFont="1" applyFill="1" applyBorder="1" applyAlignment="1" applyProtection="1">
      <alignment horizontal="center" vertical="center" wrapText="1"/>
    </xf>
    <xf numFmtId="0" fontId="15" fillId="36" borderId="23" xfId="0" applyFont="1" applyFill="1" applyBorder="1" applyAlignment="1" applyProtection="1">
      <alignment horizontal="center" vertical="center" wrapText="1"/>
    </xf>
    <xf numFmtId="0" fontId="15" fillId="36" borderId="0" xfId="0" applyFont="1" applyFill="1" applyBorder="1" applyAlignment="1" applyProtection="1">
      <alignment horizontal="center" vertical="center" wrapText="1"/>
    </xf>
    <xf numFmtId="0" fontId="15" fillId="36" borderId="72" xfId="0" applyFont="1" applyFill="1" applyBorder="1" applyAlignment="1" applyProtection="1">
      <alignment horizontal="center" vertical="center" wrapText="1"/>
    </xf>
    <xf numFmtId="0" fontId="13" fillId="0" borderId="0" xfId="0" applyFont="1" applyFill="1" applyBorder="1" applyAlignment="1" applyProtection="1">
      <alignment horizontal="center" vertical="center" wrapText="1"/>
    </xf>
    <xf numFmtId="0" fontId="15" fillId="36" borderId="9" xfId="0" applyFont="1" applyFill="1" applyBorder="1" applyAlignment="1" applyProtection="1">
      <alignment horizontal="left" vertical="center" wrapText="1"/>
    </xf>
    <xf numFmtId="0" fontId="0" fillId="0" borderId="68" xfId="0" applyFont="1" applyFill="1" applyBorder="1" applyAlignment="1" applyProtection="1">
      <alignment horizontal="left" vertical="center" wrapText="1"/>
      <protection locked="0"/>
    </xf>
    <xf numFmtId="0" fontId="0" fillId="0" borderId="79" xfId="0" applyFont="1" applyFill="1" applyBorder="1" applyAlignment="1" applyProtection="1">
      <alignment horizontal="left" vertical="center" wrapText="1"/>
      <protection locked="0"/>
    </xf>
    <xf numFmtId="0" fontId="0" fillId="0" borderId="64" xfId="0" applyFont="1" applyFill="1" applyBorder="1" applyAlignment="1" applyProtection="1">
      <alignment horizontal="left" vertical="center" wrapText="1"/>
      <protection locked="0"/>
    </xf>
    <xf numFmtId="0" fontId="0" fillId="0" borderId="69" xfId="0" applyFont="1" applyFill="1" applyBorder="1" applyAlignment="1" applyProtection="1">
      <alignment horizontal="left" vertical="center" wrapText="1"/>
      <protection locked="0"/>
    </xf>
    <xf numFmtId="0" fontId="0" fillId="0" borderId="80" xfId="0" applyFont="1" applyFill="1" applyBorder="1" applyAlignment="1" applyProtection="1">
      <alignment horizontal="left" vertical="center" wrapText="1"/>
      <protection locked="0"/>
    </xf>
    <xf numFmtId="0" fontId="0" fillId="0" borderId="65" xfId="0" applyFont="1" applyFill="1" applyBorder="1" applyAlignment="1" applyProtection="1">
      <alignment horizontal="left" vertical="center" wrapText="1"/>
      <protection locked="0"/>
    </xf>
    <xf numFmtId="0" fontId="14" fillId="35" borderId="20" xfId="0" applyFont="1" applyFill="1" applyBorder="1" applyAlignment="1" applyProtection="1">
      <alignment horizontal="left" vertical="top" wrapText="1"/>
    </xf>
    <xf numFmtId="0" fontId="14" fillId="35" borderId="8" xfId="0" applyFont="1" applyFill="1" applyBorder="1" applyAlignment="1" applyProtection="1">
      <alignment horizontal="left" vertical="top" wrapText="1"/>
    </xf>
    <xf numFmtId="0" fontId="14" fillId="35" borderId="9" xfId="0" applyFont="1" applyFill="1" applyBorder="1" applyAlignment="1" applyProtection="1">
      <alignment horizontal="left" vertical="top" wrapText="1"/>
    </xf>
    <xf numFmtId="0" fontId="0" fillId="0" borderId="67" xfId="0" applyFont="1" applyFill="1" applyBorder="1" applyAlignment="1" applyProtection="1">
      <alignment horizontal="left" vertical="center" wrapText="1"/>
      <protection locked="0"/>
    </xf>
    <xf numFmtId="0" fontId="0" fillId="0" borderId="78" xfId="0" applyFont="1" applyFill="1" applyBorder="1" applyAlignment="1" applyProtection="1">
      <alignment horizontal="left" vertical="center" wrapText="1"/>
      <protection locked="0"/>
    </xf>
    <xf numFmtId="0" fontId="0" fillId="0" borderId="63" xfId="0" applyFont="1" applyFill="1" applyBorder="1" applyAlignment="1" applyProtection="1">
      <alignment horizontal="left" vertical="center" wrapText="1"/>
      <protection locked="0"/>
    </xf>
    <xf numFmtId="0" fontId="15" fillId="36" borderId="20" xfId="0" applyFont="1" applyFill="1" applyBorder="1" applyAlignment="1" applyProtection="1">
      <alignment horizontal="center" vertical="center" wrapText="1"/>
    </xf>
    <xf numFmtId="0" fontId="15" fillId="36" borderId="8" xfId="0" applyFont="1" applyFill="1" applyBorder="1" applyAlignment="1" applyProtection="1">
      <alignment horizontal="center" vertical="center" wrapText="1"/>
    </xf>
    <xf numFmtId="0" fontId="15" fillId="36" borderId="9" xfId="0" applyFont="1" applyFill="1" applyBorder="1" applyAlignment="1" applyProtection="1">
      <alignment horizontal="center" vertical="center" wrapText="1"/>
    </xf>
    <xf numFmtId="0" fontId="15" fillId="36" borderId="27" xfId="0" applyFont="1" applyFill="1" applyBorder="1" applyAlignment="1" applyProtection="1">
      <alignment horizontal="center" vertical="center" wrapText="1"/>
      <protection locked="0"/>
    </xf>
    <xf numFmtId="0" fontId="15" fillId="36" borderId="17" xfId="0" applyFont="1" applyFill="1" applyBorder="1" applyAlignment="1" applyProtection="1">
      <alignment horizontal="center" vertical="center" wrapText="1"/>
      <protection locked="0"/>
    </xf>
    <xf numFmtId="0" fontId="15" fillId="36" borderId="18" xfId="0" applyFont="1" applyFill="1" applyBorder="1" applyAlignment="1" applyProtection="1">
      <alignment horizontal="center" vertical="center" wrapText="1"/>
      <protection locked="0"/>
    </xf>
    <xf numFmtId="0" fontId="15" fillId="36" borderId="23" xfId="0" applyFont="1" applyFill="1" applyBorder="1" applyAlignment="1" applyProtection="1">
      <alignment horizontal="center" vertical="center" wrapText="1"/>
      <protection locked="0"/>
    </xf>
    <xf numFmtId="0" fontId="15" fillId="36" borderId="0" xfId="0" applyFont="1" applyFill="1" applyBorder="1" applyAlignment="1" applyProtection="1">
      <alignment horizontal="center" vertical="center" wrapText="1"/>
      <protection locked="0"/>
    </xf>
    <xf numFmtId="0" fontId="15" fillId="36" borderId="31" xfId="0" applyFont="1" applyFill="1" applyBorder="1" applyAlignment="1" applyProtection="1">
      <alignment horizontal="center" vertical="center" wrapText="1"/>
      <protection locked="0"/>
    </xf>
    <xf numFmtId="0" fontId="15" fillId="36" borderId="19" xfId="0" applyFont="1" applyFill="1" applyBorder="1" applyAlignment="1" applyProtection="1">
      <alignment horizontal="center" vertical="center" wrapText="1"/>
      <protection locked="0"/>
    </xf>
    <xf numFmtId="0" fontId="15" fillId="36" borderId="16" xfId="0" applyFont="1" applyFill="1" applyBorder="1" applyAlignment="1" applyProtection="1">
      <alignment horizontal="center" vertical="center" wrapText="1"/>
      <protection locked="0"/>
    </xf>
    <xf numFmtId="0" fontId="15" fillId="36" borderId="32" xfId="0" applyFont="1" applyFill="1" applyBorder="1" applyAlignment="1" applyProtection="1">
      <alignment horizontal="center" vertical="center" wrapText="1"/>
      <protection locked="0"/>
    </xf>
    <xf numFmtId="0" fontId="15" fillId="36" borderId="18" xfId="0" applyFont="1" applyFill="1" applyBorder="1" applyAlignment="1" applyProtection="1">
      <alignment horizontal="center" vertical="center" wrapText="1"/>
    </xf>
    <xf numFmtId="0" fontId="15" fillId="36" borderId="19" xfId="0" applyFont="1" applyFill="1" applyBorder="1" applyAlignment="1" applyProtection="1">
      <alignment horizontal="center" vertical="center" wrapText="1"/>
    </xf>
    <xf numFmtId="0" fontId="15" fillId="36" borderId="32" xfId="0" applyFont="1" applyFill="1" applyBorder="1" applyAlignment="1" applyProtection="1">
      <alignment horizontal="center" vertical="center" wrapText="1"/>
    </xf>
    <xf numFmtId="0" fontId="15" fillId="36" borderId="2" xfId="0" applyFont="1" applyFill="1" applyBorder="1" applyAlignment="1" applyProtection="1">
      <alignment horizontal="center" vertical="center" wrapText="1"/>
    </xf>
    <xf numFmtId="0" fontId="15" fillId="36" borderId="21" xfId="0" applyFont="1" applyFill="1" applyBorder="1" applyAlignment="1" applyProtection="1">
      <alignment horizontal="center" vertical="center" wrapText="1"/>
    </xf>
    <xf numFmtId="0" fontId="15" fillId="36" borderId="16" xfId="0" applyFont="1" applyFill="1" applyBorder="1" applyAlignment="1" applyProtection="1">
      <alignment horizontal="center" vertical="center" wrapText="1"/>
    </xf>
    <xf numFmtId="0" fontId="0" fillId="36" borderId="20" xfId="0" applyFont="1" applyFill="1" applyBorder="1" applyAlignment="1" applyProtection="1">
      <alignment horizontal="center" vertical="center" wrapText="1"/>
    </xf>
    <xf numFmtId="0" fontId="0" fillId="36" borderId="9" xfId="0" applyFont="1" applyFill="1" applyBorder="1" applyAlignment="1" applyProtection="1">
      <alignment horizontal="center" vertical="center" wrapText="1"/>
    </xf>
    <xf numFmtId="0" fontId="0" fillId="0" borderId="5" xfId="0" applyNumberFormat="1" applyFont="1" applyBorder="1" applyAlignment="1" applyProtection="1">
      <alignment horizontal="center" vertical="center" wrapText="1"/>
      <protection locked="0"/>
    </xf>
    <xf numFmtId="0" fontId="0" fillId="0" borderId="40" xfId="0" applyNumberFormat="1" applyFont="1" applyBorder="1" applyAlignment="1" applyProtection="1">
      <alignment horizontal="center" vertical="center" wrapText="1"/>
      <protection locked="0"/>
    </xf>
    <xf numFmtId="0" fontId="0" fillId="0" borderId="39" xfId="0" applyNumberFormat="1" applyFont="1" applyBorder="1" applyAlignment="1" applyProtection="1">
      <alignment horizontal="center" vertical="center" wrapText="1"/>
      <protection locked="0"/>
    </xf>
    <xf numFmtId="0" fontId="0" fillId="0" borderId="5" xfId="0" applyNumberFormat="1" applyFont="1" applyBorder="1" applyAlignment="1" applyProtection="1">
      <alignment horizontal="left" vertical="center" wrapText="1"/>
      <protection locked="0"/>
    </xf>
    <xf numFmtId="0" fontId="0" fillId="0" borderId="40" xfId="0" applyNumberFormat="1" applyFont="1" applyBorder="1" applyAlignment="1" applyProtection="1">
      <alignment horizontal="left" vertical="center" wrapText="1"/>
      <protection locked="0"/>
    </xf>
    <xf numFmtId="3" fontId="0" fillId="0" borderId="5" xfId="0" applyNumberFormat="1" applyFont="1" applyBorder="1" applyAlignment="1" applyProtection="1">
      <alignment horizontal="center" vertical="center" wrapText="1"/>
      <protection locked="0"/>
    </xf>
    <xf numFmtId="3" fontId="0" fillId="0" borderId="10" xfId="0" applyNumberFormat="1" applyFont="1" applyBorder="1" applyAlignment="1" applyProtection="1">
      <alignment horizontal="center" vertical="center" wrapText="1"/>
      <protection locked="0"/>
    </xf>
    <xf numFmtId="3" fontId="0" fillId="0" borderId="40" xfId="0" applyNumberFormat="1" applyFont="1" applyBorder="1" applyAlignment="1" applyProtection="1">
      <alignment horizontal="center" vertical="center" wrapText="1"/>
      <protection locked="0"/>
    </xf>
    <xf numFmtId="0" fontId="20" fillId="36" borderId="2" xfId="0" applyFont="1" applyFill="1" applyBorder="1" applyAlignment="1" applyProtection="1">
      <alignment horizontal="center" vertical="center" textRotation="90" wrapText="1"/>
    </xf>
    <xf numFmtId="0" fontId="20" fillId="36" borderId="33" xfId="0" applyFont="1" applyFill="1" applyBorder="1" applyAlignment="1" applyProtection="1">
      <alignment horizontal="center" vertical="center" textRotation="90" wrapText="1"/>
    </xf>
    <xf numFmtId="0" fontId="20" fillId="36" borderId="21" xfId="0" applyFont="1" applyFill="1" applyBorder="1" applyAlignment="1" applyProtection="1">
      <alignment horizontal="center" vertical="center" textRotation="90" wrapText="1"/>
    </xf>
    <xf numFmtId="0" fontId="15" fillId="36" borderId="31" xfId="0" applyFont="1" applyFill="1" applyBorder="1" applyAlignment="1" applyProtection="1">
      <alignment horizontal="center" vertical="center" wrapText="1"/>
    </xf>
    <xf numFmtId="0" fontId="0" fillId="0" borderId="6" xfId="0" applyNumberFormat="1" applyFont="1" applyBorder="1" applyAlignment="1" applyProtection="1">
      <alignment horizontal="left" vertical="center" wrapText="1"/>
      <protection locked="0"/>
    </xf>
    <xf numFmtId="0" fontId="0" fillId="0" borderId="50" xfId="0" applyNumberFormat="1" applyFont="1" applyBorder="1" applyAlignment="1" applyProtection="1">
      <alignment horizontal="left" vertical="center" wrapText="1"/>
      <protection locked="0"/>
    </xf>
    <xf numFmtId="0" fontId="0" fillId="0" borderId="6" xfId="0" applyNumberFormat="1" applyFont="1" applyBorder="1" applyAlignment="1" applyProtection="1">
      <alignment horizontal="center" vertical="center" wrapText="1"/>
      <protection locked="0"/>
    </xf>
    <xf numFmtId="0" fontId="0" fillId="0" borderId="50" xfId="0" applyNumberFormat="1" applyFont="1" applyBorder="1" applyAlignment="1" applyProtection="1">
      <alignment horizontal="center" vertical="center" wrapText="1"/>
      <protection locked="0"/>
    </xf>
    <xf numFmtId="3" fontId="0" fillId="0" borderId="6" xfId="0" applyNumberFormat="1" applyFont="1" applyBorder="1" applyAlignment="1" applyProtection="1">
      <alignment horizontal="center" vertical="center" wrapText="1"/>
      <protection locked="0"/>
    </xf>
    <xf numFmtId="3" fontId="0" fillId="0" borderId="46" xfId="0" applyNumberFormat="1" applyFont="1" applyBorder="1" applyAlignment="1" applyProtection="1">
      <alignment horizontal="center" vertical="center" wrapText="1"/>
      <protection locked="0"/>
    </xf>
    <xf numFmtId="3" fontId="0" fillId="0" borderId="50" xfId="0" applyNumberFormat="1" applyFont="1" applyBorder="1" applyAlignment="1" applyProtection="1">
      <alignment horizontal="center" vertical="center" wrapText="1"/>
      <protection locked="0"/>
    </xf>
    <xf numFmtId="0" fontId="0" fillId="0" borderId="48" xfId="0" applyNumberFormat="1" applyFont="1" applyBorder="1" applyAlignment="1" applyProtection="1">
      <alignment horizontal="center" vertical="center" wrapText="1"/>
      <protection locked="0"/>
    </xf>
    <xf numFmtId="0" fontId="14" fillId="35" borderId="8" xfId="0" applyFont="1" applyFill="1" applyBorder="1" applyAlignment="1" applyProtection="1">
      <alignment horizontal="center" vertical="center" wrapText="1"/>
    </xf>
    <xf numFmtId="0" fontId="14" fillId="35" borderId="9" xfId="0" applyFont="1" applyFill="1" applyBorder="1" applyAlignment="1" applyProtection="1">
      <alignment horizontal="center" vertical="center" wrapText="1"/>
    </xf>
    <xf numFmtId="0" fontId="15" fillId="36" borderId="49" xfId="0" applyFont="1" applyFill="1" applyBorder="1" applyAlignment="1" applyProtection="1">
      <alignment horizontal="center" vertical="center" wrapText="1"/>
    </xf>
    <xf numFmtId="0" fontId="15" fillId="36" borderId="35" xfId="0" applyFont="1" applyFill="1" applyBorder="1" applyAlignment="1" applyProtection="1">
      <alignment horizontal="center" vertical="center" wrapText="1"/>
    </xf>
    <xf numFmtId="1" fontId="0" fillId="0" borderId="6" xfId="0" applyNumberFormat="1" applyFont="1" applyBorder="1" applyAlignment="1" applyProtection="1">
      <alignment horizontal="left" vertical="center" wrapText="1"/>
      <protection locked="0"/>
    </xf>
    <xf numFmtId="1" fontId="0" fillId="0" borderId="46" xfId="0" applyNumberFormat="1" applyFont="1" applyBorder="1" applyAlignment="1" applyProtection="1">
      <alignment horizontal="left" vertical="center" wrapText="1"/>
      <protection locked="0"/>
    </xf>
    <xf numFmtId="1" fontId="0" fillId="0" borderId="50" xfId="0" applyNumberFormat="1" applyFont="1" applyBorder="1" applyAlignment="1" applyProtection="1">
      <alignment horizontal="left" vertical="center" wrapText="1"/>
      <protection locked="0"/>
    </xf>
    <xf numFmtId="1" fontId="0" fillId="0" borderId="41" xfId="0" applyNumberFormat="1" applyFont="1" applyBorder="1" applyAlignment="1" applyProtection="1">
      <alignment horizontal="left" vertical="center" wrapText="1"/>
      <protection locked="0"/>
    </xf>
    <xf numFmtId="1" fontId="0" fillId="0" borderId="42" xfId="0" applyNumberFormat="1" applyFont="1" applyBorder="1" applyAlignment="1" applyProtection="1">
      <alignment horizontal="left" vertical="center" wrapText="1"/>
      <protection locked="0"/>
    </xf>
    <xf numFmtId="1" fontId="0" fillId="0" borderId="11" xfId="0" applyNumberFormat="1" applyFont="1" applyBorder="1" applyAlignment="1" applyProtection="1">
      <alignment horizontal="left" vertical="center" wrapText="1"/>
      <protection locked="0"/>
    </xf>
    <xf numFmtId="0" fontId="0" fillId="0" borderId="41" xfId="0" applyNumberFormat="1" applyFont="1" applyBorder="1" applyAlignment="1" applyProtection="1">
      <alignment horizontal="center" vertical="center" wrapText="1"/>
      <protection locked="0"/>
    </xf>
    <xf numFmtId="0" fontId="0" fillId="0" borderId="11" xfId="0" applyNumberFormat="1" applyFont="1" applyBorder="1" applyAlignment="1" applyProtection="1">
      <alignment horizontal="center" vertical="center" wrapText="1"/>
      <protection locked="0"/>
    </xf>
    <xf numFmtId="3" fontId="0" fillId="0" borderId="41" xfId="0" applyNumberFormat="1" applyFont="1" applyBorder="1" applyAlignment="1" applyProtection="1">
      <alignment horizontal="center" vertical="center" wrapText="1"/>
      <protection locked="0"/>
    </xf>
    <xf numFmtId="3" fontId="0" fillId="0" borderId="42" xfId="0" applyNumberFormat="1" applyFont="1" applyBorder="1" applyAlignment="1" applyProtection="1">
      <alignment horizontal="center" vertical="center" wrapText="1"/>
      <protection locked="0"/>
    </xf>
    <xf numFmtId="3" fontId="0" fillId="0" borderId="11" xfId="0" applyNumberFormat="1" applyFont="1" applyBorder="1" applyAlignment="1" applyProtection="1">
      <alignment horizontal="center" vertical="center" wrapText="1"/>
      <protection locked="0"/>
    </xf>
    <xf numFmtId="0" fontId="0" fillId="0" borderId="43" xfId="0" applyNumberFormat="1" applyFont="1" applyBorder="1" applyAlignment="1" applyProtection="1">
      <alignment horizontal="center" vertical="center" wrapText="1"/>
      <protection locked="0"/>
    </xf>
    <xf numFmtId="0" fontId="14" fillId="35" borderId="20" xfId="0" applyFont="1" applyFill="1" applyBorder="1" applyAlignment="1" applyProtection="1">
      <alignment horizontal="left" vertical="center" wrapText="1"/>
    </xf>
    <xf numFmtId="0" fontId="14" fillId="35" borderId="8" xfId="0" applyFont="1" applyFill="1" applyBorder="1" applyAlignment="1" applyProtection="1">
      <alignment horizontal="left" vertical="center" wrapText="1"/>
    </xf>
    <xf numFmtId="0" fontId="14" fillId="35" borderId="9" xfId="0" applyFont="1" applyFill="1" applyBorder="1" applyAlignment="1" applyProtection="1">
      <alignment horizontal="left" vertical="center" wrapText="1"/>
    </xf>
    <xf numFmtId="0" fontId="14" fillId="35" borderId="20" xfId="0" applyFont="1" applyFill="1" applyBorder="1" applyAlignment="1" applyProtection="1">
      <alignment vertical="center" wrapText="1"/>
    </xf>
    <xf numFmtId="0" fontId="14" fillId="35" borderId="8" xfId="0" applyFont="1" applyFill="1" applyBorder="1" applyAlignment="1" applyProtection="1">
      <alignment vertical="center" wrapText="1"/>
    </xf>
    <xf numFmtId="0" fontId="14" fillId="0" borderId="8" xfId="0" applyFont="1" applyFill="1" applyBorder="1" applyAlignment="1" applyProtection="1">
      <alignment horizontal="center" vertical="center" wrapText="1"/>
    </xf>
    <xf numFmtId="0" fontId="15" fillId="37" borderId="27" xfId="0" applyFont="1" applyFill="1" applyBorder="1" applyAlignment="1" applyProtection="1">
      <alignment vertical="center" wrapText="1"/>
    </xf>
    <xf numFmtId="0" fontId="15" fillId="37" borderId="17" xfId="0" applyFont="1" applyFill="1" applyBorder="1" applyAlignment="1" applyProtection="1">
      <alignment vertical="center" wrapText="1"/>
    </xf>
    <xf numFmtId="0" fontId="15" fillId="37" borderId="18" xfId="0" applyFont="1" applyFill="1" applyBorder="1" applyAlignment="1" applyProtection="1">
      <alignment vertical="center" wrapText="1"/>
    </xf>
    <xf numFmtId="0" fontId="15" fillId="37" borderId="23" xfId="0" applyFont="1" applyFill="1" applyBorder="1" applyAlignment="1" applyProtection="1">
      <alignment vertical="center" wrapText="1"/>
    </xf>
    <xf numFmtId="0" fontId="15" fillId="37" borderId="0" xfId="0" applyFont="1" applyFill="1" applyBorder="1" applyAlignment="1" applyProtection="1">
      <alignment vertical="center" wrapText="1"/>
    </xf>
    <xf numFmtId="0" fontId="15" fillId="37" borderId="31" xfId="0" applyFont="1" applyFill="1" applyBorder="1" applyAlignment="1" applyProtection="1">
      <alignment vertical="center" wrapText="1"/>
    </xf>
    <xf numFmtId="0" fontId="15" fillId="37" borderId="19" xfId="0" applyFont="1" applyFill="1" applyBorder="1" applyAlignment="1" applyProtection="1">
      <alignment vertical="center" wrapText="1"/>
    </xf>
    <xf numFmtId="0" fontId="15" fillId="37" borderId="16" xfId="0" applyFont="1" applyFill="1" applyBorder="1" applyAlignment="1" applyProtection="1">
      <alignment vertical="center" wrapText="1"/>
    </xf>
    <xf numFmtId="0" fontId="15" fillId="37" borderId="32" xfId="0" applyFont="1" applyFill="1" applyBorder="1" applyAlignment="1" applyProtection="1">
      <alignment vertical="center" wrapText="1"/>
    </xf>
    <xf numFmtId="0" fontId="15" fillId="37" borderId="2" xfId="0" applyFont="1" applyFill="1" applyBorder="1" applyAlignment="1" applyProtection="1">
      <alignment vertical="center" wrapText="1"/>
    </xf>
    <xf numFmtId="0" fontId="15" fillId="37" borderId="21" xfId="0" applyFont="1" applyFill="1" applyBorder="1" applyAlignment="1" applyProtection="1">
      <alignment vertical="center" wrapText="1"/>
    </xf>
    <xf numFmtId="0" fontId="0" fillId="36" borderId="12" xfId="0" applyFont="1" applyFill="1" applyBorder="1" applyAlignment="1" applyProtection="1">
      <alignment horizontal="center" vertical="center" wrapText="1"/>
    </xf>
    <xf numFmtId="0" fontId="0" fillId="36" borderId="39" xfId="0" applyFont="1" applyFill="1" applyBorder="1" applyAlignment="1" applyProtection="1">
      <alignment horizontal="center" vertical="center" wrapText="1"/>
    </xf>
    <xf numFmtId="3" fontId="0" fillId="37" borderId="12" xfId="0" applyNumberFormat="1" applyFont="1" applyFill="1" applyBorder="1" applyAlignment="1" applyProtection="1">
      <alignment horizontal="right" vertical="center" wrapText="1"/>
    </xf>
    <xf numFmtId="3" fontId="0" fillId="37" borderId="39" xfId="0" applyNumberFormat="1" applyFont="1" applyFill="1" applyBorder="1" applyAlignment="1" applyProtection="1">
      <alignment horizontal="right" vertical="center" wrapText="1"/>
    </xf>
    <xf numFmtId="3" fontId="9" fillId="37" borderId="12" xfId="66" applyNumberFormat="1" applyFont="1" applyFill="1" applyBorder="1" applyAlignment="1" applyProtection="1">
      <alignment horizontal="right" vertical="center" wrapText="1"/>
    </xf>
    <xf numFmtId="3" fontId="9" fillId="37" borderId="39" xfId="66" applyNumberFormat="1" applyFont="1" applyFill="1" applyBorder="1" applyAlignment="1" applyProtection="1">
      <alignment horizontal="right" vertical="center" wrapText="1"/>
    </xf>
    <xf numFmtId="0" fontId="0" fillId="37" borderId="1" xfId="0" applyFont="1" applyFill="1" applyBorder="1" applyAlignment="1" applyProtection="1">
      <alignment horizontal="center" vertical="center" wrapText="1"/>
    </xf>
    <xf numFmtId="0" fontId="0" fillId="37" borderId="27" xfId="0" applyFont="1" applyFill="1" applyBorder="1" applyAlignment="1" applyProtection="1">
      <alignment horizontal="center" vertical="center" wrapText="1"/>
    </xf>
    <xf numFmtId="0" fontId="0" fillId="37" borderId="17" xfId="0" applyFont="1" applyFill="1" applyBorder="1" applyAlignment="1" applyProtection="1">
      <alignment horizontal="center" vertical="center" wrapText="1"/>
    </xf>
    <xf numFmtId="0" fontId="0" fillId="37" borderId="18" xfId="0" applyFont="1" applyFill="1" applyBorder="1" applyAlignment="1" applyProtection="1">
      <alignment horizontal="center" vertical="center" wrapText="1"/>
    </xf>
    <xf numFmtId="0" fontId="0" fillId="37" borderId="19" xfId="0" applyFont="1" applyFill="1" applyBorder="1" applyAlignment="1" applyProtection="1">
      <alignment horizontal="center" vertical="center" wrapText="1"/>
    </xf>
    <xf numFmtId="0" fontId="0" fillId="37" borderId="16" xfId="0" applyFont="1" applyFill="1" applyBorder="1" applyAlignment="1" applyProtection="1">
      <alignment horizontal="center" vertical="center" wrapText="1"/>
    </xf>
    <xf numFmtId="0" fontId="0" fillId="37" borderId="32" xfId="0" applyFont="1" applyFill="1" applyBorder="1" applyAlignment="1" applyProtection="1">
      <alignment horizontal="center" vertical="center" wrapText="1"/>
    </xf>
    <xf numFmtId="0" fontId="0" fillId="36" borderId="15" xfId="0" applyFont="1" applyFill="1" applyBorder="1" applyAlignment="1" applyProtection="1">
      <alignment horizontal="center" vertical="center" wrapText="1"/>
    </xf>
    <xf numFmtId="0" fontId="0" fillId="36" borderId="43" xfId="0" applyFont="1" applyFill="1" applyBorder="1" applyAlignment="1" applyProtection="1">
      <alignment horizontal="center" vertical="center" wrapText="1"/>
    </xf>
    <xf numFmtId="3" fontId="9" fillId="37" borderId="45" xfId="66" applyNumberFormat="1" applyFont="1" applyFill="1" applyBorder="1" applyAlignment="1" applyProtection="1">
      <alignment horizontal="right" vertical="center" wrapText="1"/>
    </xf>
    <xf numFmtId="3" fontId="9" fillId="37" borderId="44" xfId="66" applyNumberFormat="1" applyFont="1" applyFill="1" applyBorder="1" applyAlignment="1" applyProtection="1">
      <alignment horizontal="right" vertical="center" wrapText="1"/>
    </xf>
    <xf numFmtId="3" fontId="9" fillId="37" borderId="15" xfId="66" applyNumberFormat="1" applyFont="1" applyFill="1" applyBorder="1" applyAlignment="1" applyProtection="1">
      <alignment horizontal="right" vertical="center" wrapText="1"/>
    </xf>
    <xf numFmtId="3" fontId="9" fillId="37" borderId="43" xfId="66" applyNumberFormat="1" applyFont="1" applyFill="1" applyBorder="1" applyAlignment="1" applyProtection="1">
      <alignment horizontal="right" vertical="center" wrapText="1"/>
    </xf>
    <xf numFmtId="3" fontId="9" fillId="37" borderId="24" xfId="66" applyNumberFormat="1" applyFont="1" applyFill="1" applyBorder="1" applyAlignment="1" applyProtection="1">
      <alignment horizontal="right" vertical="center" wrapText="1"/>
    </xf>
    <xf numFmtId="3" fontId="9" fillId="37" borderId="62" xfId="66" applyNumberFormat="1" applyFont="1" applyFill="1" applyBorder="1" applyAlignment="1" applyProtection="1">
      <alignment horizontal="right" vertical="center" wrapText="1"/>
    </xf>
    <xf numFmtId="0" fontId="0" fillId="37" borderId="23" xfId="0" applyFont="1" applyFill="1" applyBorder="1" applyAlignment="1" applyProtection="1">
      <alignment horizontal="center" vertical="center" wrapText="1"/>
    </xf>
    <xf numFmtId="0" fontId="0" fillId="37" borderId="0" xfId="0" applyFont="1" applyFill="1" applyBorder="1" applyAlignment="1" applyProtection="1">
      <alignment horizontal="center" vertical="center" wrapText="1"/>
    </xf>
    <xf numFmtId="0" fontId="0" fillId="37" borderId="31" xfId="0" applyFont="1" applyFill="1" applyBorder="1" applyAlignment="1" applyProtection="1">
      <alignment horizontal="center" vertical="center" wrapText="1"/>
    </xf>
    <xf numFmtId="0" fontId="15" fillId="37" borderId="2" xfId="0" applyFont="1" applyFill="1" applyBorder="1" applyAlignment="1" applyProtection="1">
      <alignment horizontal="center" vertical="center" wrapText="1"/>
    </xf>
    <xf numFmtId="0" fontId="15" fillId="37" borderId="21" xfId="0" applyFont="1" applyFill="1" applyBorder="1" applyAlignment="1" applyProtection="1">
      <alignment horizontal="center" vertical="center" wrapText="1"/>
    </xf>
    <xf numFmtId="0" fontId="46" fillId="0" borderId="20" xfId="0" applyFont="1" applyFill="1" applyBorder="1" applyAlignment="1" applyProtection="1">
      <alignment horizontal="center" vertical="center"/>
      <protection locked="0"/>
    </xf>
    <xf numFmtId="0" fontId="46" fillId="0" borderId="8" xfId="0" applyFont="1" applyFill="1" applyBorder="1" applyAlignment="1" applyProtection="1">
      <alignment horizontal="center" vertical="center"/>
      <protection locked="0"/>
    </xf>
    <xf numFmtId="0" fontId="46" fillId="0" borderId="9" xfId="0" applyFont="1" applyFill="1" applyBorder="1" applyAlignment="1" applyProtection="1">
      <alignment horizontal="center" vertical="center"/>
      <protection locked="0"/>
    </xf>
    <xf numFmtId="0" fontId="0" fillId="0" borderId="10" xfId="0" applyFont="1" applyBorder="1" applyAlignment="1" applyProtection="1">
      <alignment horizontal="left" vertical="center" wrapText="1"/>
      <protection locked="0"/>
    </xf>
    <xf numFmtId="0" fontId="39" fillId="36" borderId="67" xfId="0" applyFont="1" applyFill="1" applyBorder="1" applyAlignment="1" applyProtection="1">
      <alignment horizontal="center" vertical="center"/>
      <protection locked="0"/>
    </xf>
    <xf numFmtId="0" fontId="39" fillId="36" borderId="63" xfId="0" applyFont="1" applyFill="1" applyBorder="1" applyAlignment="1" applyProtection="1">
      <alignment horizontal="center" vertical="center"/>
      <protection locked="0"/>
    </xf>
    <xf numFmtId="0" fontId="0" fillId="0" borderId="46" xfId="0" applyFont="1" applyBorder="1" applyAlignment="1" applyProtection="1">
      <alignment horizontal="left" vertical="center" wrapText="1"/>
      <protection locked="0"/>
    </xf>
    <xf numFmtId="0" fontId="0" fillId="0" borderId="27" xfId="0" applyNumberFormat="1" applyFont="1" applyBorder="1" applyAlignment="1" applyProtection="1">
      <alignment horizontal="center" vertical="top" wrapText="1"/>
      <protection locked="0"/>
    </xf>
    <xf numFmtId="0" fontId="0" fillId="0" borderId="17" xfId="0" applyNumberFormat="1" applyFont="1" applyBorder="1" applyAlignment="1" applyProtection="1">
      <alignment horizontal="center" vertical="top" wrapText="1"/>
      <protection locked="0"/>
    </xf>
    <xf numFmtId="0" fontId="0" fillId="0" borderId="18" xfId="0" applyNumberFormat="1" applyFont="1" applyBorder="1" applyAlignment="1" applyProtection="1">
      <alignment horizontal="center" vertical="top" wrapText="1"/>
      <protection locked="0"/>
    </xf>
    <xf numFmtId="0" fontId="0" fillId="0" borderId="23" xfId="0" applyNumberFormat="1" applyFont="1" applyBorder="1" applyAlignment="1" applyProtection="1">
      <alignment horizontal="center" vertical="top" wrapText="1"/>
      <protection locked="0"/>
    </xf>
    <xf numFmtId="0" fontId="0" fillId="0" borderId="0" xfId="0" applyNumberFormat="1" applyFont="1" applyBorder="1" applyAlignment="1" applyProtection="1">
      <alignment horizontal="center" vertical="top" wrapText="1"/>
      <protection locked="0"/>
    </xf>
    <xf numFmtId="0" fontId="0" fillId="0" borderId="31" xfId="0" applyNumberFormat="1" applyFont="1" applyBorder="1" applyAlignment="1" applyProtection="1">
      <alignment horizontal="center" vertical="top" wrapText="1"/>
      <protection locked="0"/>
    </xf>
    <xf numFmtId="0" fontId="0" fillId="0" borderId="19" xfId="0" applyNumberFormat="1" applyFont="1" applyBorder="1" applyAlignment="1" applyProtection="1">
      <alignment horizontal="center" vertical="top" wrapText="1"/>
      <protection locked="0"/>
    </xf>
    <xf numFmtId="0" fontId="0" fillId="0" borderId="16" xfId="0" applyNumberFormat="1" applyFont="1" applyBorder="1" applyAlignment="1" applyProtection="1">
      <alignment horizontal="center" vertical="top" wrapText="1"/>
      <protection locked="0"/>
    </xf>
    <xf numFmtId="0" fontId="0" fillId="0" borderId="32" xfId="0" applyNumberFormat="1" applyFont="1" applyBorder="1" applyAlignment="1" applyProtection="1">
      <alignment horizontal="center" vertical="top" wrapText="1"/>
      <protection locked="0"/>
    </xf>
    <xf numFmtId="0" fontId="39" fillId="36" borderId="68" xfId="0" applyFont="1" applyFill="1" applyBorder="1" applyAlignment="1" applyProtection="1">
      <alignment horizontal="center" vertical="center"/>
      <protection locked="0"/>
    </xf>
    <xf numFmtId="0" fontId="39" fillId="36" borderId="64" xfId="0" applyFont="1" applyFill="1" applyBorder="1" applyAlignment="1" applyProtection="1">
      <alignment horizontal="center" vertical="center"/>
      <protection locked="0"/>
    </xf>
    <xf numFmtId="0" fontId="18" fillId="36" borderId="23" xfId="0" applyFont="1" applyFill="1" applyBorder="1" applyAlignment="1" applyProtection="1">
      <alignment horizontal="right" vertical="top" wrapText="1"/>
    </xf>
    <xf numFmtId="0" fontId="18" fillId="36" borderId="0" xfId="0" applyFont="1" applyFill="1" applyBorder="1" applyAlignment="1" applyProtection="1">
      <alignment horizontal="right" vertical="top" wrapText="1"/>
    </xf>
    <xf numFmtId="3" fontId="39" fillId="36" borderId="68" xfId="0" applyNumberFormat="1" applyFont="1" applyFill="1" applyBorder="1" applyAlignment="1" applyProtection="1">
      <alignment horizontal="right" vertical="center"/>
      <protection locked="0"/>
    </xf>
    <xf numFmtId="3" fontId="39" fillId="36" borderId="64" xfId="0" applyNumberFormat="1" applyFont="1" applyFill="1" applyBorder="1" applyAlignment="1" applyProtection="1">
      <alignment horizontal="right" vertical="center"/>
      <protection locked="0"/>
    </xf>
    <xf numFmtId="0" fontId="39" fillId="36" borderId="69" xfId="0" applyFont="1" applyFill="1" applyBorder="1" applyAlignment="1" applyProtection="1">
      <alignment horizontal="center" vertical="center"/>
      <protection locked="0"/>
    </xf>
    <xf numFmtId="0" fontId="39" fillId="36" borderId="65" xfId="0" applyFont="1" applyFill="1" applyBorder="1" applyAlignment="1" applyProtection="1">
      <alignment horizontal="center" vertical="center"/>
      <protection locked="0"/>
    </xf>
    <xf numFmtId="0" fontId="18" fillId="36" borderId="19" xfId="0" applyFont="1" applyFill="1" applyBorder="1" applyAlignment="1" applyProtection="1">
      <alignment horizontal="right" vertical="top" wrapText="1"/>
    </xf>
    <xf numFmtId="0" fontId="18" fillId="36" borderId="16" xfId="0" applyFont="1" applyFill="1" applyBorder="1" applyAlignment="1" applyProtection="1">
      <alignment horizontal="right" vertical="top" wrapText="1"/>
    </xf>
    <xf numFmtId="3" fontId="39" fillId="36" borderId="69" xfId="0" applyNumberFormat="1" applyFont="1" applyFill="1" applyBorder="1" applyAlignment="1" applyProtection="1">
      <alignment horizontal="right" vertical="center"/>
      <protection locked="0"/>
    </xf>
    <xf numFmtId="3" fontId="39" fillId="36" borderId="65" xfId="0" applyNumberFormat="1" applyFont="1" applyFill="1" applyBorder="1" applyAlignment="1" applyProtection="1">
      <alignment horizontal="right" vertical="center"/>
      <protection locked="0"/>
    </xf>
    <xf numFmtId="0" fontId="0" fillId="0" borderId="41" xfId="0" applyNumberFormat="1" applyFont="1" applyBorder="1" applyAlignment="1" applyProtection="1">
      <alignment horizontal="left" vertical="center" wrapText="1"/>
      <protection locked="0"/>
    </xf>
    <xf numFmtId="0" fontId="0" fillId="0" borderId="11" xfId="0" applyNumberFormat="1" applyFont="1" applyBorder="1" applyAlignment="1" applyProtection="1">
      <alignment horizontal="left" vertical="center" wrapText="1"/>
      <protection locked="0"/>
    </xf>
    <xf numFmtId="166" fontId="0" fillId="36" borderId="2" xfId="0" applyNumberFormat="1" applyFont="1" applyFill="1" applyBorder="1" applyAlignment="1" applyProtection="1">
      <alignment horizontal="center" vertical="center" wrapText="1"/>
    </xf>
    <xf numFmtId="166" fontId="0" fillId="36" borderId="21" xfId="0" applyNumberFormat="1" applyFont="1" applyFill="1" applyBorder="1" applyAlignment="1" applyProtection="1">
      <alignment horizontal="center" vertical="center" wrapText="1"/>
    </xf>
    <xf numFmtId="0" fontId="15" fillId="36" borderId="27" xfId="0" applyFont="1" applyFill="1" applyBorder="1" applyAlignment="1" applyProtection="1">
      <alignment horizontal="center" wrapText="1"/>
      <protection locked="0"/>
    </xf>
    <xf numFmtId="0" fontId="15" fillId="36" borderId="17" xfId="0" applyFont="1" applyFill="1" applyBorder="1" applyAlignment="1" applyProtection="1">
      <alignment horizontal="center" wrapText="1"/>
      <protection locked="0"/>
    </xf>
    <xf numFmtId="0" fontId="15" fillId="36" borderId="18" xfId="0" applyFont="1" applyFill="1" applyBorder="1" applyAlignment="1" applyProtection="1">
      <alignment horizontal="center" wrapText="1"/>
      <protection locked="0"/>
    </xf>
    <xf numFmtId="0" fontId="0" fillId="36" borderId="23" xfId="0" applyFont="1" applyFill="1" applyBorder="1" applyAlignment="1" applyProtection="1">
      <alignment horizontal="center" vertical="top" wrapText="1"/>
      <protection locked="0"/>
    </xf>
    <xf numFmtId="0" fontId="0" fillId="36" borderId="0" xfId="0" applyFont="1" applyFill="1" applyBorder="1" applyAlignment="1" applyProtection="1">
      <alignment horizontal="center" vertical="top" wrapText="1"/>
      <protection locked="0"/>
    </xf>
    <xf numFmtId="0" fontId="0" fillId="36" borderId="31" xfId="0" applyFont="1" applyFill="1" applyBorder="1" applyAlignment="1" applyProtection="1">
      <alignment horizontal="center" vertical="top" wrapText="1"/>
      <protection locked="0"/>
    </xf>
    <xf numFmtId="0" fontId="0" fillId="36" borderId="19" xfId="0" applyFont="1" applyFill="1" applyBorder="1" applyAlignment="1" applyProtection="1">
      <alignment horizontal="center" vertical="top" wrapText="1"/>
      <protection locked="0"/>
    </xf>
    <xf numFmtId="0" fontId="0" fillId="36" borderId="16" xfId="0" applyFont="1" applyFill="1" applyBorder="1" applyAlignment="1" applyProtection="1">
      <alignment horizontal="center" vertical="top" wrapText="1"/>
      <protection locked="0"/>
    </xf>
    <xf numFmtId="0" fontId="0" fillId="36" borderId="32" xfId="0" applyFont="1" applyFill="1" applyBorder="1" applyAlignment="1" applyProtection="1">
      <alignment horizontal="center" vertical="top" wrapText="1"/>
      <protection locked="0"/>
    </xf>
    <xf numFmtId="167" fontId="0" fillId="0" borderId="36" xfId="83" applyNumberFormat="1" applyFont="1" applyFill="1" applyBorder="1" applyAlignment="1" applyProtection="1">
      <alignment horizontal="center" vertical="center" wrapText="1"/>
      <protection locked="0"/>
    </xf>
    <xf numFmtId="167" fontId="0" fillId="0" borderId="26" xfId="83" applyNumberFormat="1" applyFont="1" applyFill="1" applyBorder="1" applyAlignment="1" applyProtection="1">
      <alignment horizontal="center" vertical="center" wrapText="1"/>
      <protection locked="0"/>
    </xf>
    <xf numFmtId="0" fontId="0" fillId="0" borderId="27" xfId="0" applyNumberFormat="1" applyFont="1" applyFill="1" applyBorder="1" applyAlignment="1" applyProtection="1">
      <alignment horizontal="left" vertical="center" wrapText="1"/>
      <protection locked="0"/>
    </xf>
    <xf numFmtId="0" fontId="0" fillId="0" borderId="17" xfId="0" applyNumberFormat="1" applyFont="1" applyFill="1" applyBorder="1" applyAlignment="1" applyProtection="1">
      <alignment horizontal="left" vertical="center" wrapText="1"/>
      <protection locked="0"/>
    </xf>
    <xf numFmtId="0" fontId="0" fillId="0" borderId="18" xfId="0" applyNumberFormat="1" applyFont="1" applyFill="1" applyBorder="1" applyAlignment="1" applyProtection="1">
      <alignment horizontal="left" vertical="center" wrapText="1"/>
      <protection locked="0"/>
    </xf>
    <xf numFmtId="0" fontId="0" fillId="0" borderId="23" xfId="0" applyNumberFormat="1" applyFont="1" applyFill="1" applyBorder="1" applyAlignment="1" applyProtection="1">
      <alignment horizontal="left" vertical="center" wrapText="1"/>
      <protection locked="0"/>
    </xf>
    <xf numFmtId="0" fontId="0" fillId="0" borderId="0" xfId="0" applyNumberFormat="1" applyFont="1" applyFill="1" applyBorder="1" applyAlignment="1" applyProtection="1">
      <alignment horizontal="left" vertical="center" wrapText="1"/>
      <protection locked="0"/>
    </xf>
    <xf numFmtId="0" fontId="0" fillId="0" borderId="31" xfId="0" applyNumberFormat="1" applyFont="1" applyFill="1" applyBorder="1" applyAlignment="1" applyProtection="1">
      <alignment horizontal="left" vertical="center" wrapText="1"/>
      <protection locked="0"/>
    </xf>
    <xf numFmtId="0" fontId="0" fillId="0" borderId="19" xfId="0" applyNumberFormat="1" applyFont="1" applyFill="1" applyBorder="1" applyAlignment="1" applyProtection="1">
      <alignment horizontal="left" vertical="center" wrapText="1"/>
      <protection locked="0"/>
    </xf>
    <xf numFmtId="0" fontId="0" fillId="0" borderId="16" xfId="0" applyNumberFormat="1" applyFont="1" applyFill="1" applyBorder="1" applyAlignment="1" applyProtection="1">
      <alignment horizontal="left" vertical="center" wrapText="1"/>
      <protection locked="0"/>
    </xf>
    <xf numFmtId="0" fontId="0" fillId="0" borderId="32" xfId="0" applyNumberFormat="1" applyFont="1" applyFill="1" applyBorder="1" applyAlignment="1" applyProtection="1">
      <alignment horizontal="left" vertical="center" wrapText="1"/>
      <protection locked="0"/>
    </xf>
    <xf numFmtId="0" fontId="0" fillId="0" borderId="27" xfId="0" applyFont="1" applyBorder="1" applyAlignment="1" applyProtection="1">
      <alignment horizontal="center" vertical="center" wrapText="1"/>
      <protection locked="0"/>
    </xf>
    <xf numFmtId="0" fontId="0" fillId="0" borderId="23" xfId="0" applyFont="1" applyBorder="1" applyAlignment="1" applyProtection="1">
      <alignment horizontal="center" vertical="center" wrapText="1"/>
      <protection locked="0"/>
    </xf>
    <xf numFmtId="0" fontId="0" fillId="0" borderId="19" xfId="0" applyFont="1" applyBorder="1" applyAlignment="1" applyProtection="1">
      <alignment horizontal="center" vertical="center" wrapText="1"/>
      <protection locked="0"/>
    </xf>
    <xf numFmtId="0" fontId="0" fillId="0" borderId="27" xfId="0" applyNumberFormat="1" applyFont="1" applyFill="1" applyBorder="1" applyAlignment="1" applyProtection="1">
      <alignment horizontal="center" vertical="center" wrapText="1"/>
      <protection locked="0"/>
    </xf>
    <xf numFmtId="0" fontId="0" fillId="0" borderId="34" xfId="0" applyNumberFormat="1" applyFont="1" applyFill="1" applyBorder="1" applyAlignment="1" applyProtection="1">
      <alignment horizontal="center" vertical="center" wrapText="1"/>
      <protection locked="0"/>
    </xf>
    <xf numFmtId="0" fontId="0" fillId="0" borderId="23" xfId="0" applyNumberFormat="1" applyFont="1" applyFill="1" applyBorder="1" applyAlignment="1" applyProtection="1">
      <alignment horizontal="center" vertical="center" wrapText="1"/>
      <protection locked="0"/>
    </xf>
    <xf numFmtId="0" fontId="0" fillId="0" borderId="49" xfId="0" applyNumberFormat="1" applyFont="1" applyFill="1" applyBorder="1" applyAlignment="1" applyProtection="1">
      <alignment horizontal="center" vertical="center" wrapText="1"/>
      <protection locked="0"/>
    </xf>
    <xf numFmtId="0" fontId="0" fillId="0" borderId="19" xfId="0" applyNumberFormat="1" applyFont="1" applyFill="1" applyBorder="1" applyAlignment="1" applyProtection="1">
      <alignment horizontal="center" vertical="center" wrapText="1"/>
      <protection locked="0"/>
    </xf>
    <xf numFmtId="0" fontId="0" fillId="0" borderId="35" xfId="0" applyNumberFormat="1" applyFont="1" applyFill="1" applyBorder="1" applyAlignment="1" applyProtection="1">
      <alignment horizontal="center" vertical="center" wrapText="1"/>
      <protection locked="0"/>
    </xf>
    <xf numFmtId="0" fontId="0" fillId="0" borderId="36" xfId="0" applyNumberFormat="1" applyFont="1" applyFill="1" applyBorder="1" applyAlignment="1" applyProtection="1">
      <alignment horizontal="center" vertical="center" wrapText="1"/>
      <protection locked="0"/>
    </xf>
    <xf numFmtId="0" fontId="0" fillId="0" borderId="26" xfId="0" applyNumberFormat="1" applyFont="1" applyFill="1" applyBorder="1" applyAlignment="1" applyProtection="1">
      <alignment horizontal="center" vertical="center" wrapText="1"/>
      <protection locked="0"/>
    </xf>
    <xf numFmtId="167" fontId="0" fillId="0" borderId="28" xfId="83" applyNumberFormat="1" applyFont="1" applyFill="1" applyBorder="1" applyAlignment="1" applyProtection="1">
      <alignment horizontal="center" vertical="center" wrapText="1"/>
      <protection locked="0"/>
    </xf>
    <xf numFmtId="1" fontId="0" fillId="0" borderId="36" xfId="83" applyNumberFormat="1" applyFont="1" applyFill="1" applyBorder="1" applyAlignment="1" applyProtection="1">
      <alignment horizontal="center" vertical="center" wrapText="1"/>
      <protection locked="0"/>
    </xf>
    <xf numFmtId="1" fontId="0" fillId="0" borderId="28" xfId="83" applyNumberFormat="1" applyFont="1" applyFill="1" applyBorder="1" applyAlignment="1" applyProtection="1">
      <alignment horizontal="center" vertical="center" wrapText="1"/>
      <protection locked="0"/>
    </xf>
    <xf numFmtId="1" fontId="0" fillId="0" borderId="26" xfId="83" applyNumberFormat="1" applyFont="1" applyFill="1" applyBorder="1" applyAlignment="1" applyProtection="1">
      <alignment horizontal="center" vertical="center" wrapText="1"/>
      <protection locked="0"/>
    </xf>
    <xf numFmtId="0" fontId="0" fillId="0" borderId="36" xfId="0" applyNumberFormat="1" applyFont="1" applyBorder="1" applyAlignment="1" applyProtection="1">
      <alignment horizontal="center" vertical="center" wrapText="1"/>
      <protection locked="0"/>
    </xf>
    <xf numFmtId="0" fontId="0" fillId="0" borderId="28" xfId="0" applyNumberFormat="1" applyFont="1" applyBorder="1" applyAlignment="1" applyProtection="1">
      <alignment horizontal="center" vertical="center" wrapText="1"/>
      <protection locked="0"/>
    </xf>
    <xf numFmtId="0" fontId="0" fillId="0" borderId="26" xfId="0" applyNumberFormat="1" applyFont="1" applyBorder="1" applyAlignment="1" applyProtection="1">
      <alignment horizontal="center" vertical="center" wrapText="1"/>
      <protection locked="0"/>
    </xf>
    <xf numFmtId="0" fontId="0" fillId="36" borderId="37" xfId="0" applyNumberFormat="1" applyFont="1" applyFill="1" applyBorder="1" applyAlignment="1" applyProtection="1">
      <alignment horizontal="center" vertical="center" wrapText="1"/>
      <protection locked="0"/>
    </xf>
    <xf numFmtId="0" fontId="0" fillId="36" borderId="34" xfId="0" applyNumberFormat="1" applyFont="1" applyFill="1" applyBorder="1" applyAlignment="1" applyProtection="1">
      <alignment horizontal="center" vertical="center" wrapText="1"/>
      <protection locked="0"/>
    </xf>
    <xf numFmtId="0" fontId="0" fillId="36" borderId="22" xfId="0" applyNumberFormat="1" applyFont="1" applyFill="1" applyBorder="1" applyAlignment="1" applyProtection="1">
      <alignment horizontal="center" vertical="center" wrapText="1"/>
      <protection locked="0"/>
    </xf>
    <xf numFmtId="0" fontId="0" fillId="36" borderId="60" xfId="0" applyNumberFormat="1" applyFont="1" applyFill="1" applyBorder="1" applyAlignment="1" applyProtection="1">
      <alignment horizontal="center" vertical="center" wrapText="1"/>
      <protection locked="0"/>
    </xf>
    <xf numFmtId="0" fontId="0" fillId="36" borderId="47" xfId="0" applyNumberFormat="1" applyFont="1" applyFill="1" applyBorder="1" applyAlignment="1" applyProtection="1">
      <alignment horizontal="center" vertical="center" wrapText="1"/>
      <protection locked="0"/>
    </xf>
    <xf numFmtId="0" fontId="0" fillId="36" borderId="61" xfId="0" applyNumberFormat="1" applyFont="1" applyFill="1" applyBorder="1" applyAlignment="1" applyProtection="1">
      <alignment horizontal="center" vertical="center" wrapText="1"/>
      <protection locked="0"/>
    </xf>
    <xf numFmtId="0" fontId="0" fillId="36" borderId="38" xfId="0" applyNumberFormat="1" applyFont="1" applyFill="1" applyBorder="1" applyAlignment="1" applyProtection="1">
      <alignment horizontal="center" vertical="center" wrapText="1"/>
      <protection locked="0"/>
    </xf>
    <xf numFmtId="0" fontId="0" fillId="36" borderId="35" xfId="0" applyNumberFormat="1" applyFont="1" applyFill="1" applyBorder="1" applyAlignment="1" applyProtection="1">
      <alignment horizontal="center" vertical="center" wrapText="1"/>
      <protection locked="0"/>
    </xf>
    <xf numFmtId="0" fontId="15" fillId="36" borderId="1" xfId="0" applyFont="1" applyFill="1" applyBorder="1" applyAlignment="1" applyProtection="1">
      <alignment horizontal="center" vertical="center" wrapText="1"/>
    </xf>
    <xf numFmtId="0" fontId="0" fillId="36" borderId="19" xfId="0" applyFont="1" applyFill="1" applyBorder="1" applyAlignment="1" applyProtection="1">
      <alignment horizontal="center" vertical="top" wrapText="1"/>
    </xf>
    <xf numFmtId="0" fontId="0" fillId="36" borderId="16" xfId="0" applyFont="1" applyFill="1" applyBorder="1" applyAlignment="1" applyProtection="1">
      <alignment horizontal="center" vertical="top" wrapText="1"/>
    </xf>
    <xf numFmtId="0" fontId="0" fillId="36" borderId="32" xfId="0" applyFont="1" applyFill="1" applyBorder="1" applyAlignment="1" applyProtection="1">
      <alignment horizontal="center" vertical="top" wrapText="1"/>
    </xf>
    <xf numFmtId="0" fontId="15" fillId="36" borderId="20" xfId="0" applyFont="1" applyFill="1" applyBorder="1" applyAlignment="1" applyProtection="1">
      <alignment horizontal="left" vertical="center"/>
    </xf>
    <xf numFmtId="0" fontId="15" fillId="36" borderId="8" xfId="0" applyFont="1" applyFill="1" applyBorder="1" applyAlignment="1" applyProtection="1">
      <alignment horizontal="left" vertical="center"/>
    </xf>
    <xf numFmtId="0" fontId="15" fillId="36" borderId="70" xfId="0" applyFont="1" applyFill="1" applyBorder="1" applyAlignment="1" applyProtection="1">
      <alignment horizontal="left" vertical="center"/>
    </xf>
    <xf numFmtId="3" fontId="15" fillId="36" borderId="20" xfId="0" applyNumberFormat="1" applyFont="1" applyFill="1" applyBorder="1" applyAlignment="1" applyProtection="1">
      <alignment horizontal="left" vertical="center"/>
    </xf>
    <xf numFmtId="3" fontId="15" fillId="36" borderId="8" xfId="0" applyNumberFormat="1" applyFont="1" applyFill="1" applyBorder="1" applyAlignment="1" applyProtection="1">
      <alignment horizontal="left" vertical="center"/>
    </xf>
    <xf numFmtId="3" fontId="0" fillId="36" borderId="83" xfId="0" applyNumberFormat="1" applyFont="1" applyFill="1" applyBorder="1" applyAlignment="1" applyProtection="1">
      <alignment horizontal="right" vertical="center" wrapText="1"/>
    </xf>
    <xf numFmtId="3" fontId="0" fillId="36" borderId="9" xfId="0" applyNumberFormat="1" applyFont="1" applyFill="1" applyBorder="1" applyAlignment="1" applyProtection="1">
      <alignment horizontal="right" vertical="center" wrapText="1"/>
    </xf>
    <xf numFmtId="3" fontId="0" fillId="36" borderId="8" xfId="0" applyNumberFormat="1" applyFont="1" applyFill="1" applyBorder="1" applyAlignment="1" applyProtection="1">
      <alignment horizontal="right" vertical="center" wrapText="1"/>
    </xf>
    <xf numFmtId="0" fontId="15" fillId="36" borderId="27" xfId="0" applyFont="1" applyFill="1" applyBorder="1" applyAlignment="1" applyProtection="1">
      <alignment horizontal="center" wrapText="1"/>
    </xf>
    <xf numFmtId="0" fontId="15" fillId="36" borderId="17" xfId="0" applyFont="1" applyFill="1" applyBorder="1" applyAlignment="1" applyProtection="1">
      <alignment horizontal="center" wrapText="1"/>
    </xf>
    <xf numFmtId="0" fontId="15" fillId="36" borderId="18" xfId="0" applyFont="1" applyFill="1" applyBorder="1" applyAlignment="1" applyProtection="1">
      <alignment horizontal="center" wrapText="1"/>
    </xf>
    <xf numFmtId="0" fontId="15" fillId="37" borderId="27" xfId="0" applyFont="1" applyFill="1" applyBorder="1" applyAlignment="1" applyProtection="1">
      <alignment horizontal="center" vertical="center" wrapText="1"/>
    </xf>
    <xf numFmtId="0" fontId="15" fillId="37" borderId="17" xfId="0" applyFont="1" applyFill="1" applyBorder="1" applyAlignment="1" applyProtection="1">
      <alignment horizontal="center" vertical="center" wrapText="1"/>
    </xf>
    <xf numFmtId="0" fontId="15" fillId="37" borderId="18" xfId="0" applyFont="1" applyFill="1" applyBorder="1" applyAlignment="1" applyProtection="1">
      <alignment horizontal="center" vertical="center" wrapText="1"/>
    </xf>
    <xf numFmtId="0" fontId="15" fillId="37" borderId="23" xfId="0" applyFont="1" applyFill="1" applyBorder="1" applyAlignment="1" applyProtection="1">
      <alignment horizontal="center" vertical="center" wrapText="1"/>
    </xf>
    <xf numFmtId="0" fontId="15" fillId="37" borderId="0" xfId="0" applyFont="1" applyFill="1" applyBorder="1" applyAlignment="1" applyProtection="1">
      <alignment horizontal="center" vertical="center" wrapText="1"/>
    </xf>
    <xf numFmtId="0" fontId="15" fillId="37" borderId="31" xfId="0" applyFont="1" applyFill="1" applyBorder="1" applyAlignment="1" applyProtection="1">
      <alignment horizontal="center" vertical="center" wrapText="1"/>
    </xf>
    <xf numFmtId="0" fontId="15" fillId="37" borderId="19" xfId="0" applyFont="1" applyFill="1" applyBorder="1" applyAlignment="1" applyProtection="1">
      <alignment horizontal="center" vertical="center" wrapText="1"/>
    </xf>
    <xf numFmtId="0" fontId="15" fillId="37" borderId="16" xfId="0" applyFont="1" applyFill="1" applyBorder="1" applyAlignment="1" applyProtection="1">
      <alignment horizontal="center" vertical="center" wrapText="1"/>
    </xf>
    <xf numFmtId="0" fontId="15" fillId="37" borderId="32" xfId="0" applyFont="1" applyFill="1" applyBorder="1" applyAlignment="1" applyProtection="1">
      <alignment horizontal="center" vertical="center" wrapText="1"/>
    </xf>
    <xf numFmtId="0" fontId="15" fillId="37" borderId="2" xfId="0" applyFont="1" applyFill="1" applyBorder="1" applyAlignment="1" applyProtection="1">
      <alignment horizontal="center" vertical="center" wrapText="1"/>
      <protection locked="0"/>
    </xf>
    <xf numFmtId="0" fontId="15" fillId="37" borderId="21" xfId="0" applyFont="1" applyFill="1" applyBorder="1" applyAlignment="1" applyProtection="1">
      <alignment horizontal="center" vertical="center" wrapText="1"/>
      <protection locked="0"/>
    </xf>
    <xf numFmtId="0" fontId="0" fillId="37" borderId="27" xfId="0" applyFont="1" applyFill="1" applyBorder="1" applyAlignment="1" applyProtection="1">
      <alignment vertical="center" wrapText="1"/>
    </xf>
    <xf numFmtId="0" fontId="0" fillId="37" borderId="17" xfId="0" applyFont="1" applyFill="1" applyBorder="1" applyAlignment="1" applyProtection="1">
      <alignment vertical="center" wrapText="1"/>
    </xf>
    <xf numFmtId="0" fontId="0" fillId="37" borderId="18" xfId="0" applyFont="1" applyFill="1" applyBorder="1" applyAlignment="1" applyProtection="1">
      <alignment vertical="center" wrapText="1"/>
    </xf>
    <xf numFmtId="0" fontId="0" fillId="37" borderId="19" xfId="0" applyFont="1" applyFill="1" applyBorder="1" applyAlignment="1" applyProtection="1">
      <alignment vertical="center" wrapText="1"/>
    </xf>
    <xf numFmtId="0" fontId="0" fillId="37" borderId="16" xfId="0" applyFont="1" applyFill="1" applyBorder="1" applyAlignment="1" applyProtection="1">
      <alignment vertical="center" wrapText="1"/>
    </xf>
    <xf numFmtId="0" fontId="0" fillId="37" borderId="32" xfId="0" applyFont="1" applyFill="1" applyBorder="1" applyAlignment="1" applyProtection="1">
      <alignment vertical="center" wrapText="1"/>
    </xf>
    <xf numFmtId="0" fontId="0" fillId="37" borderId="90" xfId="0" applyFont="1" applyFill="1" applyBorder="1" applyAlignment="1" applyProtection="1">
      <alignment horizontal="center" vertical="top" wrapText="1"/>
    </xf>
    <xf numFmtId="0" fontId="0" fillId="37" borderId="91" xfId="0" applyFont="1" applyFill="1" applyBorder="1" applyAlignment="1" applyProtection="1">
      <alignment horizontal="center" vertical="top" wrapText="1"/>
    </xf>
    <xf numFmtId="0" fontId="0" fillId="37" borderId="77" xfId="0" applyFont="1" applyFill="1" applyBorder="1" applyAlignment="1" applyProtection="1">
      <alignment horizontal="center" vertical="top" wrapText="1"/>
    </xf>
    <xf numFmtId="0" fontId="0" fillId="37" borderId="93" xfId="0" applyFont="1" applyFill="1" applyBorder="1" applyAlignment="1" applyProtection="1">
      <alignment horizontal="center" vertical="top" wrapText="1"/>
    </xf>
    <xf numFmtId="0" fontId="0" fillId="37" borderId="95" xfId="0" applyFont="1" applyFill="1" applyBorder="1" applyAlignment="1" applyProtection="1">
      <alignment horizontal="center" vertical="top" wrapText="1"/>
    </xf>
    <xf numFmtId="0" fontId="0" fillId="37" borderId="96" xfId="0" applyFont="1" applyFill="1" applyBorder="1" applyAlignment="1" applyProtection="1">
      <alignment horizontal="center" vertical="top" wrapText="1"/>
    </xf>
    <xf numFmtId="0" fontId="0" fillId="37" borderId="91" xfId="0" applyFont="1" applyFill="1" applyBorder="1" applyAlignment="1" applyProtection="1">
      <alignment horizontal="left" vertical="top" wrapText="1"/>
    </xf>
    <xf numFmtId="0" fontId="0" fillId="37" borderId="93" xfId="0" applyFont="1" applyFill="1" applyBorder="1" applyAlignment="1" applyProtection="1">
      <alignment horizontal="left" vertical="top" wrapText="1"/>
    </xf>
    <xf numFmtId="0" fontId="0" fillId="37" borderId="96" xfId="0" applyFont="1" applyFill="1" applyBorder="1" applyAlignment="1" applyProtection="1">
      <alignment horizontal="left" vertical="top" wrapText="1"/>
    </xf>
    <xf numFmtId="0" fontId="15" fillId="37" borderId="91" xfId="0" applyFont="1" applyFill="1" applyBorder="1" applyAlignment="1" applyProtection="1">
      <alignment vertical="center" wrapText="1"/>
    </xf>
    <xf numFmtId="0" fontId="15" fillId="37" borderId="96" xfId="0" applyFont="1" applyFill="1" applyBorder="1" applyAlignment="1" applyProtection="1">
      <alignment vertical="center" wrapText="1"/>
    </xf>
    <xf numFmtId="0" fontId="0" fillId="36" borderId="98" xfId="0" applyFont="1" applyFill="1" applyBorder="1" applyAlignment="1" applyProtection="1">
      <alignment horizontal="center" vertical="center" wrapText="1"/>
    </xf>
    <xf numFmtId="3" fontId="0" fillId="37" borderId="107" xfId="0" applyNumberFormat="1" applyFont="1" applyFill="1" applyBorder="1" applyAlignment="1" applyProtection="1">
      <alignment horizontal="right" vertical="center" wrapText="1"/>
    </xf>
    <xf numFmtId="3" fontId="0" fillId="37" borderId="108" xfId="0" applyNumberFormat="1" applyFont="1" applyFill="1" applyBorder="1" applyAlignment="1" applyProtection="1">
      <alignment horizontal="right" vertical="center" wrapText="1"/>
    </xf>
    <xf numFmtId="3" fontId="9" fillId="37" borderId="107" xfId="66" applyNumberFormat="1" applyFont="1" applyFill="1" applyBorder="1" applyAlignment="1" applyProtection="1">
      <alignment horizontal="right" vertical="center" wrapText="1"/>
    </xf>
    <xf numFmtId="3" fontId="9" fillId="37" borderId="108" xfId="66" applyNumberFormat="1" applyFont="1" applyFill="1" applyBorder="1" applyAlignment="1" applyProtection="1">
      <alignment horizontal="right" vertical="center" wrapText="1"/>
    </xf>
    <xf numFmtId="0" fontId="0" fillId="36" borderId="101" xfId="0" applyFont="1" applyFill="1" applyBorder="1" applyAlignment="1" applyProtection="1">
      <alignment horizontal="center" vertical="center" wrapText="1"/>
    </xf>
    <xf numFmtId="3" fontId="9" fillId="37" borderId="102" xfId="66" applyNumberFormat="1" applyFont="1" applyFill="1" applyBorder="1" applyAlignment="1" applyProtection="1">
      <alignment horizontal="right" vertical="center" wrapText="1"/>
    </xf>
    <xf numFmtId="3" fontId="9" fillId="37" borderId="101" xfId="66" applyNumberFormat="1" applyFont="1" applyFill="1" applyBorder="1" applyAlignment="1" applyProtection="1">
      <alignment horizontal="right" vertical="center" wrapText="1"/>
    </xf>
    <xf numFmtId="3" fontId="9" fillId="37" borderId="103" xfId="66" applyNumberFormat="1" applyFont="1" applyFill="1" applyBorder="1" applyAlignment="1" applyProtection="1">
      <alignment horizontal="right" vertical="center" wrapText="1"/>
    </xf>
    <xf numFmtId="0" fontId="15" fillId="37" borderId="91" xfId="0" applyFont="1" applyFill="1" applyBorder="1" applyAlignment="1" applyProtection="1">
      <alignment horizontal="center" vertical="center" wrapText="1"/>
    </xf>
    <xf numFmtId="0" fontId="15" fillId="37" borderId="96" xfId="0" applyFont="1" applyFill="1" applyBorder="1" applyAlignment="1" applyProtection="1">
      <alignment horizontal="center" vertical="center" wrapText="1"/>
    </xf>
    <xf numFmtId="3" fontId="0" fillId="37" borderId="98" xfId="0" applyNumberFormat="1" applyFont="1" applyFill="1" applyBorder="1" applyAlignment="1" applyProtection="1">
      <alignment horizontal="right" vertical="center" wrapText="1"/>
    </xf>
    <xf numFmtId="3" fontId="9" fillId="37" borderId="98" xfId="66" applyNumberFormat="1" applyFont="1" applyFill="1" applyBorder="1" applyAlignment="1" applyProtection="1">
      <alignment horizontal="right" vertical="center" wrapText="1"/>
    </xf>
    <xf numFmtId="0" fontId="0" fillId="0" borderId="91" xfId="0" applyFont="1" applyBorder="1" applyAlignment="1" applyProtection="1">
      <alignment horizontal="center" vertical="center" wrapText="1"/>
    </xf>
    <xf numFmtId="0" fontId="0" fillId="0" borderId="93" xfId="0" applyFont="1" applyBorder="1" applyAlignment="1" applyProtection="1">
      <alignment horizontal="center" vertical="center" wrapText="1"/>
    </xf>
    <xf numFmtId="0" fontId="0" fillId="0" borderId="96" xfId="0" applyFont="1" applyBorder="1" applyAlignment="1" applyProtection="1">
      <alignment horizontal="center" vertical="center" wrapText="1"/>
    </xf>
    <xf numFmtId="0" fontId="0" fillId="0" borderId="91" xfId="0" applyNumberFormat="1" applyFont="1" applyFill="1" applyBorder="1" applyAlignment="1" applyProtection="1">
      <alignment horizontal="center" vertical="center" wrapText="1"/>
    </xf>
    <xf numFmtId="0" fontId="0" fillId="0" borderId="92" xfId="0" applyNumberFormat="1" applyFont="1" applyFill="1" applyBorder="1" applyAlignment="1" applyProtection="1">
      <alignment horizontal="center" vertical="center" wrapText="1"/>
    </xf>
    <xf numFmtId="0" fontId="0" fillId="0" borderId="93" xfId="0" applyNumberFormat="1" applyFont="1" applyFill="1" applyBorder="1" applyAlignment="1" applyProtection="1">
      <alignment horizontal="center" vertical="center" wrapText="1"/>
    </xf>
    <xf numFmtId="0" fontId="0" fillId="0" borderId="94" xfId="0" applyNumberFormat="1" applyFont="1" applyFill="1" applyBorder="1" applyAlignment="1" applyProtection="1">
      <alignment horizontal="center" vertical="center" wrapText="1"/>
    </xf>
    <xf numFmtId="0" fontId="0" fillId="0" borderId="96" xfId="0" applyNumberFormat="1" applyFont="1" applyFill="1" applyBorder="1" applyAlignment="1" applyProtection="1">
      <alignment horizontal="center" vertical="center" wrapText="1"/>
    </xf>
    <xf numFmtId="0" fontId="0" fillId="0" borderId="97" xfId="0" applyNumberFormat="1" applyFont="1" applyFill="1" applyBorder="1" applyAlignment="1" applyProtection="1">
      <alignment horizontal="center" vertical="center" wrapText="1"/>
    </xf>
    <xf numFmtId="0" fontId="0" fillId="36" borderId="37" xfId="0" applyNumberFormat="1" applyFont="1" applyFill="1" applyBorder="1" applyAlignment="1" applyProtection="1">
      <alignment horizontal="center" vertical="center" wrapText="1"/>
    </xf>
    <xf numFmtId="0" fontId="0" fillId="36" borderId="34" xfId="0" applyNumberFormat="1" applyFont="1" applyFill="1" applyBorder="1" applyAlignment="1" applyProtection="1">
      <alignment horizontal="center" vertical="center" wrapText="1"/>
    </xf>
    <xf numFmtId="0" fontId="0" fillId="36" borderId="22" xfId="0" applyNumberFormat="1" applyFont="1" applyFill="1" applyBorder="1" applyAlignment="1" applyProtection="1">
      <alignment horizontal="center" vertical="center" wrapText="1"/>
    </xf>
    <xf numFmtId="0" fontId="0" fillId="36" borderId="60" xfId="0" applyNumberFormat="1" applyFont="1" applyFill="1" applyBorder="1" applyAlignment="1" applyProtection="1">
      <alignment horizontal="center" vertical="center" wrapText="1"/>
    </xf>
    <xf numFmtId="0" fontId="0" fillId="37" borderId="99" xfId="0" applyFont="1" applyFill="1" applyBorder="1" applyAlignment="1" applyProtection="1">
      <alignment horizontal="center" vertical="center" wrapText="1"/>
    </xf>
    <xf numFmtId="0" fontId="0" fillId="37" borderId="91" xfId="0" applyFont="1" applyFill="1" applyBorder="1" applyAlignment="1" applyProtection="1">
      <alignment horizontal="center" vertical="center" wrapText="1"/>
    </xf>
    <xf numFmtId="0" fontId="0" fillId="37" borderId="100" xfId="0" applyFont="1" applyFill="1" applyBorder="1" applyAlignment="1" applyProtection="1">
      <alignment horizontal="center" vertical="center" wrapText="1"/>
    </xf>
    <xf numFmtId="0" fontId="0" fillId="37" borderId="96" xfId="0" applyFont="1" applyFill="1" applyBorder="1" applyAlignment="1" applyProtection="1">
      <alignment horizontal="center" vertical="center" wrapText="1"/>
    </xf>
    <xf numFmtId="0" fontId="0" fillId="37" borderId="104" xfId="0" applyFont="1" applyFill="1" applyBorder="1" applyAlignment="1" applyProtection="1">
      <alignment horizontal="center" vertical="center" wrapText="1"/>
    </xf>
    <xf numFmtId="0" fontId="0" fillId="37" borderId="87" xfId="0" applyFont="1" applyFill="1" applyBorder="1" applyAlignment="1" applyProtection="1">
      <alignment horizontal="left" vertical="top" wrapText="1"/>
    </xf>
    <xf numFmtId="0" fontId="0" fillId="37" borderId="17" xfId="0" applyFont="1" applyFill="1" applyBorder="1" applyAlignment="1" applyProtection="1">
      <alignment horizontal="left" vertical="top" wrapText="1"/>
    </xf>
    <xf numFmtId="0" fontId="0" fillId="37" borderId="18" xfId="0" applyFont="1" applyFill="1" applyBorder="1" applyAlignment="1" applyProtection="1">
      <alignment horizontal="left" vertical="top" wrapText="1"/>
    </xf>
    <xf numFmtId="0" fontId="0" fillId="37" borderId="89" xfId="0" applyFont="1" applyFill="1" applyBorder="1" applyAlignment="1" applyProtection="1">
      <alignment horizontal="left" vertical="top" wrapText="1"/>
    </xf>
    <xf numFmtId="0" fontId="0" fillId="37" borderId="16" xfId="0" applyFont="1" applyFill="1" applyBorder="1" applyAlignment="1" applyProtection="1">
      <alignment horizontal="left" vertical="top" wrapText="1"/>
    </xf>
    <xf numFmtId="0" fontId="0" fillId="37" borderId="32" xfId="0" applyFont="1" applyFill="1" applyBorder="1" applyAlignment="1" applyProtection="1">
      <alignment horizontal="left" vertical="top" wrapText="1"/>
    </xf>
    <xf numFmtId="0" fontId="0" fillId="37" borderId="99" xfId="0" applyFont="1" applyFill="1" applyBorder="1" applyAlignment="1" applyProtection="1">
      <alignment horizontal="left" vertical="top" wrapText="1"/>
    </xf>
    <xf numFmtId="0" fontId="0" fillId="37" borderId="100" xfId="0" applyFont="1" applyFill="1" applyBorder="1" applyAlignment="1" applyProtection="1">
      <alignment horizontal="left" vertical="top" wrapText="1"/>
    </xf>
    <xf numFmtId="0" fontId="0" fillId="37" borderId="104" xfId="0" applyFont="1" applyFill="1" applyBorder="1" applyAlignment="1" applyProtection="1">
      <alignment horizontal="left" vertical="top" wrapText="1"/>
    </xf>
    <xf numFmtId="0" fontId="0" fillId="0" borderId="36" xfId="0" applyNumberFormat="1" applyFont="1" applyBorder="1" applyAlignment="1" applyProtection="1">
      <alignment horizontal="center" vertical="center" wrapText="1"/>
    </xf>
    <xf numFmtId="0" fontId="0" fillId="0" borderId="28" xfId="0" applyNumberFormat="1" applyFont="1" applyBorder="1" applyAlignment="1" applyProtection="1">
      <alignment horizontal="center" vertical="center" wrapText="1"/>
    </xf>
    <xf numFmtId="0" fontId="0" fillId="0" borderId="26" xfId="0" applyNumberFormat="1" applyFont="1" applyBorder="1" applyAlignment="1" applyProtection="1">
      <alignment horizontal="center" vertical="center" wrapText="1"/>
    </xf>
    <xf numFmtId="0" fontId="0" fillId="0" borderId="90" xfId="0" applyNumberFormat="1" applyFont="1" applyFill="1" applyBorder="1" applyAlignment="1" applyProtection="1">
      <alignment horizontal="left" vertical="center" wrapText="1"/>
    </xf>
    <xf numFmtId="0" fontId="0" fillId="0" borderId="91" xfId="0" applyNumberFormat="1" applyFont="1" applyFill="1" applyBorder="1" applyAlignment="1" applyProtection="1">
      <alignment horizontal="left" vertical="center" wrapText="1"/>
    </xf>
    <xf numFmtId="0" fontId="0" fillId="0" borderId="77" xfId="0" applyNumberFormat="1" applyFont="1" applyFill="1" applyBorder="1" applyAlignment="1" applyProtection="1">
      <alignment horizontal="left" vertical="center" wrapText="1"/>
    </xf>
    <xf numFmtId="0" fontId="0" fillId="0" borderId="93" xfId="0" applyNumberFormat="1" applyFont="1" applyFill="1" applyBorder="1" applyAlignment="1" applyProtection="1">
      <alignment horizontal="left" vertical="center" wrapText="1"/>
    </xf>
    <xf numFmtId="0" fontId="0" fillId="0" borderId="95" xfId="0" applyNumberFormat="1" applyFont="1" applyFill="1" applyBorder="1" applyAlignment="1" applyProtection="1">
      <alignment horizontal="left" vertical="center" wrapText="1"/>
    </xf>
    <xf numFmtId="0" fontId="0" fillId="0" borderId="96" xfId="0" applyNumberFormat="1" applyFont="1" applyFill="1" applyBorder="1" applyAlignment="1" applyProtection="1">
      <alignment horizontal="left" vertical="center" wrapText="1"/>
    </xf>
    <xf numFmtId="0" fontId="15" fillId="37" borderId="91" xfId="0" applyFont="1" applyFill="1" applyBorder="1" applyAlignment="1" applyProtection="1">
      <alignment horizontal="left" vertical="center" wrapText="1"/>
    </xf>
    <xf numFmtId="0" fontId="15" fillId="37" borderId="96" xfId="0" applyFont="1" applyFill="1" applyBorder="1" applyAlignment="1" applyProtection="1">
      <alignment horizontal="left" vertical="center" wrapText="1"/>
    </xf>
    <xf numFmtId="0" fontId="0" fillId="37" borderId="71" xfId="0" applyFont="1" applyFill="1" applyBorder="1" applyAlignment="1" applyProtection="1">
      <alignment horizontal="left" vertical="top" wrapText="1"/>
    </xf>
    <xf numFmtId="0" fontId="0" fillId="37" borderId="88" xfId="0" applyFont="1" applyFill="1" applyBorder="1" applyAlignment="1" applyProtection="1">
      <alignment horizontal="left" vertical="top" wrapText="1"/>
    </xf>
    <xf numFmtId="0" fontId="0" fillId="37" borderId="0" xfId="0" applyFont="1" applyFill="1" applyBorder="1" applyAlignment="1" applyProtection="1">
      <alignment horizontal="left" vertical="top" wrapText="1"/>
    </xf>
    <xf numFmtId="0" fontId="0" fillId="37" borderId="72" xfId="0" applyFont="1" applyFill="1" applyBorder="1" applyAlignment="1" applyProtection="1">
      <alignment horizontal="left" vertical="top" wrapText="1"/>
    </xf>
    <xf numFmtId="0" fontId="0" fillId="37" borderId="73" xfId="0" applyFont="1" applyFill="1" applyBorder="1" applyAlignment="1" applyProtection="1">
      <alignment horizontal="left" vertical="top" wrapText="1"/>
    </xf>
    <xf numFmtId="3" fontId="39" fillId="37" borderId="68" xfId="0" applyNumberFormat="1" applyFont="1" applyFill="1" applyBorder="1" applyAlignment="1" applyProtection="1">
      <alignment horizontal="right" vertical="center"/>
    </xf>
    <xf numFmtId="3" fontId="39" fillId="37" borderId="64" xfId="0" applyNumberFormat="1" applyFont="1" applyFill="1" applyBorder="1" applyAlignment="1" applyProtection="1">
      <alignment horizontal="right" vertical="center"/>
    </xf>
    <xf numFmtId="3" fontId="39" fillId="37" borderId="69" xfId="0" applyNumberFormat="1" applyFont="1" applyFill="1" applyBorder="1" applyAlignment="1" applyProtection="1">
      <alignment horizontal="right" vertical="center"/>
    </xf>
    <xf numFmtId="3" fontId="39" fillId="37" borderId="65" xfId="0" applyNumberFormat="1" applyFont="1" applyFill="1" applyBorder="1" applyAlignment="1" applyProtection="1">
      <alignment horizontal="right" vertical="center"/>
    </xf>
    <xf numFmtId="3" fontId="0" fillId="39" borderId="83" xfId="0" applyNumberFormat="1" applyFont="1" applyFill="1" applyBorder="1" applyAlignment="1" applyProtection="1">
      <alignment horizontal="right" vertical="center" wrapText="1"/>
    </xf>
    <xf numFmtId="3" fontId="0" fillId="39" borderId="9" xfId="0" applyNumberFormat="1" applyFont="1" applyFill="1" applyBorder="1" applyAlignment="1" applyProtection="1">
      <alignment horizontal="right" vertical="center" wrapText="1"/>
    </xf>
    <xf numFmtId="0" fontId="0" fillId="36" borderId="47" xfId="0" applyNumberFormat="1" applyFont="1" applyFill="1" applyBorder="1" applyAlignment="1" applyProtection="1">
      <alignment horizontal="center" vertical="center" wrapText="1"/>
    </xf>
    <xf numFmtId="0" fontId="0" fillId="36" borderId="61" xfId="0" applyNumberFormat="1" applyFont="1" applyFill="1" applyBorder="1" applyAlignment="1" applyProtection="1">
      <alignment horizontal="center" vertical="center" wrapText="1"/>
    </xf>
    <xf numFmtId="0" fontId="0" fillId="36" borderId="38" xfId="0" applyNumberFormat="1" applyFont="1" applyFill="1" applyBorder="1" applyAlignment="1" applyProtection="1">
      <alignment horizontal="center" vertical="center" wrapText="1"/>
    </xf>
    <xf numFmtId="0" fontId="0" fillId="36" borderId="35" xfId="0" applyNumberFormat="1" applyFont="1" applyFill="1" applyBorder="1" applyAlignment="1" applyProtection="1">
      <alignment horizontal="center" vertical="center" wrapText="1"/>
    </xf>
    <xf numFmtId="167" fontId="48" fillId="0" borderId="36" xfId="83" applyNumberFormat="1" applyFont="1" applyFill="1" applyBorder="1" applyAlignment="1" applyProtection="1">
      <alignment horizontal="center" vertical="center" wrapText="1"/>
      <protection locked="0"/>
    </xf>
    <xf numFmtId="167" fontId="48" fillId="0" borderId="26" xfId="83" applyNumberFormat="1" applyFont="1" applyFill="1" applyBorder="1" applyAlignment="1" applyProtection="1">
      <alignment horizontal="center" vertical="center" wrapText="1"/>
      <protection locked="0"/>
    </xf>
    <xf numFmtId="167" fontId="9" fillId="0" borderId="36" xfId="83" applyNumberFormat="1" applyFont="1" applyFill="1" applyBorder="1" applyAlignment="1" applyProtection="1">
      <alignment horizontal="center" vertical="center" wrapText="1"/>
      <protection locked="0"/>
    </xf>
    <xf numFmtId="167" fontId="9" fillId="0" borderId="26" xfId="83" applyNumberFormat="1" applyFont="1" applyFill="1" applyBorder="1" applyAlignment="1" applyProtection="1">
      <alignment horizontal="center" vertical="center" wrapText="1"/>
      <protection locked="0"/>
    </xf>
    <xf numFmtId="0" fontId="0" fillId="0" borderId="27" xfId="0" applyNumberFormat="1" applyFont="1" applyBorder="1" applyAlignment="1" applyProtection="1">
      <alignment horizontal="left" vertical="top" wrapText="1"/>
      <protection locked="0"/>
    </xf>
    <xf numFmtId="0" fontId="0" fillId="0" borderId="17" xfId="0" applyNumberFormat="1" applyFont="1" applyBorder="1" applyAlignment="1" applyProtection="1">
      <alignment horizontal="left" vertical="top" wrapText="1"/>
      <protection locked="0"/>
    </xf>
    <xf numFmtId="0" fontId="0" fillId="0" borderId="18" xfId="0" applyNumberFormat="1" applyFont="1" applyBorder="1" applyAlignment="1" applyProtection="1">
      <alignment horizontal="left" vertical="top" wrapText="1"/>
      <protection locked="0"/>
    </xf>
    <xf numFmtId="0" fontId="0" fillId="0" borderId="23" xfId="0" applyNumberFormat="1" applyFont="1" applyBorder="1" applyAlignment="1" applyProtection="1">
      <alignment horizontal="left" vertical="top" wrapText="1"/>
      <protection locked="0"/>
    </xf>
    <xf numFmtId="0" fontId="0" fillId="0" borderId="0" xfId="0" applyNumberFormat="1" applyFont="1" applyBorder="1" applyAlignment="1" applyProtection="1">
      <alignment horizontal="left" vertical="top" wrapText="1"/>
      <protection locked="0"/>
    </xf>
    <xf numFmtId="0" fontId="0" fillId="0" borderId="31" xfId="0" applyNumberFormat="1" applyFont="1" applyBorder="1" applyAlignment="1" applyProtection="1">
      <alignment horizontal="left" vertical="top" wrapText="1"/>
      <protection locked="0"/>
    </xf>
    <xf numFmtId="0" fontId="0" fillId="0" borderId="19" xfId="0" applyNumberFormat="1" applyFont="1" applyBorder="1" applyAlignment="1" applyProtection="1">
      <alignment horizontal="left" vertical="top" wrapText="1"/>
      <protection locked="0"/>
    </xf>
    <xf numFmtId="0" fontId="0" fillId="0" borderId="16" xfId="0" applyNumberFormat="1" applyFont="1" applyBorder="1" applyAlignment="1" applyProtection="1">
      <alignment horizontal="left" vertical="top" wrapText="1"/>
      <protection locked="0"/>
    </xf>
    <xf numFmtId="0" fontId="0" fillId="0" borderId="32" xfId="0" applyNumberFormat="1" applyFont="1" applyBorder="1" applyAlignment="1" applyProtection="1">
      <alignment horizontal="left" vertical="top" wrapText="1"/>
      <protection locked="0"/>
    </xf>
    <xf numFmtId="9" fontId="48" fillId="37" borderId="36" xfId="83" applyNumberFormat="1" applyFont="1" applyFill="1" applyBorder="1" applyAlignment="1" applyProtection="1">
      <alignment horizontal="center" vertical="center" wrapText="1"/>
      <protection locked="0"/>
    </xf>
    <xf numFmtId="9" fontId="48" fillId="37" borderId="26" xfId="83" applyNumberFormat="1" applyFont="1" applyFill="1" applyBorder="1" applyAlignment="1" applyProtection="1">
      <alignment horizontal="center" vertical="center" wrapText="1"/>
      <protection locked="0"/>
    </xf>
    <xf numFmtId="3" fontId="9" fillId="37" borderId="96" xfId="66" applyNumberFormat="1" applyFont="1" applyFill="1" applyBorder="1" applyAlignment="1" applyProtection="1">
      <alignment horizontal="right" vertical="center" wrapText="1"/>
    </xf>
    <xf numFmtId="0" fontId="0" fillId="37" borderId="87" xfId="0" applyFont="1" applyFill="1" applyBorder="1" applyAlignment="1" applyProtection="1">
      <alignment horizontal="left" vertical="center" wrapText="1"/>
    </xf>
    <xf numFmtId="0" fontId="0" fillId="37" borderId="17" xfId="0" applyFont="1" applyFill="1" applyBorder="1" applyAlignment="1" applyProtection="1">
      <alignment horizontal="left" vertical="center" wrapText="1"/>
    </xf>
    <xf numFmtId="0" fontId="0" fillId="37" borderId="71" xfId="0" applyFont="1" applyFill="1" applyBorder="1" applyAlignment="1" applyProtection="1">
      <alignment horizontal="left" vertical="center" wrapText="1"/>
    </xf>
    <xf numFmtId="0" fontId="0" fillId="37" borderId="89" xfId="0" applyFont="1" applyFill="1" applyBorder="1" applyAlignment="1" applyProtection="1">
      <alignment horizontal="left" vertical="center" wrapText="1"/>
    </xf>
    <xf numFmtId="0" fontId="0" fillId="37" borderId="16" xfId="0" applyFont="1" applyFill="1" applyBorder="1" applyAlignment="1" applyProtection="1">
      <alignment horizontal="left" vertical="center" wrapText="1"/>
    </xf>
    <xf numFmtId="0" fontId="0" fillId="37" borderId="73" xfId="0" applyFont="1" applyFill="1" applyBorder="1" applyAlignment="1" applyProtection="1">
      <alignment horizontal="left" vertical="center" wrapText="1"/>
    </xf>
    <xf numFmtId="49" fontId="0" fillId="37" borderId="0" xfId="0" applyNumberFormat="1" applyFont="1" applyFill="1" applyBorder="1" applyAlignment="1" applyProtection="1">
      <alignment horizontal="left" vertical="top" wrapText="1"/>
      <protection locked="0"/>
    </xf>
    <xf numFmtId="0" fontId="15" fillId="37" borderId="0" xfId="0" applyFont="1" applyFill="1" applyBorder="1" applyAlignment="1" applyProtection="1">
      <alignment horizontal="center" vertical="center" wrapText="1"/>
      <protection locked="0"/>
    </xf>
    <xf numFmtId="0" fontId="0" fillId="37" borderId="0" xfId="0" applyNumberFormat="1" applyFont="1" applyFill="1" applyBorder="1" applyAlignment="1" applyProtection="1">
      <alignment horizontal="right" vertical="top" wrapText="1"/>
      <protection locked="0"/>
    </xf>
    <xf numFmtId="0" fontId="15" fillId="37" borderId="0" xfId="0" applyNumberFormat="1" applyFont="1" applyFill="1" applyBorder="1" applyAlignment="1" applyProtection="1">
      <alignment horizontal="right" vertical="top" wrapText="1"/>
      <protection locked="0"/>
    </xf>
    <xf numFmtId="0" fontId="20" fillId="36" borderId="27" xfId="0" applyFont="1" applyFill="1" applyBorder="1" applyAlignment="1" applyProtection="1">
      <alignment horizontal="center" vertical="center" wrapText="1"/>
    </xf>
    <xf numFmtId="0" fontId="20" fillId="36" borderId="23" xfId="0" applyFont="1" applyFill="1" applyBorder="1" applyAlignment="1" applyProtection="1">
      <alignment horizontal="center" vertical="center" wrapText="1"/>
    </xf>
    <xf numFmtId="0" fontId="20" fillId="36" borderId="19" xfId="0" applyFont="1" applyFill="1" applyBorder="1" applyAlignment="1" applyProtection="1">
      <alignment horizontal="center" vertical="center" wrapText="1"/>
    </xf>
    <xf numFmtId="0" fontId="0" fillId="37" borderId="0" xfId="0" applyFont="1" applyFill="1" applyBorder="1" applyAlignment="1" applyProtection="1">
      <alignment horizontal="left" vertical="top" wrapText="1"/>
      <protection locked="0"/>
    </xf>
    <xf numFmtId="0" fontId="0" fillId="0" borderId="6" xfId="0" applyNumberFormat="1" applyBorder="1" applyAlignment="1" applyProtection="1">
      <alignment horizontal="center" vertical="center" wrapText="1"/>
      <protection locked="0"/>
    </xf>
    <xf numFmtId="1" fontId="0" fillId="0" borderId="41" xfId="0" applyNumberFormat="1" applyFont="1" applyBorder="1" applyAlignment="1" applyProtection="1">
      <alignment horizontal="left" vertical="center" wrapText="1"/>
    </xf>
    <xf numFmtId="1" fontId="0" fillId="0" borderId="42" xfId="0" applyNumberFormat="1" applyFont="1" applyBorder="1" applyAlignment="1" applyProtection="1">
      <alignment horizontal="left" vertical="center" wrapText="1"/>
    </xf>
    <xf numFmtId="1" fontId="0" fillId="0" borderId="11" xfId="0" applyNumberFormat="1" applyFont="1" applyBorder="1" applyAlignment="1" applyProtection="1">
      <alignment horizontal="left" vertical="center" wrapText="1"/>
    </xf>
    <xf numFmtId="9" fontId="0" fillId="0" borderId="6" xfId="0" applyNumberFormat="1" applyFont="1" applyBorder="1" applyAlignment="1" applyProtection="1">
      <alignment horizontal="center" vertical="center" wrapText="1"/>
      <protection locked="0"/>
    </xf>
    <xf numFmtId="3" fontId="0" fillId="0" borderId="6" xfId="0" applyNumberFormat="1" applyFont="1" applyBorder="1" applyAlignment="1" applyProtection="1">
      <alignment horizontal="center" vertical="center" wrapText="1"/>
    </xf>
    <xf numFmtId="3" fontId="0" fillId="0" borderId="46" xfId="0" applyNumberFormat="1" applyFont="1" applyBorder="1" applyAlignment="1" applyProtection="1">
      <alignment horizontal="center" vertical="center" wrapText="1"/>
    </xf>
    <xf numFmtId="3" fontId="0" fillId="0" borderId="50" xfId="0" applyNumberFormat="1" applyFont="1" applyBorder="1" applyAlignment="1" applyProtection="1">
      <alignment horizontal="center" vertical="center" wrapText="1"/>
    </xf>
    <xf numFmtId="1" fontId="0" fillId="0" borderId="6" xfId="0" applyNumberFormat="1" applyFont="1" applyBorder="1" applyAlignment="1" applyProtection="1">
      <alignment horizontal="left" vertical="center" wrapText="1"/>
    </xf>
    <xf numFmtId="1" fontId="0" fillId="0" borderId="46" xfId="0" applyNumberFormat="1" applyFont="1" applyBorder="1" applyAlignment="1" applyProtection="1">
      <alignment horizontal="left" vertical="center" wrapText="1"/>
    </xf>
    <xf numFmtId="1" fontId="0" fillId="0" borderId="50" xfId="0" applyNumberFormat="1" applyFont="1" applyBorder="1" applyAlignment="1" applyProtection="1">
      <alignment horizontal="left" vertical="center" wrapText="1"/>
    </xf>
    <xf numFmtId="3" fontId="0" fillId="0" borderId="5" xfId="0" applyNumberFormat="1" applyFont="1" applyBorder="1" applyAlignment="1" applyProtection="1">
      <alignment horizontal="center" vertical="center" wrapText="1"/>
    </xf>
    <xf numFmtId="3" fontId="0" fillId="0" borderId="10" xfId="0" applyNumberFormat="1" applyFont="1" applyBorder="1" applyAlignment="1" applyProtection="1">
      <alignment horizontal="center" vertical="center" wrapText="1"/>
    </xf>
    <xf numFmtId="3" fontId="0" fillId="0" borderId="40" xfId="0" applyNumberFormat="1" applyFont="1" applyBorder="1" applyAlignment="1" applyProtection="1">
      <alignment horizontal="center" vertical="center" wrapText="1"/>
    </xf>
    <xf numFmtId="0" fontId="0" fillId="37" borderId="15" xfId="0" applyFill="1" applyBorder="1" applyAlignment="1" applyProtection="1">
      <alignment horizontal="left" vertical="top" wrapText="1"/>
      <protection locked="0"/>
    </xf>
    <xf numFmtId="0" fontId="0" fillId="37" borderId="42" xfId="0" applyFill="1" applyBorder="1" applyAlignment="1" applyProtection="1">
      <alignment horizontal="left" vertical="top" wrapText="1"/>
      <protection locked="0"/>
    </xf>
    <xf numFmtId="0" fontId="0" fillId="37" borderId="43" xfId="0" applyFill="1" applyBorder="1" applyAlignment="1" applyProtection="1">
      <alignment horizontal="left" vertical="top" wrapText="1"/>
      <protection locked="0"/>
    </xf>
    <xf numFmtId="0" fontId="0" fillId="37" borderId="4" xfId="0" applyFont="1" applyFill="1" applyBorder="1" applyAlignment="1" applyProtection="1">
      <alignment vertical="top" wrapText="1"/>
      <protection locked="0"/>
    </xf>
    <xf numFmtId="0" fontId="0" fillId="37" borderId="46" xfId="0" applyFont="1" applyFill="1" applyBorder="1" applyAlignment="1">
      <alignment vertical="top" wrapText="1"/>
    </xf>
    <xf numFmtId="0" fontId="0" fillId="37" borderId="48" xfId="0" applyFont="1" applyFill="1" applyBorder="1" applyAlignment="1">
      <alignment vertical="top" wrapText="1"/>
    </xf>
    <xf numFmtId="0" fontId="0" fillId="37" borderId="12" xfId="0" applyFont="1" applyFill="1" applyBorder="1" applyAlignment="1" applyProtection="1">
      <alignment horizontal="left" vertical="top" wrapText="1"/>
      <protection locked="0"/>
    </xf>
    <xf numFmtId="0" fontId="0" fillId="37" borderId="10" xfId="0" applyFont="1" applyFill="1" applyBorder="1" applyAlignment="1" applyProtection="1">
      <alignment horizontal="left" vertical="top" wrapText="1"/>
      <protection locked="0"/>
    </xf>
    <xf numFmtId="0" fontId="0" fillId="37" borderId="39" xfId="0" applyFont="1" applyFill="1" applyBorder="1" applyAlignment="1" applyProtection="1">
      <alignment horizontal="left" vertical="top" wrapText="1"/>
      <protection locked="0"/>
    </xf>
    <xf numFmtId="0" fontId="0" fillId="0" borderId="5" xfId="0" applyNumberFormat="1" applyFont="1" applyBorder="1" applyAlignment="1" applyProtection="1">
      <alignment horizontal="left" vertical="center" wrapText="1"/>
    </xf>
    <xf numFmtId="0" fontId="0" fillId="0" borderId="10" xfId="0" applyNumberFormat="1" applyFont="1" applyBorder="1" applyAlignment="1" applyProtection="1">
      <alignment horizontal="left" vertical="center" wrapText="1"/>
    </xf>
    <xf numFmtId="0" fontId="0" fillId="0" borderId="40" xfId="0" applyNumberFormat="1" applyFont="1" applyBorder="1" applyAlignment="1" applyProtection="1">
      <alignment horizontal="left" vertical="center" wrapText="1"/>
    </xf>
    <xf numFmtId="0" fontId="0" fillId="0" borderId="5" xfId="0" applyNumberFormat="1" applyBorder="1" applyAlignment="1" applyProtection="1">
      <alignment horizontal="center" vertical="center" wrapText="1"/>
      <protection locked="0"/>
    </xf>
    <xf numFmtId="168" fontId="0" fillId="0" borderId="6" xfId="90" applyNumberFormat="1" applyFont="1" applyBorder="1" applyAlignment="1" applyProtection="1">
      <alignment horizontal="center" vertical="center" wrapText="1"/>
      <protection locked="0"/>
    </xf>
    <xf numFmtId="168" fontId="0" fillId="0" borderId="50" xfId="90" applyNumberFormat="1" applyFont="1" applyBorder="1" applyAlignment="1" applyProtection="1">
      <alignment horizontal="center" vertical="center" wrapText="1"/>
      <protection locked="0"/>
    </xf>
    <xf numFmtId="0" fontId="0" fillId="37" borderId="6" xfId="0" applyNumberFormat="1" applyFont="1" applyFill="1" applyBorder="1" applyAlignment="1" applyProtection="1">
      <alignment horizontal="center" vertical="center" wrapText="1"/>
      <protection locked="0"/>
    </xf>
    <xf numFmtId="0" fontId="0" fillId="37" borderId="50" xfId="0" applyNumberFormat="1" applyFont="1" applyFill="1" applyBorder="1" applyAlignment="1" applyProtection="1">
      <alignment horizontal="center" vertical="center" wrapText="1"/>
      <protection locked="0"/>
    </xf>
    <xf numFmtId="10" fontId="0" fillId="37" borderId="6" xfId="0" applyNumberFormat="1" applyFont="1" applyFill="1" applyBorder="1" applyAlignment="1" applyProtection="1">
      <alignment horizontal="center" vertical="center" wrapText="1"/>
      <protection locked="0"/>
    </xf>
    <xf numFmtId="0" fontId="0" fillId="37" borderId="48" xfId="0" applyNumberFormat="1" applyFont="1" applyFill="1" applyBorder="1" applyAlignment="1" applyProtection="1">
      <alignment horizontal="center" vertical="center" wrapText="1"/>
      <protection locked="0"/>
    </xf>
    <xf numFmtId="0" fontId="14" fillId="39" borderId="8" xfId="0" applyFont="1" applyFill="1" applyBorder="1" applyAlignment="1" applyProtection="1">
      <alignment horizontal="center" vertical="center" wrapText="1"/>
    </xf>
    <xf numFmtId="3" fontId="0" fillId="37" borderId="6" xfId="0" applyNumberFormat="1" applyFont="1" applyFill="1" applyBorder="1" applyAlignment="1" applyProtection="1">
      <alignment horizontal="center" vertical="center" wrapText="1"/>
    </xf>
    <xf numFmtId="3" fontId="0" fillId="37" borderId="46" xfId="0" applyNumberFormat="1" applyFont="1" applyFill="1" applyBorder="1" applyAlignment="1" applyProtection="1">
      <alignment horizontal="center" vertical="center" wrapText="1"/>
    </xf>
    <xf numFmtId="3" fontId="0" fillId="37" borderId="50" xfId="0" applyNumberFormat="1" applyFont="1" applyFill="1" applyBorder="1" applyAlignment="1" applyProtection="1">
      <alignment horizontal="center" vertical="center" wrapText="1"/>
    </xf>
    <xf numFmtId="0" fontId="0" fillId="0" borderId="6" xfId="0" applyNumberFormat="1" applyFont="1" applyBorder="1" applyAlignment="1" applyProtection="1">
      <alignment horizontal="left" vertical="center" wrapText="1"/>
    </xf>
    <xf numFmtId="0" fontId="0" fillId="0" borderId="46" xfId="0" applyNumberFormat="1" applyFont="1" applyBorder="1" applyAlignment="1" applyProtection="1">
      <alignment horizontal="left" vertical="center" wrapText="1"/>
    </xf>
    <xf numFmtId="0" fontId="0" fillId="0" borderId="50" xfId="0" applyNumberFormat="1" applyFont="1" applyBorder="1" applyAlignment="1" applyProtection="1">
      <alignment horizontal="left" vertical="center" wrapText="1"/>
    </xf>
    <xf numFmtId="9" fontId="9" fillId="37" borderId="36" xfId="83" applyNumberFormat="1" applyFont="1" applyFill="1" applyBorder="1" applyAlignment="1" applyProtection="1">
      <alignment horizontal="center" vertical="center" wrapText="1"/>
      <protection locked="0"/>
    </xf>
    <xf numFmtId="9" fontId="9" fillId="37" borderId="26" xfId="83" applyNumberFormat="1" applyFont="1" applyFill="1" applyBorder="1" applyAlignment="1" applyProtection="1">
      <alignment horizontal="center" vertical="center" wrapText="1"/>
      <protection locked="0"/>
    </xf>
    <xf numFmtId="0" fontId="0" fillId="37" borderId="27" xfId="0" applyNumberFormat="1" applyFont="1" applyFill="1" applyBorder="1" applyAlignment="1" applyProtection="1">
      <alignment horizontal="left" vertical="top" wrapText="1"/>
      <protection locked="0"/>
    </xf>
    <xf numFmtId="0" fontId="0" fillId="37" borderId="17" xfId="0" applyNumberFormat="1" applyFont="1" applyFill="1" applyBorder="1" applyAlignment="1" applyProtection="1">
      <alignment horizontal="left" vertical="top" wrapText="1"/>
      <protection locked="0"/>
    </xf>
    <xf numFmtId="0" fontId="0" fillId="37" borderId="18" xfId="0" applyNumberFormat="1" applyFont="1" applyFill="1" applyBorder="1" applyAlignment="1" applyProtection="1">
      <alignment horizontal="left" vertical="top" wrapText="1"/>
      <protection locked="0"/>
    </xf>
    <xf numFmtId="0" fontId="0" fillId="37" borderId="23" xfId="0" applyNumberFormat="1" applyFont="1" applyFill="1" applyBorder="1" applyAlignment="1" applyProtection="1">
      <alignment horizontal="left" vertical="top" wrapText="1"/>
      <protection locked="0"/>
    </xf>
    <xf numFmtId="0" fontId="0" fillId="37" borderId="0" xfId="0" applyNumberFormat="1" applyFont="1" applyFill="1" applyBorder="1" applyAlignment="1" applyProtection="1">
      <alignment horizontal="left" vertical="top" wrapText="1"/>
      <protection locked="0"/>
    </xf>
    <xf numFmtId="0" fontId="0" fillId="37" borderId="31" xfId="0" applyNumberFormat="1" applyFont="1" applyFill="1" applyBorder="1" applyAlignment="1" applyProtection="1">
      <alignment horizontal="left" vertical="top" wrapText="1"/>
      <protection locked="0"/>
    </xf>
    <xf numFmtId="0" fontId="0" fillId="37" borderId="19" xfId="0" applyNumberFormat="1" applyFont="1" applyFill="1" applyBorder="1" applyAlignment="1" applyProtection="1">
      <alignment horizontal="left" vertical="top" wrapText="1"/>
      <protection locked="0"/>
    </xf>
    <xf numFmtId="0" fontId="0" fillId="37" borderId="16" xfId="0" applyNumberFormat="1" applyFont="1" applyFill="1" applyBorder="1" applyAlignment="1" applyProtection="1">
      <alignment horizontal="left" vertical="top" wrapText="1"/>
      <protection locked="0"/>
    </xf>
    <xf numFmtId="0" fontId="0" fillId="37" borderId="32" xfId="0" applyNumberFormat="1" applyFont="1" applyFill="1" applyBorder="1" applyAlignment="1" applyProtection="1">
      <alignment horizontal="left" vertical="top" wrapText="1"/>
      <protection locked="0"/>
    </xf>
    <xf numFmtId="0" fontId="0" fillId="37" borderId="99" xfId="0" applyFont="1" applyFill="1" applyBorder="1" applyAlignment="1" applyProtection="1">
      <alignment horizontal="left" vertical="center" wrapText="1"/>
    </xf>
    <xf numFmtId="0" fontId="0" fillId="37" borderId="88" xfId="0" applyFont="1" applyFill="1" applyBorder="1" applyAlignment="1" applyProtection="1">
      <alignment horizontal="left" vertical="center" wrapText="1"/>
    </xf>
    <xf numFmtId="0" fontId="0" fillId="37" borderId="0" xfId="0" applyFont="1" applyFill="1" applyBorder="1" applyAlignment="1" applyProtection="1">
      <alignment horizontal="left" vertical="center" wrapText="1"/>
    </xf>
    <xf numFmtId="0" fontId="0" fillId="37" borderId="72" xfId="0" applyFont="1" applyFill="1" applyBorder="1" applyAlignment="1" applyProtection="1">
      <alignment horizontal="left" vertical="center" wrapText="1"/>
    </xf>
    <xf numFmtId="2" fontId="0" fillId="37" borderId="91" xfId="0" applyNumberFormat="1" applyFont="1" applyFill="1" applyBorder="1" applyAlignment="1" applyProtection="1">
      <alignment horizontal="center" vertical="center" wrapText="1"/>
    </xf>
    <xf numFmtId="2" fontId="0" fillId="37" borderId="100" xfId="0" applyNumberFormat="1" applyFont="1" applyFill="1" applyBorder="1" applyAlignment="1" applyProtection="1">
      <alignment horizontal="center" vertical="center" wrapText="1"/>
    </xf>
    <xf numFmtId="2" fontId="0" fillId="37" borderId="96" xfId="0" applyNumberFormat="1" applyFont="1" applyFill="1" applyBorder="1" applyAlignment="1" applyProtection="1">
      <alignment horizontal="center" vertical="center" wrapText="1"/>
    </xf>
    <xf numFmtId="2" fontId="0" fillId="37" borderId="104" xfId="0" applyNumberFormat="1" applyFont="1" applyFill="1" applyBorder="1" applyAlignment="1" applyProtection="1">
      <alignment horizontal="center" vertical="center" wrapText="1"/>
    </xf>
    <xf numFmtId="2" fontId="0" fillId="37" borderId="91" xfId="90" applyNumberFormat="1" applyFont="1" applyFill="1" applyBorder="1" applyAlignment="1" applyProtection="1">
      <alignment horizontal="center" vertical="center" wrapText="1"/>
    </xf>
    <xf numFmtId="2" fontId="0" fillId="37" borderId="100" xfId="90" applyNumberFormat="1" applyFont="1" applyFill="1" applyBorder="1" applyAlignment="1" applyProtection="1">
      <alignment horizontal="center" vertical="center" wrapText="1"/>
    </xf>
    <xf numFmtId="2" fontId="0" fillId="37" borderId="96" xfId="90" applyNumberFormat="1" applyFont="1" applyFill="1" applyBorder="1" applyAlignment="1" applyProtection="1">
      <alignment horizontal="center" vertical="center" wrapText="1"/>
    </xf>
    <xf numFmtId="2" fontId="0" fillId="37" borderId="104" xfId="90" applyNumberFormat="1" applyFont="1" applyFill="1" applyBorder="1" applyAlignment="1" applyProtection="1">
      <alignment horizontal="center" vertical="center" wrapText="1"/>
    </xf>
    <xf numFmtId="4" fontId="9" fillId="37" borderId="107" xfId="66" applyNumberFormat="1" applyFont="1" applyFill="1" applyBorder="1" applyAlignment="1" applyProtection="1">
      <alignment horizontal="right" vertical="center" wrapText="1"/>
    </xf>
    <xf numFmtId="4" fontId="9" fillId="37" borderId="108" xfId="66" applyNumberFormat="1" applyFont="1" applyFill="1" applyBorder="1" applyAlignment="1" applyProtection="1">
      <alignment horizontal="right" vertical="center" wrapText="1"/>
    </xf>
    <xf numFmtId="0" fontId="15" fillId="36" borderId="84" xfId="0" applyFont="1" applyFill="1" applyBorder="1" applyAlignment="1" applyProtection="1">
      <alignment horizontal="center" vertical="center" wrapText="1"/>
    </xf>
    <xf numFmtId="9" fontId="9" fillId="0" borderId="36" xfId="83" applyNumberFormat="1" applyFont="1" applyFill="1" applyBorder="1" applyAlignment="1" applyProtection="1">
      <alignment horizontal="center" vertical="center" wrapText="1"/>
      <protection locked="0"/>
    </xf>
    <xf numFmtId="9" fontId="9" fillId="0" borderId="26" xfId="83" applyNumberFormat="1" applyFont="1" applyFill="1" applyBorder="1" applyAlignment="1" applyProtection="1">
      <alignment horizontal="center" vertical="center" wrapText="1"/>
      <protection locked="0"/>
    </xf>
    <xf numFmtId="0" fontId="0" fillId="37" borderId="20" xfId="0" applyFill="1" applyBorder="1" applyAlignment="1" applyProtection="1">
      <alignment horizontal="center" vertical="top" wrapText="1"/>
      <protection locked="0"/>
    </xf>
    <xf numFmtId="0" fontId="0" fillId="37" borderId="8" xfId="0" applyFill="1" applyBorder="1" applyAlignment="1" applyProtection="1">
      <alignment horizontal="center" vertical="top" wrapText="1"/>
      <protection locked="0"/>
    </xf>
    <xf numFmtId="0" fontId="0" fillId="37" borderId="9" xfId="0" applyFill="1" applyBorder="1" applyAlignment="1" applyProtection="1">
      <alignment horizontal="center" vertical="top" wrapText="1"/>
      <protection locked="0"/>
    </xf>
    <xf numFmtId="0" fontId="0" fillId="0" borderId="27" xfId="0" applyNumberFormat="1" applyFont="1" applyFill="1" applyBorder="1" applyAlignment="1" applyProtection="1">
      <alignment horizontal="left" vertical="center" wrapText="1"/>
    </xf>
    <xf numFmtId="0" fontId="0" fillId="0" borderId="17" xfId="0" applyNumberFormat="1" applyFont="1" applyFill="1" applyBorder="1" applyAlignment="1" applyProtection="1">
      <alignment horizontal="left" vertical="center" wrapText="1"/>
    </xf>
    <xf numFmtId="0" fontId="0" fillId="0" borderId="71" xfId="0" applyNumberFormat="1" applyFont="1" applyFill="1" applyBorder="1" applyAlignment="1" applyProtection="1">
      <alignment horizontal="left" vertical="center" wrapText="1"/>
    </xf>
    <xf numFmtId="0" fontId="0" fillId="0" borderId="23"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0" fillId="0" borderId="72" xfId="0" applyNumberFormat="1" applyFont="1" applyFill="1" applyBorder="1" applyAlignment="1" applyProtection="1">
      <alignment horizontal="left" vertical="center" wrapText="1"/>
    </xf>
    <xf numFmtId="0" fontId="0" fillId="0" borderId="19" xfId="0" applyNumberFormat="1" applyFont="1" applyFill="1" applyBorder="1" applyAlignment="1" applyProtection="1">
      <alignment horizontal="left" vertical="center" wrapText="1"/>
    </xf>
    <xf numFmtId="0" fontId="0" fillId="0" borderId="16" xfId="0" applyNumberFormat="1" applyFont="1" applyFill="1" applyBorder="1" applyAlignment="1" applyProtection="1">
      <alignment horizontal="left" vertical="center" wrapText="1"/>
    </xf>
    <xf numFmtId="0" fontId="0" fillId="0" borderId="73" xfId="0" applyNumberFormat="1" applyFont="1" applyFill="1" applyBorder="1" applyAlignment="1" applyProtection="1">
      <alignment horizontal="left" vertical="center" wrapText="1"/>
    </xf>
    <xf numFmtId="0" fontId="0" fillId="0" borderId="89" xfId="0" applyNumberFormat="1" applyFont="1" applyBorder="1" applyAlignment="1" applyProtection="1">
      <alignment horizontal="left" vertical="center" wrapText="1"/>
    </xf>
    <xf numFmtId="0" fontId="0" fillId="0" borderId="16" xfId="0" applyNumberFormat="1" applyFont="1" applyBorder="1" applyAlignment="1" applyProtection="1">
      <alignment horizontal="left" vertical="center" wrapText="1"/>
    </xf>
    <xf numFmtId="0" fontId="0" fillId="0" borderId="32" xfId="0" applyNumberFormat="1" applyFont="1" applyBorder="1" applyAlignment="1" applyProtection="1">
      <alignment horizontal="left" vertical="center" wrapText="1"/>
    </xf>
    <xf numFmtId="0" fontId="0" fillId="37" borderId="67" xfId="0" applyFont="1" applyFill="1" applyBorder="1" applyAlignment="1" applyProtection="1">
      <alignment horizontal="left" vertical="center" wrapText="1"/>
      <protection locked="0"/>
    </xf>
    <xf numFmtId="0" fontId="0" fillId="37" borderId="78" xfId="0" applyFont="1" applyFill="1" applyBorder="1" applyAlignment="1" applyProtection="1">
      <alignment horizontal="left" vertical="center" wrapText="1"/>
      <protection locked="0"/>
    </xf>
    <xf numFmtId="0" fontId="0" fillId="37" borderId="63" xfId="0" applyFont="1" applyFill="1" applyBorder="1" applyAlignment="1" applyProtection="1">
      <alignment horizontal="left" vertical="center" wrapText="1"/>
      <protection locked="0"/>
    </xf>
    <xf numFmtId="0" fontId="39" fillId="36" borderId="69" xfId="0" applyFont="1" applyFill="1" applyBorder="1" applyAlignment="1" applyProtection="1">
      <alignment horizontal="center" vertical="center"/>
    </xf>
    <xf numFmtId="0" fontId="39" fillId="36" borderId="65" xfId="0" applyFont="1" applyFill="1" applyBorder="1" applyAlignment="1" applyProtection="1">
      <alignment horizontal="center" vertical="center"/>
    </xf>
    <xf numFmtId="0" fontId="0" fillId="0" borderId="88" xfId="0" applyNumberFormat="1" applyFont="1" applyBorder="1" applyAlignment="1" applyProtection="1">
      <alignment horizontal="left" vertical="center" wrapText="1"/>
    </xf>
    <xf numFmtId="0" fontId="0" fillId="0" borderId="0" xfId="0" applyNumberFormat="1" applyFont="1" applyBorder="1" applyAlignment="1" applyProtection="1">
      <alignment horizontal="left" vertical="center" wrapText="1"/>
    </xf>
    <xf numFmtId="0" fontId="0" fillId="0" borderId="31" xfId="0" applyNumberFormat="1" applyFont="1" applyBorder="1" applyAlignment="1" applyProtection="1">
      <alignment horizontal="left" vertical="center" wrapText="1"/>
    </xf>
    <xf numFmtId="0" fontId="0" fillId="37" borderId="6" xfId="0" applyNumberFormat="1" applyFont="1" applyFill="1" applyBorder="1" applyAlignment="1" applyProtection="1">
      <alignment horizontal="left" vertical="center" wrapText="1"/>
    </xf>
    <xf numFmtId="0" fontId="0" fillId="37" borderId="46" xfId="0" applyNumberFormat="1" applyFont="1" applyFill="1" applyBorder="1" applyAlignment="1" applyProtection="1">
      <alignment horizontal="left" vertical="center" wrapText="1"/>
    </xf>
    <xf numFmtId="0" fontId="0" fillId="37" borderId="50" xfId="0" applyNumberFormat="1" applyFont="1" applyFill="1" applyBorder="1" applyAlignment="1" applyProtection="1">
      <alignment horizontal="left" vertical="center" wrapText="1"/>
    </xf>
    <xf numFmtId="0" fontId="0" fillId="0" borderId="41" xfId="0" applyNumberFormat="1" applyFont="1" applyBorder="1" applyAlignment="1" applyProtection="1">
      <alignment horizontal="left" vertical="center" wrapText="1"/>
    </xf>
    <xf numFmtId="0" fontId="0" fillId="0" borderId="42" xfId="0" applyNumberFormat="1" applyFont="1" applyBorder="1" applyAlignment="1" applyProtection="1">
      <alignment horizontal="left" vertical="center" wrapText="1"/>
    </xf>
    <xf numFmtId="0" fontId="0" fillId="0" borderId="11" xfId="0" applyNumberFormat="1" applyFont="1" applyBorder="1" applyAlignment="1" applyProtection="1">
      <alignment horizontal="left" vertical="center" wrapText="1"/>
    </xf>
    <xf numFmtId="3" fontId="0" fillId="0" borderId="41" xfId="0" applyNumberFormat="1" applyFont="1" applyBorder="1" applyAlignment="1" applyProtection="1">
      <alignment horizontal="center" vertical="center" wrapText="1"/>
    </xf>
    <xf numFmtId="3" fontId="0" fillId="0" borderId="42" xfId="0" applyNumberFormat="1" applyFont="1" applyBorder="1" applyAlignment="1" applyProtection="1">
      <alignment horizontal="center" vertical="center" wrapText="1"/>
    </xf>
    <xf numFmtId="3" fontId="0" fillId="0" borderId="11" xfId="0" applyNumberFormat="1" applyFont="1" applyBorder="1" applyAlignment="1" applyProtection="1">
      <alignment horizontal="center" vertical="center" wrapText="1"/>
    </xf>
    <xf numFmtId="0" fontId="0" fillId="37" borderId="20" xfId="0" applyFont="1" applyFill="1" applyBorder="1" applyAlignment="1" applyProtection="1">
      <alignment horizontal="center" vertical="top" wrapText="1"/>
      <protection locked="0"/>
    </xf>
    <xf numFmtId="0" fontId="0" fillId="37" borderId="8" xfId="0" applyFont="1" applyFill="1" applyBorder="1" applyAlignment="1" applyProtection="1">
      <alignment horizontal="center" vertical="top" wrapText="1"/>
      <protection locked="0"/>
    </xf>
    <xf numFmtId="0" fontId="0" fillId="37" borderId="9" xfId="0" applyFont="1" applyFill="1" applyBorder="1" applyAlignment="1" applyProtection="1">
      <alignment horizontal="center" vertical="top" wrapText="1"/>
      <protection locked="0"/>
    </xf>
    <xf numFmtId="0" fontId="39" fillId="36" borderId="67" xfId="0" applyFont="1" applyFill="1" applyBorder="1" applyAlignment="1" applyProtection="1">
      <alignment horizontal="center" vertical="center"/>
    </xf>
    <xf numFmtId="0" fontId="39" fillId="36" borderId="63" xfId="0" applyFont="1" applyFill="1" applyBorder="1" applyAlignment="1" applyProtection="1">
      <alignment horizontal="center" vertical="center"/>
    </xf>
    <xf numFmtId="0" fontId="39" fillId="36" borderId="68" xfId="0" applyFont="1" applyFill="1" applyBorder="1" applyAlignment="1" applyProtection="1">
      <alignment horizontal="center" vertical="center"/>
    </xf>
    <xf numFmtId="0" fontId="39" fillId="36" borderId="64" xfId="0" applyFont="1" applyFill="1" applyBorder="1" applyAlignment="1" applyProtection="1">
      <alignment horizontal="center" vertical="center"/>
    </xf>
    <xf numFmtId="0" fontId="0" fillId="37" borderId="68" xfId="0" applyFont="1" applyFill="1" applyBorder="1" applyAlignment="1" applyProtection="1">
      <alignment horizontal="left" vertical="center" wrapText="1"/>
      <protection locked="0"/>
    </xf>
    <xf numFmtId="0" fontId="0" fillId="37" borderId="79" xfId="0" applyFont="1" applyFill="1" applyBorder="1" applyAlignment="1" applyProtection="1">
      <alignment horizontal="left" vertical="center" wrapText="1"/>
      <protection locked="0"/>
    </xf>
    <xf numFmtId="0" fontId="0" fillId="37" borderId="64" xfId="0" applyFont="1" applyFill="1" applyBorder="1" applyAlignment="1" applyProtection="1">
      <alignment horizontal="left" vertical="center" wrapText="1"/>
      <protection locked="0"/>
    </xf>
    <xf numFmtId="0" fontId="0" fillId="0" borderId="87" xfId="0" applyNumberFormat="1" applyFont="1" applyBorder="1" applyAlignment="1" applyProtection="1">
      <alignment horizontal="left" vertical="center" wrapText="1"/>
    </xf>
    <xf numFmtId="0" fontId="0" fillId="0" borderId="17" xfId="0" applyNumberFormat="1" applyFont="1" applyBorder="1" applyAlignment="1" applyProtection="1">
      <alignment horizontal="left" vertical="center" wrapText="1"/>
    </xf>
    <xf numFmtId="0" fontId="0" fillId="0" borderId="18" xfId="0" applyNumberFormat="1" applyFont="1" applyBorder="1" applyAlignment="1" applyProtection="1">
      <alignment horizontal="left" vertical="center" wrapText="1"/>
    </xf>
    <xf numFmtId="0" fontId="0" fillId="37" borderId="91" xfId="0" applyFont="1" applyFill="1" applyBorder="1" applyAlignment="1" applyProtection="1">
      <alignment vertical="top" wrapText="1"/>
    </xf>
    <xf numFmtId="0" fontId="0" fillId="37" borderId="93" xfId="0" applyFont="1" applyFill="1" applyBorder="1" applyAlignment="1" applyProtection="1">
      <alignment vertical="top" wrapText="1"/>
    </xf>
    <xf numFmtId="0" fontId="0" fillId="37" borderId="96" xfId="0" applyFont="1" applyFill="1" applyBorder="1" applyAlignment="1" applyProtection="1">
      <alignment vertical="top" wrapText="1"/>
    </xf>
    <xf numFmtId="0" fontId="0" fillId="37" borderId="91" xfId="0" applyFont="1" applyFill="1" applyBorder="1" applyAlignment="1" applyProtection="1">
      <alignment vertical="center" wrapText="1"/>
    </xf>
    <xf numFmtId="0" fontId="0" fillId="37" borderId="100" xfId="0" applyFont="1" applyFill="1" applyBorder="1" applyAlignment="1" applyProtection="1">
      <alignment vertical="center" wrapText="1"/>
    </xf>
    <xf numFmtId="0" fontId="0" fillId="37" borderId="96" xfId="0" applyFont="1" applyFill="1" applyBorder="1" applyAlignment="1" applyProtection="1">
      <alignment vertical="center" wrapText="1"/>
    </xf>
    <xf numFmtId="0" fontId="0" fillId="37" borderId="104" xfId="0" applyFont="1" applyFill="1" applyBorder="1" applyAlignment="1" applyProtection="1">
      <alignment vertical="center" wrapText="1"/>
    </xf>
    <xf numFmtId="0" fontId="0" fillId="37" borderId="105" xfId="0" applyFont="1" applyFill="1" applyBorder="1" applyAlignment="1">
      <alignment horizontal="left" vertical="center" wrapText="1"/>
    </xf>
    <xf numFmtId="0" fontId="0" fillId="37" borderId="106" xfId="0" applyFont="1" applyFill="1" applyBorder="1" applyAlignment="1">
      <alignment horizontal="left" vertical="center" wrapText="1"/>
    </xf>
    <xf numFmtId="0" fontId="0" fillId="0" borderId="27" xfId="0" applyNumberFormat="1" applyBorder="1" applyAlignment="1" applyProtection="1">
      <alignment horizontal="left" vertical="top" wrapText="1"/>
      <protection locked="0"/>
    </xf>
    <xf numFmtId="9" fontId="9" fillId="0" borderId="85" xfId="83" applyNumberFormat="1" applyFont="1" applyFill="1" applyBorder="1" applyAlignment="1" applyProtection="1">
      <alignment horizontal="center" vertical="center" wrapText="1"/>
      <protection locked="0"/>
    </xf>
    <xf numFmtId="9" fontId="9" fillId="0" borderId="86" xfId="83" applyNumberFormat="1" applyFont="1" applyFill="1" applyBorder="1" applyAlignment="1" applyProtection="1">
      <alignment horizontal="center" vertical="center" wrapText="1"/>
      <protection locked="0"/>
    </xf>
    <xf numFmtId="4" fontId="0" fillId="37" borderId="107" xfId="0" applyNumberFormat="1" applyFont="1" applyFill="1" applyBorder="1" applyAlignment="1" applyProtection="1">
      <alignment horizontal="right" vertical="center" wrapText="1"/>
    </xf>
    <xf numFmtId="4" fontId="0" fillId="37" borderId="108" xfId="0" applyNumberFormat="1" applyFont="1" applyFill="1" applyBorder="1" applyAlignment="1" applyProtection="1">
      <alignment horizontal="right" vertical="center" wrapText="1"/>
    </xf>
    <xf numFmtId="4" fontId="0" fillId="37" borderId="98" xfId="0" applyNumberFormat="1" applyFont="1" applyFill="1" applyBorder="1" applyAlignment="1" applyProtection="1">
      <alignment horizontal="right" vertical="center" wrapText="1"/>
    </xf>
    <xf numFmtId="4" fontId="9" fillId="37" borderId="98" xfId="66" applyNumberFormat="1" applyFont="1" applyFill="1" applyBorder="1" applyAlignment="1" applyProtection="1">
      <alignment horizontal="right" vertical="center" wrapText="1"/>
    </xf>
    <xf numFmtId="2" fontId="0" fillId="37" borderId="91" xfId="0" applyNumberFormat="1" applyFont="1" applyFill="1" applyBorder="1" applyAlignment="1" applyProtection="1">
      <alignment horizontal="left" vertical="center" wrapText="1"/>
    </xf>
    <xf numFmtId="2" fontId="0" fillId="37" borderId="100" xfId="0" applyNumberFormat="1" applyFont="1" applyFill="1" applyBorder="1" applyAlignment="1" applyProtection="1">
      <alignment horizontal="left" vertical="center" wrapText="1"/>
    </xf>
    <xf numFmtId="2" fontId="0" fillId="37" borderId="96" xfId="0" applyNumberFormat="1" applyFont="1" applyFill="1" applyBorder="1" applyAlignment="1" applyProtection="1">
      <alignment horizontal="left" vertical="center" wrapText="1"/>
    </xf>
    <xf numFmtId="2" fontId="0" fillId="37" borderId="104" xfId="0" applyNumberFormat="1" applyFont="1" applyFill="1" applyBorder="1" applyAlignment="1" applyProtection="1">
      <alignment horizontal="left" vertical="center" wrapText="1"/>
    </xf>
    <xf numFmtId="4" fontId="9" fillId="37" borderId="102" xfId="66" applyNumberFormat="1" applyFont="1" applyFill="1" applyBorder="1" applyAlignment="1" applyProtection="1">
      <alignment wrapText="1"/>
    </xf>
    <xf numFmtId="4" fontId="0" fillId="37" borderId="105" xfId="0" applyNumberFormat="1" applyFont="1" applyFill="1" applyBorder="1" applyAlignment="1">
      <alignment wrapText="1"/>
    </xf>
    <xf numFmtId="4" fontId="0" fillId="37" borderId="106" xfId="0" applyNumberFormat="1" applyFont="1" applyFill="1" applyBorder="1" applyAlignment="1">
      <alignment wrapText="1"/>
    </xf>
    <xf numFmtId="4" fontId="9" fillId="37" borderId="101" xfId="66" applyNumberFormat="1" applyFont="1" applyFill="1" applyBorder="1" applyAlignment="1" applyProtection="1">
      <alignment wrapText="1"/>
    </xf>
    <xf numFmtId="164" fontId="9" fillId="37" borderId="102" xfId="90" applyFont="1" applyFill="1" applyBorder="1" applyAlignment="1" applyProtection="1">
      <alignment horizontal="right" vertical="center" wrapText="1"/>
    </xf>
    <xf numFmtId="164" fontId="9" fillId="37" borderId="101" xfId="90" applyFont="1" applyFill="1" applyBorder="1" applyAlignment="1" applyProtection="1">
      <alignment horizontal="right" vertical="center" wrapText="1"/>
    </xf>
    <xf numFmtId="164" fontId="9" fillId="37" borderId="103" xfId="90" applyFont="1" applyFill="1" applyBorder="1" applyAlignment="1" applyProtection="1">
      <alignment horizontal="right" vertical="center" wrapText="1"/>
    </xf>
    <xf numFmtId="0" fontId="0" fillId="37" borderId="90" xfId="0" applyFill="1" applyBorder="1" applyAlignment="1" applyProtection="1">
      <alignment horizontal="center" vertical="top" wrapText="1"/>
    </xf>
    <xf numFmtId="167" fontId="0" fillId="37" borderId="36" xfId="83" applyNumberFormat="1" applyFont="1" applyFill="1" applyBorder="1" applyAlignment="1" applyProtection="1">
      <alignment horizontal="center" vertical="center" wrapText="1"/>
      <protection locked="0"/>
    </xf>
    <xf numFmtId="167" fontId="0" fillId="37" borderId="26" xfId="83" applyNumberFormat="1" applyFont="1" applyFill="1" applyBorder="1" applyAlignment="1" applyProtection="1">
      <alignment horizontal="center" vertical="center" wrapText="1"/>
      <protection locked="0"/>
    </xf>
    <xf numFmtId="0" fontId="0" fillId="37" borderId="27" xfId="0" applyNumberFormat="1" applyFill="1" applyBorder="1" applyAlignment="1" applyProtection="1">
      <alignment horizontal="left" vertical="top" wrapText="1"/>
      <protection locked="0"/>
    </xf>
    <xf numFmtId="3" fontId="0" fillId="0" borderId="36" xfId="0" applyNumberFormat="1" applyFont="1" applyFill="1" applyBorder="1" applyAlignment="1" applyProtection="1">
      <alignment horizontal="center" vertical="center" wrapText="1"/>
      <protection locked="0"/>
    </xf>
    <xf numFmtId="9" fontId="0" fillId="37" borderId="36" xfId="83" applyNumberFormat="1" applyFont="1" applyFill="1" applyBorder="1" applyAlignment="1" applyProtection="1">
      <alignment horizontal="center" vertical="center" wrapText="1"/>
      <protection locked="0"/>
    </xf>
    <xf numFmtId="9" fontId="0" fillId="37" borderId="26" xfId="83" applyNumberFormat="1" applyFont="1" applyFill="1" applyBorder="1" applyAlignment="1" applyProtection="1">
      <alignment horizontal="center" vertical="center" wrapText="1"/>
      <protection locked="0"/>
    </xf>
    <xf numFmtId="167" fontId="9" fillId="37" borderId="36" xfId="83" applyNumberFormat="1" applyFont="1" applyFill="1" applyBorder="1" applyAlignment="1" applyProtection="1">
      <alignment horizontal="center" vertical="center" wrapText="1"/>
      <protection locked="0"/>
    </xf>
    <xf numFmtId="167" fontId="9" fillId="37" borderId="26" xfId="83" applyNumberFormat="1" applyFont="1" applyFill="1" applyBorder="1" applyAlignment="1" applyProtection="1">
      <alignment horizontal="center" vertical="center" wrapText="1"/>
      <protection locked="0"/>
    </xf>
    <xf numFmtId="167" fontId="0" fillId="0" borderId="85" xfId="83" applyNumberFormat="1" applyFont="1" applyFill="1" applyBorder="1" applyAlignment="1" applyProtection="1">
      <alignment horizontal="center" vertical="center" wrapText="1"/>
      <protection locked="0"/>
    </xf>
    <xf numFmtId="167" fontId="0" fillId="0" borderId="86" xfId="83" applyNumberFormat="1" applyFont="1" applyFill="1" applyBorder="1" applyAlignment="1" applyProtection="1">
      <alignment horizontal="center" vertical="center" wrapText="1"/>
      <protection locked="0"/>
    </xf>
    <xf numFmtId="0" fontId="0" fillId="0" borderId="27" xfId="0" applyNumberFormat="1" applyFill="1" applyBorder="1" applyAlignment="1" applyProtection="1">
      <alignment horizontal="left" vertical="top" wrapText="1"/>
      <protection locked="0"/>
    </xf>
    <xf numFmtId="0" fontId="0" fillId="0" borderId="17" xfId="0" applyNumberFormat="1" applyFont="1" applyFill="1" applyBorder="1" applyAlignment="1" applyProtection="1">
      <alignment horizontal="left" vertical="top" wrapText="1"/>
      <protection locked="0"/>
    </xf>
    <xf numFmtId="0" fontId="0" fillId="0" borderId="18" xfId="0" applyNumberFormat="1" applyFont="1" applyFill="1" applyBorder="1" applyAlignment="1" applyProtection="1">
      <alignment horizontal="left" vertical="top" wrapText="1"/>
      <protection locked="0"/>
    </xf>
    <xf numFmtId="0" fontId="0" fillId="0" borderId="23" xfId="0" applyNumberFormat="1" applyFont="1" applyFill="1" applyBorder="1" applyAlignment="1" applyProtection="1">
      <alignment horizontal="left" vertical="top" wrapText="1"/>
      <protection locked="0"/>
    </xf>
    <xf numFmtId="0" fontId="0" fillId="0" borderId="0" xfId="0" applyNumberFormat="1" applyFont="1" applyFill="1" applyBorder="1" applyAlignment="1" applyProtection="1">
      <alignment horizontal="left" vertical="top" wrapText="1"/>
      <protection locked="0"/>
    </xf>
    <xf numFmtId="0" fontId="0" fillId="0" borderId="31" xfId="0" applyNumberFormat="1" applyFont="1" applyFill="1" applyBorder="1" applyAlignment="1" applyProtection="1">
      <alignment horizontal="left" vertical="top" wrapText="1"/>
      <protection locked="0"/>
    </xf>
    <xf numFmtId="0" fontId="0" fillId="0" borderId="19" xfId="0" applyNumberFormat="1" applyFont="1" applyFill="1" applyBorder="1" applyAlignment="1" applyProtection="1">
      <alignment horizontal="left" vertical="top" wrapText="1"/>
      <protection locked="0"/>
    </xf>
    <xf numFmtId="0" fontId="0" fillId="0" borderId="16" xfId="0" applyNumberFormat="1" applyFont="1" applyFill="1" applyBorder="1" applyAlignment="1" applyProtection="1">
      <alignment horizontal="left" vertical="top" wrapText="1"/>
      <protection locked="0"/>
    </xf>
    <xf numFmtId="0" fontId="0" fillId="0" borderId="32" xfId="0" applyNumberFormat="1" applyFont="1" applyFill="1" applyBorder="1" applyAlignment="1" applyProtection="1">
      <alignment horizontal="left" vertical="top" wrapText="1"/>
      <protection locked="0"/>
    </xf>
    <xf numFmtId="0" fontId="0" fillId="37" borderId="90" xfId="0" applyFont="1" applyFill="1" applyBorder="1" applyAlignment="1" applyProtection="1">
      <alignment horizontal="center" vertical="center" wrapText="1"/>
    </xf>
    <xf numFmtId="0" fontId="0" fillId="37" borderId="77" xfId="0" applyFont="1" applyFill="1" applyBorder="1" applyAlignment="1" applyProtection="1">
      <alignment horizontal="center" vertical="center" wrapText="1"/>
    </xf>
    <xf numFmtId="0" fontId="0" fillId="37" borderId="93" xfId="0" applyFont="1" applyFill="1" applyBorder="1" applyAlignment="1" applyProtection="1">
      <alignment horizontal="center" vertical="center" wrapText="1"/>
    </xf>
    <xf numFmtId="0" fontId="0" fillId="37" borderId="95" xfId="0" applyFont="1" applyFill="1" applyBorder="1" applyAlignment="1" applyProtection="1">
      <alignment horizontal="center" vertical="center" wrapText="1"/>
    </xf>
    <xf numFmtId="3" fontId="0" fillId="37" borderId="102" xfId="66" applyNumberFormat="1" applyFont="1" applyFill="1" applyBorder="1" applyAlignment="1" applyProtection="1">
      <alignment horizontal="right" vertical="center" wrapText="1"/>
    </xf>
    <xf numFmtId="3" fontId="0" fillId="37" borderId="101" xfId="66" applyNumberFormat="1" applyFont="1" applyFill="1" applyBorder="1" applyAlignment="1" applyProtection="1">
      <alignment horizontal="right" vertical="center" wrapText="1"/>
    </xf>
    <xf numFmtId="3" fontId="0" fillId="37" borderId="103" xfId="66" applyNumberFormat="1" applyFont="1" applyFill="1" applyBorder="1" applyAlignment="1" applyProtection="1">
      <alignment horizontal="right" vertical="center" wrapText="1"/>
    </xf>
    <xf numFmtId="0" fontId="0" fillId="37" borderId="87" xfId="0" applyFill="1" applyBorder="1" applyAlignment="1" applyProtection="1">
      <alignment horizontal="left" vertical="center" wrapText="1"/>
    </xf>
    <xf numFmtId="0" fontId="0" fillId="37" borderId="87" xfId="0" applyFill="1" applyBorder="1" applyAlignment="1" applyProtection="1">
      <alignment horizontal="left" vertical="top" wrapText="1"/>
    </xf>
    <xf numFmtId="3" fontId="0" fillId="37" borderId="107" xfId="66" applyNumberFormat="1" applyFont="1" applyFill="1" applyBorder="1" applyAlignment="1" applyProtection="1">
      <alignment horizontal="right" vertical="center" wrapText="1"/>
    </xf>
    <xf numFmtId="3" fontId="0" fillId="37" borderId="108" xfId="66" applyNumberFormat="1" applyFont="1" applyFill="1" applyBorder="1" applyAlignment="1" applyProtection="1">
      <alignment horizontal="right" vertical="center" wrapText="1"/>
    </xf>
    <xf numFmtId="0" fontId="0" fillId="37" borderId="71" xfId="0" applyFont="1" applyFill="1" applyBorder="1" applyAlignment="1" applyProtection="1">
      <alignment horizontal="center" vertical="center" wrapText="1"/>
    </xf>
    <xf numFmtId="0" fontId="0" fillId="37" borderId="72" xfId="0" applyFont="1" applyFill="1" applyBorder="1" applyAlignment="1" applyProtection="1">
      <alignment horizontal="center" vertical="center" wrapText="1"/>
    </xf>
    <xf numFmtId="0" fontId="0" fillId="37" borderId="73" xfId="0" applyFont="1" applyFill="1" applyBorder="1" applyAlignment="1" applyProtection="1">
      <alignment horizontal="center" vertical="center" wrapText="1"/>
    </xf>
    <xf numFmtId="0" fontId="0" fillId="37" borderId="91" xfId="0" applyFill="1" applyBorder="1" applyAlignment="1" applyProtection="1">
      <alignment vertical="center" wrapText="1"/>
    </xf>
    <xf numFmtId="0" fontId="51" fillId="0" borderId="36" xfId="0" applyNumberFormat="1" applyFont="1" applyFill="1" applyBorder="1" applyAlignment="1" applyProtection="1">
      <alignment horizontal="center" vertical="center" wrapText="1"/>
      <protection locked="0"/>
    </xf>
    <xf numFmtId="0" fontId="51" fillId="0" borderId="26" xfId="0" applyNumberFormat="1" applyFont="1" applyFill="1" applyBorder="1" applyAlignment="1" applyProtection="1">
      <alignment horizontal="center" vertical="center" wrapText="1"/>
      <protection locked="0"/>
    </xf>
    <xf numFmtId="167" fontId="51" fillId="0" borderId="36" xfId="83" applyNumberFormat="1" applyFont="1" applyFill="1" applyBorder="1" applyAlignment="1" applyProtection="1">
      <alignment horizontal="center" vertical="center" wrapText="1"/>
      <protection locked="0"/>
    </xf>
    <xf numFmtId="167" fontId="51" fillId="0" borderId="28" xfId="83" applyNumberFormat="1" applyFont="1" applyFill="1" applyBorder="1" applyAlignment="1" applyProtection="1">
      <alignment horizontal="center" vertical="center" wrapText="1"/>
      <protection locked="0"/>
    </xf>
    <xf numFmtId="167" fontId="51" fillId="0" borderId="26" xfId="83" applyNumberFormat="1" applyFont="1" applyFill="1" applyBorder="1" applyAlignment="1" applyProtection="1">
      <alignment horizontal="center" vertical="center" wrapText="1"/>
      <protection locked="0"/>
    </xf>
    <xf numFmtId="0" fontId="51" fillId="0" borderId="91" xfId="0" applyFont="1" applyBorder="1" applyAlignment="1" applyProtection="1">
      <alignment horizontal="center" vertical="center" wrapText="1"/>
    </xf>
    <xf numFmtId="0" fontId="51" fillId="0" borderId="93" xfId="0" applyFont="1" applyBorder="1" applyAlignment="1" applyProtection="1">
      <alignment horizontal="center" vertical="center" wrapText="1"/>
    </xf>
    <xf numFmtId="0" fontId="51" fillId="0" borderId="96" xfId="0" applyFont="1" applyBorder="1" applyAlignment="1" applyProtection="1">
      <alignment horizontal="center" vertical="center" wrapText="1"/>
    </xf>
    <xf numFmtId="0" fontId="0" fillId="37" borderId="100" xfId="0" applyFont="1" applyFill="1" applyBorder="1" applyAlignment="1" applyProtection="1">
      <alignment horizontal="center" vertical="top" wrapText="1"/>
    </xf>
    <xf numFmtId="0" fontId="0" fillId="37" borderId="104" xfId="0" applyFont="1" applyFill="1" applyBorder="1" applyAlignment="1" applyProtection="1">
      <alignment horizontal="center" vertical="top" wrapText="1"/>
    </xf>
    <xf numFmtId="0" fontId="0" fillId="37" borderId="66" xfId="0" applyFont="1" applyFill="1" applyBorder="1" applyAlignment="1" applyProtection="1">
      <alignment horizontal="center" vertical="center" wrapText="1"/>
    </xf>
    <xf numFmtId="3" fontId="0" fillId="0" borderId="0" xfId="0" applyNumberFormat="1" applyBorder="1" applyAlignment="1">
      <alignment vertical="top" wrapText="1"/>
    </xf>
    <xf numFmtId="0" fontId="44" fillId="35" borderId="1" xfId="0" applyFont="1" applyFill="1" applyBorder="1" applyAlignment="1" applyProtection="1">
      <alignment horizontal="center" vertical="center" wrapText="1"/>
    </xf>
    <xf numFmtId="0" fontId="45" fillId="36" borderId="1" xfId="0" applyNumberFormat="1" applyFont="1" applyFill="1" applyBorder="1" applyAlignment="1" applyProtection="1">
      <alignment horizontal="center" vertical="center" wrapText="1"/>
    </xf>
    <xf numFmtId="3" fontId="2" fillId="39" borderId="98" xfId="204" applyNumberFormat="1" applyFont="1" applyFill="1" applyBorder="1" applyAlignment="1" applyProtection="1">
      <alignment horizontal="right" vertical="center" wrapText="1"/>
    </xf>
    <xf numFmtId="3" fontId="9" fillId="39" borderId="98" xfId="205" applyNumberFormat="1" applyFont="1" applyFill="1" applyBorder="1" applyAlignment="1" applyProtection="1">
      <alignment horizontal="right" vertical="center" wrapText="1"/>
    </xf>
    <xf numFmtId="3" fontId="0" fillId="42" borderId="102" xfId="205" applyNumberFormat="1" applyFont="1" applyFill="1" applyBorder="1" applyAlignment="1" applyProtection="1">
      <alignment horizontal="right" vertical="center" wrapText="1"/>
    </xf>
    <xf numFmtId="3" fontId="9" fillId="42" borderId="102" xfId="205" applyNumberFormat="1" applyFont="1" applyFill="1" applyBorder="1" applyAlignment="1" applyProtection="1">
      <alignment horizontal="right" vertical="center" wrapText="1"/>
    </xf>
    <xf numFmtId="3" fontId="9" fillId="42" borderId="101" xfId="205" applyNumberFormat="1" applyFont="1" applyFill="1" applyBorder="1" applyAlignment="1" applyProtection="1">
      <alignment horizontal="right" vertical="center" wrapText="1"/>
    </xf>
    <xf numFmtId="3" fontId="9" fillId="42" borderId="103" xfId="205" applyNumberFormat="1" applyFont="1" applyFill="1" applyBorder="1" applyAlignment="1" applyProtection="1">
      <alignment horizontal="right" vertical="center" wrapText="1"/>
    </xf>
    <xf numFmtId="4" fontId="2" fillId="39" borderId="107" xfId="204" applyNumberFormat="1" applyFont="1" applyFill="1" applyBorder="1" applyAlignment="1" applyProtection="1">
      <alignment horizontal="right" vertical="center" wrapText="1"/>
    </xf>
    <xf numFmtId="4" fontId="2" fillId="39" borderId="108" xfId="204" applyNumberFormat="1" applyFont="1" applyFill="1" applyBorder="1" applyAlignment="1" applyProtection="1">
      <alignment horizontal="right" vertical="center" wrapText="1"/>
    </xf>
    <xf numFmtId="4" fontId="9" fillId="39" borderId="107" xfId="205" applyNumberFormat="1" applyFont="1" applyFill="1" applyBorder="1" applyAlignment="1" applyProtection="1">
      <alignment horizontal="right" vertical="center" wrapText="1"/>
    </xf>
    <xf numFmtId="4" fontId="9" fillId="39" borderId="108" xfId="205" applyNumberFormat="1" applyFont="1" applyFill="1" applyBorder="1" applyAlignment="1" applyProtection="1">
      <alignment horizontal="right" vertical="center" wrapText="1"/>
    </xf>
    <xf numFmtId="4" fontId="2" fillId="39" borderId="98" xfId="204" applyNumberFormat="1" applyFont="1" applyFill="1" applyBorder="1" applyAlignment="1" applyProtection="1">
      <alignment horizontal="right" vertical="center" wrapText="1"/>
    </xf>
    <xf numFmtId="4" fontId="9" fillId="39" borderId="98" xfId="205" applyNumberFormat="1" applyFont="1" applyFill="1" applyBorder="1" applyAlignment="1" applyProtection="1">
      <alignment horizontal="right" vertical="center" wrapText="1"/>
    </xf>
    <xf numFmtId="3" fontId="2" fillId="39" borderId="107" xfId="204" applyNumberFormat="1" applyFont="1" applyFill="1" applyBorder="1" applyAlignment="1" applyProtection="1">
      <alignment horizontal="right" vertical="center" wrapText="1"/>
    </xf>
    <xf numFmtId="3" fontId="2" fillId="39" borderId="108" xfId="204" applyNumberFormat="1" applyFont="1" applyFill="1" applyBorder="1" applyAlignment="1" applyProtection="1">
      <alignment horizontal="right" vertical="center" wrapText="1"/>
    </xf>
    <xf numFmtId="3" fontId="9" fillId="39" borderId="107" xfId="205" applyNumberFormat="1" applyFont="1" applyFill="1" applyBorder="1" applyAlignment="1" applyProtection="1">
      <alignment horizontal="right" vertical="center" wrapText="1"/>
    </xf>
    <xf numFmtId="3" fontId="9" fillId="39" borderId="108" xfId="205" applyNumberFormat="1" applyFont="1" applyFill="1" applyBorder="1" applyAlignment="1" applyProtection="1">
      <alignment horizontal="right" vertical="center" wrapText="1"/>
    </xf>
    <xf numFmtId="0" fontId="15" fillId="2" borderId="1" xfId="76" applyFont="1" applyFill="1" applyBorder="1" applyAlignment="1" applyProtection="1">
      <alignment horizontal="left" vertical="center"/>
    </xf>
    <xf numFmtId="0" fontId="15" fillId="2" borderId="2" xfId="76" applyFont="1" applyFill="1" applyBorder="1" applyAlignment="1" applyProtection="1">
      <alignment horizontal="left" vertical="center"/>
    </xf>
    <xf numFmtId="0" fontId="15" fillId="2" borderId="21" xfId="76" applyFont="1" applyFill="1" applyBorder="1" applyAlignment="1" applyProtection="1">
      <alignment horizontal="left" vertical="center"/>
    </xf>
  </cellXfs>
  <cellStyles count="396">
    <cellStyle name="20% - Accent1 2" xfId="1"/>
    <cellStyle name="20% - Accent1 2 2" xfId="2"/>
    <cellStyle name="20% - Accent1 2 2 2" xfId="3"/>
    <cellStyle name="20% - Accent1 2 2 2 2" xfId="93"/>
    <cellStyle name="20% - Accent1 2 2 2 2 2" xfId="261"/>
    <cellStyle name="20% - Accent1 2 2 2 3" xfId="209"/>
    <cellStyle name="20% - Accent1 2 2 3" xfId="92"/>
    <cellStyle name="20% - Accent1 2 2 3 2" xfId="260"/>
    <cellStyle name="20% - Accent1 2 2 4" xfId="208"/>
    <cellStyle name="20% - Accent1 2 3" xfId="4"/>
    <cellStyle name="20% - Accent1 2 3 2" xfId="94"/>
    <cellStyle name="20% - Accent1 2 3 2 2" xfId="262"/>
    <cellStyle name="20% - Accent1 2 3 3" xfId="210"/>
    <cellStyle name="20% - Accent1 2 4" xfId="91"/>
    <cellStyle name="20% - Accent1 2 4 2" xfId="259"/>
    <cellStyle name="20% - Accent1 2 5" xfId="207"/>
    <cellStyle name="20% - Accent2 2" xfId="5"/>
    <cellStyle name="20% - Accent2 2 2" xfId="6"/>
    <cellStyle name="20% - Accent2 2 2 2" xfId="7"/>
    <cellStyle name="20% - Accent2 2 2 2 2" xfId="97"/>
    <cellStyle name="20% - Accent2 2 2 2 2 2" xfId="265"/>
    <cellStyle name="20% - Accent2 2 2 2 3" xfId="213"/>
    <cellStyle name="20% - Accent2 2 2 3" xfId="96"/>
    <cellStyle name="20% - Accent2 2 2 3 2" xfId="264"/>
    <cellStyle name="20% - Accent2 2 2 4" xfId="212"/>
    <cellStyle name="20% - Accent2 2 3" xfId="8"/>
    <cellStyle name="20% - Accent2 2 3 2" xfId="98"/>
    <cellStyle name="20% - Accent2 2 3 2 2" xfId="266"/>
    <cellStyle name="20% - Accent2 2 3 3" xfId="214"/>
    <cellStyle name="20% - Accent2 2 4" xfId="95"/>
    <cellStyle name="20% - Accent2 2 4 2" xfId="263"/>
    <cellStyle name="20% - Accent2 2 5" xfId="211"/>
    <cellStyle name="20% - Accent3 2" xfId="9"/>
    <cellStyle name="20% - Accent3 2 2" xfId="10"/>
    <cellStyle name="20% - Accent3 2 2 2" xfId="11"/>
    <cellStyle name="20% - Accent3 2 2 2 2" xfId="101"/>
    <cellStyle name="20% - Accent3 2 2 2 2 2" xfId="269"/>
    <cellStyle name="20% - Accent3 2 2 2 3" xfId="217"/>
    <cellStyle name="20% - Accent3 2 2 3" xfId="100"/>
    <cellStyle name="20% - Accent3 2 2 3 2" xfId="268"/>
    <cellStyle name="20% - Accent3 2 2 4" xfId="216"/>
    <cellStyle name="20% - Accent3 2 3" xfId="12"/>
    <cellStyle name="20% - Accent3 2 3 2" xfId="102"/>
    <cellStyle name="20% - Accent3 2 3 2 2" xfId="270"/>
    <cellStyle name="20% - Accent3 2 3 3" xfId="218"/>
    <cellStyle name="20% - Accent3 2 4" xfId="99"/>
    <cellStyle name="20% - Accent3 2 4 2" xfId="267"/>
    <cellStyle name="20% - Accent3 2 5" xfId="215"/>
    <cellStyle name="20% - Accent4 2" xfId="13"/>
    <cellStyle name="20% - Accent4 2 2" xfId="14"/>
    <cellStyle name="20% - Accent4 2 2 2" xfId="15"/>
    <cellStyle name="20% - Accent4 2 2 2 2" xfId="105"/>
    <cellStyle name="20% - Accent4 2 2 2 2 2" xfId="273"/>
    <cellStyle name="20% - Accent4 2 2 2 3" xfId="221"/>
    <cellStyle name="20% - Accent4 2 2 3" xfId="104"/>
    <cellStyle name="20% - Accent4 2 2 3 2" xfId="272"/>
    <cellStyle name="20% - Accent4 2 2 4" xfId="220"/>
    <cellStyle name="20% - Accent4 2 3" xfId="16"/>
    <cellStyle name="20% - Accent4 2 3 2" xfId="106"/>
    <cellStyle name="20% - Accent4 2 3 2 2" xfId="274"/>
    <cellStyle name="20% - Accent4 2 3 3" xfId="222"/>
    <cellStyle name="20% - Accent4 2 4" xfId="103"/>
    <cellStyle name="20% - Accent4 2 4 2" xfId="271"/>
    <cellStyle name="20% - Accent4 2 5" xfId="219"/>
    <cellStyle name="20% - Accent5 2" xfId="17"/>
    <cellStyle name="20% - Accent5 2 2" xfId="18"/>
    <cellStyle name="20% - Accent5 2 2 2" xfId="19"/>
    <cellStyle name="20% - Accent5 2 2 2 2" xfId="109"/>
    <cellStyle name="20% - Accent5 2 2 2 2 2" xfId="277"/>
    <cellStyle name="20% - Accent5 2 2 2 3" xfId="225"/>
    <cellStyle name="20% - Accent5 2 2 3" xfId="108"/>
    <cellStyle name="20% - Accent5 2 2 3 2" xfId="276"/>
    <cellStyle name="20% - Accent5 2 2 4" xfId="224"/>
    <cellStyle name="20% - Accent5 2 3" xfId="20"/>
    <cellStyle name="20% - Accent5 2 3 2" xfId="110"/>
    <cellStyle name="20% - Accent5 2 3 2 2" xfId="278"/>
    <cellStyle name="20% - Accent5 2 3 3" xfId="226"/>
    <cellStyle name="20% - Accent5 2 4" xfId="107"/>
    <cellStyle name="20% - Accent5 2 4 2" xfId="275"/>
    <cellStyle name="20% - Accent5 2 5" xfId="223"/>
    <cellStyle name="20% - Accent6 2" xfId="21"/>
    <cellStyle name="20% - Accent6 2 2" xfId="22"/>
    <cellStyle name="20% - Accent6 2 2 2" xfId="23"/>
    <cellStyle name="20% - Accent6 2 2 2 2" xfId="113"/>
    <cellStyle name="20% - Accent6 2 2 2 2 2" xfId="281"/>
    <cellStyle name="20% - Accent6 2 2 2 3" xfId="229"/>
    <cellStyle name="20% - Accent6 2 2 3" xfId="112"/>
    <cellStyle name="20% - Accent6 2 2 3 2" xfId="280"/>
    <cellStyle name="20% - Accent6 2 2 4" xfId="228"/>
    <cellStyle name="20% - Accent6 2 3" xfId="24"/>
    <cellStyle name="20% - Accent6 2 3 2" xfId="114"/>
    <cellStyle name="20% - Accent6 2 3 2 2" xfId="282"/>
    <cellStyle name="20% - Accent6 2 3 3" xfId="230"/>
    <cellStyle name="20% - Accent6 2 4" xfId="111"/>
    <cellStyle name="20% - Accent6 2 4 2" xfId="279"/>
    <cellStyle name="20% - Accent6 2 5" xfId="227"/>
    <cellStyle name="40% - Accent1 2" xfId="25"/>
    <cellStyle name="40% - Accent1 2 2" xfId="26"/>
    <cellStyle name="40% - Accent1 2 2 2" xfId="27"/>
    <cellStyle name="40% - Accent1 2 2 2 2" xfId="117"/>
    <cellStyle name="40% - Accent1 2 2 2 2 2" xfId="285"/>
    <cellStyle name="40% - Accent1 2 2 2 3" xfId="233"/>
    <cellStyle name="40% - Accent1 2 2 3" xfId="116"/>
    <cellStyle name="40% - Accent1 2 2 3 2" xfId="284"/>
    <cellStyle name="40% - Accent1 2 2 4" xfId="232"/>
    <cellStyle name="40% - Accent1 2 3" xfId="28"/>
    <cellStyle name="40% - Accent1 2 3 2" xfId="118"/>
    <cellStyle name="40% - Accent1 2 3 2 2" xfId="286"/>
    <cellStyle name="40% - Accent1 2 3 3" xfId="234"/>
    <cellStyle name="40% - Accent1 2 4" xfId="115"/>
    <cellStyle name="40% - Accent1 2 4 2" xfId="283"/>
    <cellStyle name="40% - Accent1 2 5" xfId="231"/>
    <cellStyle name="40% - Accent2 2" xfId="29"/>
    <cellStyle name="40% - Accent2 2 2" xfId="30"/>
    <cellStyle name="40% - Accent2 2 2 2" xfId="31"/>
    <cellStyle name="40% - Accent2 2 2 2 2" xfId="121"/>
    <cellStyle name="40% - Accent2 2 2 2 2 2" xfId="289"/>
    <cellStyle name="40% - Accent2 2 2 2 3" xfId="237"/>
    <cellStyle name="40% - Accent2 2 2 3" xfId="120"/>
    <cellStyle name="40% - Accent2 2 2 3 2" xfId="288"/>
    <cellStyle name="40% - Accent2 2 2 4" xfId="236"/>
    <cellStyle name="40% - Accent2 2 3" xfId="32"/>
    <cellStyle name="40% - Accent2 2 3 2" xfId="122"/>
    <cellStyle name="40% - Accent2 2 3 2 2" xfId="290"/>
    <cellStyle name="40% - Accent2 2 3 3" xfId="238"/>
    <cellStyle name="40% - Accent2 2 4" xfId="119"/>
    <cellStyle name="40% - Accent2 2 4 2" xfId="287"/>
    <cellStyle name="40% - Accent2 2 5" xfId="235"/>
    <cellStyle name="40% - Accent3 2" xfId="33"/>
    <cellStyle name="40% - Accent3 2 2" xfId="34"/>
    <cellStyle name="40% - Accent3 2 2 2" xfId="35"/>
    <cellStyle name="40% - Accent3 2 2 2 2" xfId="125"/>
    <cellStyle name="40% - Accent3 2 2 2 2 2" xfId="293"/>
    <cellStyle name="40% - Accent3 2 2 2 3" xfId="241"/>
    <cellStyle name="40% - Accent3 2 2 3" xfId="124"/>
    <cellStyle name="40% - Accent3 2 2 3 2" xfId="292"/>
    <cellStyle name="40% - Accent3 2 2 4" xfId="240"/>
    <cellStyle name="40% - Accent3 2 3" xfId="36"/>
    <cellStyle name="40% - Accent3 2 3 2" xfId="126"/>
    <cellStyle name="40% - Accent3 2 3 2 2" xfId="294"/>
    <cellStyle name="40% - Accent3 2 3 3" xfId="242"/>
    <cellStyle name="40% - Accent3 2 4" xfId="123"/>
    <cellStyle name="40% - Accent3 2 4 2" xfId="291"/>
    <cellStyle name="40% - Accent3 2 5" xfId="239"/>
    <cellStyle name="40% - Accent4 2" xfId="37"/>
    <cellStyle name="40% - Accent4 2 2" xfId="38"/>
    <cellStyle name="40% - Accent4 2 2 2" xfId="39"/>
    <cellStyle name="40% - Accent4 2 2 2 2" xfId="129"/>
    <cellStyle name="40% - Accent4 2 2 2 2 2" xfId="297"/>
    <cellStyle name="40% - Accent4 2 2 2 3" xfId="245"/>
    <cellStyle name="40% - Accent4 2 2 3" xfId="128"/>
    <cellStyle name="40% - Accent4 2 2 3 2" xfId="296"/>
    <cellStyle name="40% - Accent4 2 2 4" xfId="244"/>
    <cellStyle name="40% - Accent4 2 3" xfId="40"/>
    <cellStyle name="40% - Accent4 2 3 2" xfId="130"/>
    <cellStyle name="40% - Accent4 2 3 2 2" xfId="298"/>
    <cellStyle name="40% - Accent4 2 3 3" xfId="246"/>
    <cellStyle name="40% - Accent4 2 4" xfId="127"/>
    <cellStyle name="40% - Accent4 2 4 2" xfId="295"/>
    <cellStyle name="40% - Accent4 2 5" xfId="243"/>
    <cellStyle name="40% - Accent5 2" xfId="41"/>
    <cellStyle name="40% - Accent5 2 2" xfId="42"/>
    <cellStyle name="40% - Accent5 2 2 2" xfId="43"/>
    <cellStyle name="40% - Accent5 2 2 2 2" xfId="133"/>
    <cellStyle name="40% - Accent5 2 2 2 2 2" xfId="301"/>
    <cellStyle name="40% - Accent5 2 2 2 3" xfId="249"/>
    <cellStyle name="40% - Accent5 2 2 3" xfId="132"/>
    <cellStyle name="40% - Accent5 2 2 3 2" xfId="300"/>
    <cellStyle name="40% - Accent5 2 2 4" xfId="248"/>
    <cellStyle name="40% - Accent5 2 3" xfId="44"/>
    <cellStyle name="40% - Accent5 2 3 2" xfId="134"/>
    <cellStyle name="40% - Accent5 2 3 2 2" xfId="302"/>
    <cellStyle name="40% - Accent5 2 3 3" xfId="250"/>
    <cellStyle name="40% - Accent5 2 4" xfId="131"/>
    <cellStyle name="40% - Accent5 2 4 2" xfId="299"/>
    <cellStyle name="40% - Accent5 2 5" xfId="247"/>
    <cellStyle name="40% - Accent6 2" xfId="45"/>
    <cellStyle name="40% - Accent6 2 2" xfId="46"/>
    <cellStyle name="40% - Accent6 2 2 2" xfId="47"/>
    <cellStyle name="40% - Accent6 2 2 2 2" xfId="137"/>
    <cellStyle name="40% - Accent6 2 2 2 2 2" xfId="305"/>
    <cellStyle name="40% - Accent6 2 2 2 3" xfId="253"/>
    <cellStyle name="40% - Accent6 2 2 3" xfId="136"/>
    <cellStyle name="40% - Accent6 2 2 3 2" xfId="304"/>
    <cellStyle name="40% - Accent6 2 2 4" xfId="252"/>
    <cellStyle name="40% - Accent6 2 3" xfId="48"/>
    <cellStyle name="40% - Accent6 2 3 2" xfId="138"/>
    <cellStyle name="40% - Accent6 2 3 2 2" xfId="306"/>
    <cellStyle name="40% - Accent6 2 3 3" xfId="254"/>
    <cellStyle name="40% - Accent6 2 4" xfId="135"/>
    <cellStyle name="40% - Accent6 2 4 2" xfId="303"/>
    <cellStyle name="40% - Accent6 2 5" xfId="251"/>
    <cellStyle name="60% - Accent1 2" xfId="49"/>
    <cellStyle name="60% - Accent2 2" xfId="50"/>
    <cellStyle name="60% - Accent3 2" xfId="51"/>
    <cellStyle name="60% - Accent4 2" xfId="52"/>
    <cellStyle name="60% - Accent5 2" xfId="53"/>
    <cellStyle name="60% - Accent6 2" xfId="54"/>
    <cellStyle name="Accent1 2" xfId="55"/>
    <cellStyle name="Accent2 2" xfId="56"/>
    <cellStyle name="Accent3 2" xfId="57"/>
    <cellStyle name="Accent4 2" xfId="58"/>
    <cellStyle name="Accent5 2" xfId="59"/>
    <cellStyle name="Accent6 2" xfId="60"/>
    <cellStyle name="Bad 2" xfId="61"/>
    <cellStyle name="Calculation 2" xfId="62"/>
    <cellStyle name="Check Cell 2" xfId="63"/>
    <cellStyle name="Comma" xfId="90" builtinId="3"/>
    <cellStyle name="Comma 2" xfId="64"/>
    <cellStyle name="Comma 2 2" xfId="65"/>
    <cellStyle name="Comma 3" xfId="206"/>
    <cellStyle name="Comma 3 2" xfId="373"/>
    <cellStyle name="Currency" xfId="66" builtinId="4"/>
    <cellStyle name="Currency 2" xfId="205"/>
    <cellStyle name="Currency 2 2" xfId="372"/>
    <cellStyle name="Explanatory Text 2" xfId="67"/>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Good 2" xfId="68"/>
    <cellStyle name="Heading 1 2" xfId="69"/>
    <cellStyle name="Heading 2 2" xfId="70"/>
    <cellStyle name="Heading 3 2" xfId="71"/>
    <cellStyle name="Heading 4 2" xfId="72"/>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Input 2" xfId="73"/>
    <cellStyle name="Linked Cell 2" xfId="74"/>
    <cellStyle name="Neutral 2" xfId="75"/>
    <cellStyle name="Normal" xfId="0" builtinId="0"/>
    <cellStyle name="Normal 2" xfId="76"/>
    <cellStyle name="Normal 2 2" xfId="77"/>
    <cellStyle name="Normal 3" xfId="88"/>
    <cellStyle name="Normal 4" xfId="89"/>
    <cellStyle name="Normal 4 2" xfId="143"/>
    <cellStyle name="Normal 5" xfId="204"/>
    <cellStyle name="Normal 5 2" xfId="371"/>
    <cellStyle name="Note 2" xfId="78"/>
    <cellStyle name="Note 2 2" xfId="79"/>
    <cellStyle name="Note 2 2 2" xfId="80"/>
    <cellStyle name="Note 2 2 2 2" xfId="141"/>
    <cellStyle name="Note 2 2 2 2 2" xfId="309"/>
    <cellStyle name="Note 2 2 2 3" xfId="257"/>
    <cellStyle name="Note 2 2 3" xfId="140"/>
    <cellStyle name="Note 2 2 3 2" xfId="308"/>
    <cellStyle name="Note 2 2 4" xfId="256"/>
    <cellStyle name="Note 2 3" xfId="81"/>
    <cellStyle name="Note 2 3 2" xfId="142"/>
    <cellStyle name="Note 2 3 2 2" xfId="310"/>
    <cellStyle name="Note 2 3 3" xfId="258"/>
    <cellStyle name="Note 2 4" xfId="139"/>
    <cellStyle name="Note 2 4 2" xfId="307"/>
    <cellStyle name="Note 2 5" xfId="255"/>
    <cellStyle name="Output 2" xfId="82"/>
    <cellStyle name="Percent" xfId="83" builtinId="5"/>
    <cellStyle name="Percent 2" xfId="84"/>
    <cellStyle name="Title 2" xfId="85"/>
    <cellStyle name="Total 2" xfId="86"/>
    <cellStyle name="Warning Text 2" xfId="87"/>
  </cellStyles>
  <dxfs count="2">
    <dxf>
      <fill>
        <patternFill>
          <bgColor rgb="FFFFC7CE"/>
        </patternFill>
      </fill>
    </dxf>
    <dxf>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usernames" Target="revisions/userNam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C\Users\iivanova\AppData\Local\Microsoft\Windows\Temporary%20Internet%20Files\Content.Outlook\3G13MMSX\Revised%20Consolidated%20Modular%20Template_19%20Sept%202013_FINAL%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fr"/>
      <sheetName val="Instructions sp"/>
      <sheetName val="Instructions ru"/>
      <sheetName val="Instructions en"/>
      <sheetName val="Concept Note"/>
      <sheetName val="NEW SUMMARY BUDGET"/>
      <sheetName val="Summary budget"/>
      <sheetName val="Target assumptions - optional"/>
      <sheetName val="Cost assumptions - optional"/>
      <sheetName val="Summary By Year"/>
      <sheetName val="Cmp"/>
      <sheetName val="Modules"/>
      <sheetName val="Interven"/>
      <sheetName val="Coverage ind"/>
      <sheetName val="Outcome ind"/>
      <sheetName val="Impact ind"/>
      <sheetName val="Data src"/>
      <sheetName val="Definitions"/>
      <sheetName val="Translations"/>
      <sheetName val="$Ranges$"/>
      <sheetName val="$Meta$"/>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96">
          <cell r="A96" t="str">
            <v>Summary of requested 3 years of funding by module</v>
          </cell>
        </row>
      </sheetData>
      <sheetData sheetId="19" refreshError="1"/>
      <sheetData sheetId="20" refreshError="1"/>
      <sheetData sheetId="2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Qi Cui" refreshedDate="41534.402694560187" createdVersion="4" refreshedVersion="4" minRefreshableVersion="3" recordCount="34">
  <cacheSource type="worksheet">
    <worksheetSource ref="A3:H37" sheet="Summary budget"/>
  </cacheSource>
  <cacheFields count="8">
    <cacheField name="ModId" numFmtId="0">
      <sharedItems containsString="0" containsBlank="1" containsNumber="1" containsInteger="1" minValue="0" maxValue="29"/>
    </cacheField>
    <cacheField name="Label" numFmtId="0">
      <sharedItems containsBlank="1" containsMixedTypes="1" containsNumber="1" containsInteger="1" minValue="0" maxValue="0" count="15">
        <s v="Prevention - General population"/>
        <s v="PMTCT"/>
        <s v="Treatment, care and support"/>
        <s v="Monitoring and Evaluation"/>
        <s v="Program management"/>
        <s v="DOTS-based package"/>
        <s v="TB/HIV package (in high TB/HIV burden countries or for high risk groups in all countries)"/>
        <s v="MDR-TB package (in high MDR-TB burden countries or for high risk groups in all countries)"/>
        <m/>
        <s v="Vector Control (VC)"/>
        <s v="Case Management (CM)"/>
        <s v="Specific Prevention Interventions (SPI)"/>
        <s v="Monitoring and Evaluation (ME)"/>
        <s v="Prevention - Adolescents and youth -in and out of school"/>
        <n v="0"/>
      </sharedItems>
    </cacheField>
    <cacheField name="Indicative" numFmtId="3">
      <sharedItems containsString="0" containsBlank="1" containsNumber="1" minValue="0" maxValue="50205087.753427833"/>
    </cacheField>
    <cacheField name="P1" numFmtId="9">
      <sharedItems containsString="0" containsBlank="1" containsNumber="1" minValue="0" maxValue="0.85471418854657899"/>
    </cacheField>
    <cacheField name="Above" numFmtId="3">
      <sharedItems containsString="0" containsBlank="1" containsNumber="1" minValue="0" maxValue="20804569.369130939"/>
    </cacheField>
    <cacheField name="P2" numFmtId="9">
      <sharedItems containsString="0" containsBlank="1" containsNumber="1" minValue="0" maxValue="0.92762873469669282"/>
    </cacheField>
    <cacheField name="Total / Full" numFmtId="3">
      <sharedItems containsString="0" containsBlank="1" containsNumber="1" minValue="0" maxValue="71009657.122558773"/>
    </cacheField>
    <cacheField name="P3" numFmtId="9">
      <sharedItems containsString="0" containsBlank="1" containsNumber="1" minValue="0" maxValue="0.87486166637771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
  <r>
    <n v="1"/>
    <x v="0"/>
    <n v="0"/>
    <n v="0"/>
    <n v="0"/>
    <n v="0"/>
    <n v="0"/>
    <n v="0"/>
  </r>
  <r>
    <n v="2"/>
    <x v="1"/>
    <n v="0"/>
    <n v="0"/>
    <n v="0"/>
    <n v="0"/>
    <n v="0"/>
    <n v="0"/>
  </r>
  <r>
    <n v="3"/>
    <x v="2"/>
    <n v="0"/>
    <n v="0"/>
    <n v="0"/>
    <n v="0"/>
    <n v="0"/>
    <n v="0"/>
  </r>
  <r>
    <n v="4"/>
    <x v="3"/>
    <n v="0"/>
    <n v="0"/>
    <n v="0"/>
    <n v="0"/>
    <n v="0"/>
    <n v="0"/>
  </r>
  <r>
    <n v="5"/>
    <x v="4"/>
    <n v="0"/>
    <n v="0"/>
    <n v="0"/>
    <n v="0"/>
    <n v="0"/>
    <n v="0"/>
  </r>
  <r>
    <n v="6"/>
    <x v="5"/>
    <n v="7716197.0139024397"/>
    <n v="0.1313640382782294"/>
    <n v="1623120.2775609759"/>
    <n v="7.2371265303307161E-2"/>
    <n v="9339317.2914634161"/>
    <n v="0.1150633733428373"/>
  </r>
  <r>
    <n v="7"/>
    <x v="6"/>
    <n v="817751.54"/>
    <n v="1.3921773175191669E-2"/>
    <n v="0"/>
    <n v="0"/>
    <n v="817751.54"/>
    <n v="1.0074960279452748E-2"/>
  </r>
  <r>
    <n v="8"/>
    <x v="7"/>
    <n v="50205087.753427833"/>
    <n v="0.85471418854657899"/>
    <n v="20804569.369130939"/>
    <n v="0.92762873469669282"/>
    <n v="71009657.122558773"/>
    <n v="0.87486166637771001"/>
  </r>
  <r>
    <m/>
    <x v="8"/>
    <m/>
    <m/>
    <m/>
    <m/>
    <m/>
    <m/>
  </r>
  <r>
    <n v="12"/>
    <x v="9"/>
    <n v="0"/>
    <n v="0"/>
    <n v="0"/>
    <n v="0"/>
    <n v="0"/>
    <n v="0"/>
  </r>
  <r>
    <n v="13"/>
    <x v="10"/>
    <n v="0"/>
    <n v="0"/>
    <n v="0"/>
    <n v="0"/>
    <n v="0"/>
    <n v="0"/>
  </r>
  <r>
    <n v="14"/>
    <x v="11"/>
    <n v="0"/>
    <n v="0"/>
    <n v="0"/>
    <n v="0"/>
    <n v="0"/>
    <n v="0"/>
  </r>
  <r>
    <n v="15"/>
    <x v="12"/>
    <n v="0"/>
    <n v="0"/>
    <n v="0"/>
    <n v="0"/>
    <n v="0"/>
    <n v="0"/>
  </r>
  <r>
    <n v="29"/>
    <x v="13"/>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r>
    <n v="0"/>
    <x v="14"/>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3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6:P10" firstHeaderRow="0" firstDataRow="1" firstDataCol="1"/>
  <pivotFields count="8">
    <pivotField showAll="0" defaultSubtotal="0"/>
    <pivotField axis="axisRow" showAll="0" measureFilter="1">
      <items count="16">
        <item x="14"/>
        <item x="10"/>
        <item x="5"/>
        <item x="7"/>
        <item x="3"/>
        <item x="12"/>
        <item x="1"/>
        <item x="4"/>
        <item x="11"/>
        <item x="6"/>
        <item x="9"/>
        <item x="0"/>
        <item x="13"/>
        <item x="2"/>
        <item x="8"/>
        <item t="default"/>
      </items>
    </pivotField>
    <pivotField dataField="1" numFmtId="3" showAll="0" defaultSubtotal="0"/>
    <pivotField dataField="1" numFmtId="9" showAll="0"/>
    <pivotField name="Above2" dataField="1" numFmtId="3" showAll="0" defaultSubtotal="0"/>
    <pivotField dataField="1" numFmtId="9" showAll="0"/>
    <pivotField dataField="1" numFmtId="3" showAll="0" defaultSubtotal="0"/>
    <pivotField dataField="1" numFmtId="9" showAll="0"/>
  </pivotFields>
  <rowFields count="1">
    <field x="1"/>
  </rowFields>
  <rowItems count="4">
    <i>
      <x v="2"/>
    </i>
    <i>
      <x v="3"/>
    </i>
    <i>
      <x v="9"/>
    </i>
    <i t="grand">
      <x/>
    </i>
  </rowItems>
  <colFields count="1">
    <field x="-2"/>
  </colFields>
  <colItems count="6">
    <i>
      <x/>
    </i>
    <i i="1">
      <x v="1"/>
    </i>
    <i i="2">
      <x v="2"/>
    </i>
    <i i="3">
      <x v="3"/>
    </i>
    <i i="4">
      <x v="4"/>
    </i>
    <i i="5">
      <x v="5"/>
    </i>
  </colItems>
  <dataFields count="6">
    <dataField name="Indicative budget" fld="2" baseField="0" baseItem="12" numFmtId="3"/>
    <dataField name="Indicative %" fld="3" baseField="0" baseItem="12" numFmtId="9"/>
    <dataField name="Above indicative" fld="4" baseField="0" baseItem="12" numFmtId="3"/>
    <dataField name="Above %" fld="5" baseField="0" baseItem="12" numFmtId="9"/>
    <dataField name="Full request" fld="6" baseField="0" baseItem="12" numFmtId="3"/>
    <dataField name="Full %" fld="7" baseField="0" baseItem="12" numFmtId="9"/>
  </dataFields>
  <formats count="1">
    <format dxfId="1">
      <pivotArea type="all" dataOnly="0" outline="0" fieldPosition="0"/>
    </format>
  </formats>
  <pivotTableStyleInfo name="PivotStyleLight16" showRowHeaders="1" showColHeaders="1" showRowStripes="0" showColStripes="0" showLastColumn="1"/>
  <filters count="1">
    <filter fld="1" type="valueGreaterThan" evalOrder="-1" id="2" iMeasureFld="4">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84" Type="http://schemas.openxmlformats.org/officeDocument/2006/relationships/revisionLog" Target="revisionLog84.xml"/><Relationship Id="rId89" Type="http://schemas.openxmlformats.org/officeDocument/2006/relationships/revisionLog" Target="revisionLog89.xml"/><Relationship Id="rId97" Type="http://schemas.openxmlformats.org/officeDocument/2006/relationships/revisionLog" Target="revisionLog97.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5" Type="http://schemas.openxmlformats.org/officeDocument/2006/relationships/revisionLog" Target="revisionLog5.xml"/><Relationship Id="rId90" Type="http://schemas.openxmlformats.org/officeDocument/2006/relationships/revisionLog" Target="revisionLog90.xml"/><Relationship Id="rId61" Type="http://schemas.openxmlformats.org/officeDocument/2006/relationships/revisionLog" Target="revisionLog61.xml"/><Relationship Id="rId82" Type="http://schemas.openxmlformats.org/officeDocument/2006/relationships/revisionLog" Target="revisionLog82.xml"/><Relationship Id="rId95" Type="http://schemas.openxmlformats.org/officeDocument/2006/relationships/revisionLog" Target="revisionLog95.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00" Type="http://schemas.openxmlformats.org/officeDocument/2006/relationships/revisionLog" Target="revisionLog100.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80" Type="http://schemas.openxmlformats.org/officeDocument/2006/relationships/revisionLog" Target="revisionLog80.xml"/><Relationship Id="rId85" Type="http://schemas.openxmlformats.org/officeDocument/2006/relationships/revisionLog" Target="revisionLog85.xml"/><Relationship Id="rId93" Type="http://schemas.openxmlformats.org/officeDocument/2006/relationships/revisionLog" Target="revisionLog93.xml"/><Relationship Id="rId98" Type="http://schemas.openxmlformats.org/officeDocument/2006/relationships/revisionLog" Target="revisionLog98.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96" Type="http://schemas.openxmlformats.org/officeDocument/2006/relationships/revisionLog" Target="revisionLog96.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2086F08-D560-4A50-92D2-BD68D870C3DD}" diskRevisions="1" revisionId="828" version="2">
  <header guid="{A4E0EFFD-798B-4AA8-935D-A14E98B7C47B}" dateTime="2013-09-17T09:45:55" maxSheetId="22" userName="Qi Cui" r:id="rId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005B8B7-67C0-4EE5-A723-751C326BD854}" dateTime="2013-09-17T09:51:37" maxSheetId="22" userName="Qi Cui" r:id="rId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E2828C11-3C64-4977-AF35-CE7F2B69DFA6}" dateTime="2013-09-17T09:58:18" maxSheetId="22" userName="Qi Cui" r:id="rId3" minRId="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DE5791E-DE15-4495-8634-8D64039C115C}" dateTime="2013-09-17T10:00:45" maxSheetId="22" userName="Qi Cui" r:id="rId4" minRId="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5EED842-448F-45F3-9E13-11190E9D6628}" dateTime="2013-09-17T10:04:40" maxSheetId="22" userName="Qi Cui" r:id="rId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C36C5AF-A60E-4886-804F-D9422733D8F3}" dateTime="2013-09-17T10:13:48" maxSheetId="22" userName="Qi Cui" r:id="rId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633B9A87-22FD-4379-A398-A3DD12E4BA0D}" dateTime="2013-09-17T10:18:57" maxSheetId="22" userName="Qi Cui" r:id="rId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6433A8FE-4C90-4022-9028-B70596278E64}" dateTime="2013-09-18T02:43:37" maxSheetId="22" userName="Eric E. Camacho" r:id="rId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53A1ED1-E28D-4703-BF4E-45086886C8B2}" dateTime="2013-09-18T11:50:44" maxSheetId="22" userName="Eric E. Camacho" r:id="rId9" minRId="18" maxRId="2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975D3D5-5270-4EF8-8FC8-873D99F5E126}" dateTime="2013-09-18T17:20:32" maxSheetId="22" userName="Eric E. Camacho" r:id="rId1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DECA3E6-C21E-4425-AC0C-CC5ABD35EE7C}" dateTime="2013-09-18T17:53:24" maxSheetId="22" userName="Eric E. Camacho" r:id="rId11" minRId="24" maxRId="2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8E9990C-8E64-4AB3-AD1C-19CFBF307C71}" dateTime="2013-09-18T18:19:00" maxSheetId="22" userName="Eric E. Camacho" r:id="rId12" minRId="30" maxRId="4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A40F8B7-905F-44F1-AC1C-8FE449D2085B}" dateTime="2013-09-19T01:23:09" maxSheetId="22" userName="Eric E. Camacho" r:id="rId1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BBB866D-432E-4BF4-BE00-05F1BB7C74DD}" dateTime="2013-09-19T01:24:31" maxSheetId="22" userName="Eric E. Camacho" r:id="rId1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6379F95-260B-4CAE-A3C7-2F37564355B9}" dateTime="2013-09-19T01:39:15" maxSheetId="22" userName="Eric E. Camacho" r:id="rId15" minRId="51" maxRId="5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394C0AF-E6CA-44D5-8C8F-460EE88117BB}" dateTime="2013-09-19T01:40:30" maxSheetId="22" userName="Eric E. Camacho" r:id="rId16" minRId="6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4395B9E-2AB0-4D8A-BFBF-B88D3A9BD7BE}" dateTime="2013-09-19T01:43:29" maxSheetId="22" userName="Eric E. Camacho" r:id="rId17" minRId="64" maxRId="6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3C9E1B2-4E1F-49F3-98DE-AF9E378EE013}" dateTime="2013-09-19T01:44:59" maxSheetId="22" userName="Eric E. Camacho" r:id="rId18" minRId="7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B4F12A9-0FC5-451C-BB8C-349143A8190D}" dateTime="2013-09-19T01:56:21" maxSheetId="22" userName="Eric E. Camacho" r:id="rId19" minRId="74" maxRId="7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86325E1-5578-4654-8FAD-71EC1817EC73}" dateTime="2013-09-19T02:11:35" maxSheetId="22" userName="Eric E. Camacho" r:id="rId20" minRId="81" maxRId="8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015B2B7-736F-492E-B00E-B31A2BE3F11F}" dateTime="2013-09-19T02:17:15" maxSheetId="22" userName="Eric E. Camacho" r:id="rId21" minRId="8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5437C6D-3803-4320-8563-B8BD5C675AA4}" dateTime="2013-09-19T02:19:43" maxSheetId="22" userName="Eric E. Camacho" r:id="rId22" minRId="9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6CB1AAB-1E9E-4F9E-9A65-CAD8E9174320}" dateTime="2013-09-19T02:43:48" maxSheetId="22" userName="Eric E. Camacho" r:id="rId23" minRId="9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7031E6A-852C-4C22-BD61-E8F203BE2B9E}" dateTime="2013-09-19T03:09:41" maxSheetId="22" userName="Eric E. Camacho" r:id="rId24" minRId="9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431EC11-5AF7-4B29-83C7-0233BAC4F849}" dateTime="2013-09-19T03:16:23" maxSheetId="22" userName="Eric E. Camacho" r:id="rId25" minRId="103" maxRId="11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448F47C-9510-4758-8043-EF0D218C4A69}" dateTime="2013-09-19T11:06:47" maxSheetId="22" userName="Eric E. Camacho" r:id="rId26" minRId="114" maxRId="12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81907AA-3003-4DAA-8949-7F393FADD49E}" dateTime="2013-09-19T11:08:05" maxSheetId="22" userName="Eric E. Camacho" r:id="rId27" minRId="12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FF7D82D-4295-B341-BEF9-5EFA4CDB7373}" dateTime="2013-09-24T16:30:23" maxSheetId="22" userName="Eric Camacho" r:id="rId2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CDAE6F2-AF9F-C043-8AA4-5ABE1BC5ADC9}" dateTime="2013-09-24T16:48:15" maxSheetId="22" userName="Eric Camacho" r:id="rId29" minRId="133" maxRId="19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B3212C0-3185-6A41-9FD7-F219F41C9FAC}" dateTime="2013-09-24T16:52:40" maxSheetId="22" userName="Eric Camacho" r:id="rId30" minRId="19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496633E-04D2-4143-8494-5F51286DE915}" dateTime="2013-09-24T17:09:36" maxSheetId="22" userName="Eric Camacho" r:id="rId31" minRId="20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8409059-B6B4-9544-B0FF-6B015BA00735}" dateTime="2013-09-24T17:10:12" maxSheetId="22" userName="Eric Camacho" r:id="rId3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73EF1AE-298F-4C40-82C2-A004FDE8C68C}" dateTime="2013-09-24T17:11:55" maxSheetId="22" userName="Eric Camacho" r:id="rId3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E63CE37-90AF-DE45-ABA1-903EA3CC2671}" dateTime="2013-09-24T17:12:22" maxSheetId="22" userName="Eric Camacho" r:id="rId3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65EE917A-EF4A-1145-ACDE-30AE08A1A48F}" dateTime="2013-09-24T17:26:57" maxSheetId="22" userName="Eric Camacho" r:id="rId35" minRId="21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E1D35DC5-3BC6-9445-8041-AEB427E9635E}" dateTime="2013-09-24T17:27:04" maxSheetId="22" userName="Eric Camacho" r:id="rId3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26096A4-11FE-1F4E-8EA0-0F0CFE237AB5}" dateTime="2013-09-24T18:10:10" maxSheetId="22" userName="Eric Camacho" r:id="rId37" minRId="222" maxRId="22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00725E8-A5D2-BC49-8F92-C751190588B7}" dateTime="2013-09-24T18:15:23" maxSheetId="22" userName="Eric Camacho" r:id="rId38" minRId="22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C50781EC-7298-8C40-BB2E-52394BD89A12}" dateTime="2013-09-24T18:16:13" maxSheetId="22" userName="Eric Camacho" r:id="rId3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C23425E-2B7D-2441-A451-787EDF688813}" dateTime="2013-09-24T18:17:45" maxSheetId="22" userName="Eric Camacho" r:id="rId4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5B68039-C9A5-654D-9750-52DE04F6145F}" dateTime="2013-09-24T18:29:07" maxSheetId="22" userName="Eric Camacho" r:id="rId41" minRId="23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D772AF8-A9C9-534C-B484-1E5259C4AEDF}" dateTime="2013-09-24T18:29:21" maxSheetId="22" userName="Eric Camacho" r:id="rId4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92A9FAD-3087-FE45-AEC2-C9D9D0E2012F}" dateTime="2013-09-24T18:37:41" maxSheetId="22" userName="Eric Camacho" r:id="rId43" minRId="24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5A2F2CD8-5ACB-1246-849F-EA0E2AD25FE4}" dateTime="2013-09-24T18:53:40" maxSheetId="22" userName="Eric Camacho" r:id="rId44" minRId="24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D36576F-D349-614C-BA6E-E69DD50E1B83}" dateTime="2013-09-24T18:56:28" maxSheetId="22" userName="Eric Camacho" r:id="rId4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9A2BD8F-B799-384B-B382-E2BEF678CD86}" dateTime="2013-09-24T18:56:38" maxSheetId="22" userName="Eric Camacho" r:id="rId4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6FB53FEF-031E-AF47-BA1E-53D148C0FD34}" dateTime="2013-09-24T18:57:27" maxSheetId="22" userName="Eric Camacho" r:id="rId47" minRId="25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B65AD718-F0CA-5249-89B1-37CB12F15CED}" dateTime="2013-09-24T18:58:13" maxSheetId="22" userName="Eric Camacho" r:id="rId4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24EE46B-8173-E946-A5D5-137671045926}" dateTime="2013-09-24T19:34:06" maxSheetId="22" userName="Eric Camacho" r:id="rId49" minRId="265" maxRId="266">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292758F8-1972-4146-A4BF-5AA8DC1FAE6A}" dateTime="2013-09-24T19:36:36" maxSheetId="22" userName="Eric Camacho" r:id="rId5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0F1F08DD-FC84-814E-AA04-DEB790803676}" dateTime="2013-09-24T19:37:57" maxSheetId="22" userName="Eric Camacho" r:id="rId5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A75E2FA-B0D8-754B-BC70-AE5FAB602CC9}" dateTime="2013-09-24T19:38:01" maxSheetId="22" userName="Eric Camacho" r:id="rId5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7725D0B-EC93-754A-A588-444F6EFD2409}" dateTime="2013-09-24T19:38:35" maxSheetId="22" userName="Eric Camacho" r:id="rId5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1D2BFD5-6843-9048-A48D-8F3CA5B222C0}" dateTime="2013-09-24T19:39:20" maxSheetId="22" userName="Eric Camacho" r:id="rId5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980F4720-5EC5-624D-8A82-3761A034D0D9}" dateTime="2013-09-25T01:38:24" maxSheetId="22" userName="Eric Camacho" r:id="rId55" minRId="285" maxRId="29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AE1899E1-1DE9-5B4A-82ED-C55128231D85}" dateTime="2013-09-25T02:34:35" maxSheetId="22" userName="Eric Camacho" r:id="rId56" minRId="295" maxRId="323">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EC706F19-7838-1D49-816B-9F512B8B2C45}" dateTime="2013-09-25T02:35:17" maxSheetId="22" userName="Eric Camacho" r:id="rId5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D94EBAA3-19BC-DA4B-A21A-30269252E621}" dateTime="2013-09-25T03:03:58" maxSheetId="22" userName="Eric Camacho" r:id="rId58" minRId="330">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C9CE263-0A42-4090-A427-1FAE9D97907F}" dateTime="2013-09-25T12:05:58" maxSheetId="22" userName="Inna Ivanova" r:id="rId59" minRId="334" maxRId="34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6156CC5-591D-4C77-A11E-DCF34CCE7053}" dateTime="2013-09-25T12:07:32" maxSheetId="22" userName="Inna Ivanova" r:id="rId60" minRId="34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560AA6E7-9134-45ED-800C-A2B6D564A17B}" dateTime="2013-09-25T12:08:42" maxSheetId="22" userName="Inna Ivanova" r:id="rId6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1D4DCE5E-3197-5342-A44C-E4CB4ABFCD2E}" dateTime="2013-09-25T12:51:52" maxSheetId="22" userName="Eric Camacho" r:id="rId62">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7042EC59-0383-2448-85BC-4BCFE1D2E1B9}" dateTime="2013-09-25T13:08:38" maxSheetId="22" userName="Eric Camacho" r:id="rId63" minRId="352" maxRId="359">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501C591-5C86-4D40-90B4-9AC6BC7C704E}" dateTime="2013-09-25T13:24:44" maxSheetId="22" userName="Eric Camacho" r:id="rId64" minRId="363" maxRId="36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247E84B-7CF5-5348-98E6-A00541533B07}" dateTime="2013-09-25T13:38:22" maxSheetId="22" userName="Eric Camacho" r:id="rId65" minRId="372" maxRId="425">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AD4466C-1835-894C-B6FF-3DCA8F34409C}" dateTime="2013-09-25T13:43:44" maxSheetId="22" userName="Eric Camacho" r:id="rId66" minRId="429" maxRId="431">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419D983F-704B-3B42-8800-CB112D36B6E7}" dateTime="2013-09-25T13:44:38" maxSheetId="22" userName="Eric Camacho" r:id="rId67">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FE7FB5F4-7100-2E46-A2D8-097E4AAC8042}" dateTime="2013-09-25T13:46:59" maxSheetId="22" userName="Eric Camacho" r:id="rId6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88DE0F4A-7C75-164E-8141-524D8BA634CC}" dateTime="2013-09-25T13:49:15" maxSheetId="22" userName="Eric Camacho" r:id="rId69" minRId="441" maxRId="444">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8E88263-79E1-8148-BFA9-4905B4DD6ECA}" dateTime="2013-09-25T13:56:40" maxSheetId="22" userName="Eric Camacho" r:id="rId70" minRId="44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30C36A62-DD2C-4722-80B7-287C2DABB0DB}" dateTime="2013-09-25T14:39:18" maxSheetId="23" userName="Inna Ivanova" r:id="rId71" minRId="452" maxRId="58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70DD1D46-943F-4AB1-AC7E-2AA1A377A7BB}" dateTime="2013-09-25T14:41:58" maxSheetId="23" userName="Inna Ivanova" r:id="rId72" minRId="590" maxRId="592">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7395FBED-ACA4-442F-B2D7-0EA0A6202C5A}" dateTime="2013-09-25T14:44:43" maxSheetId="23" userName="Inna Ivanova" r:id="rId73" minRId="593" maxRId="595">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10DE3053-0B32-4A02-BB87-9AFA9A19F3C9}" dateTime="2013-09-25T14:52:33" maxSheetId="23" userName="Inna Ivanova" r:id="rId74" minRId="596" maxRId="607">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8FF85890-35C5-4228-9B8E-C5691938F4AA}" dateTime="2013-09-25T14:56:35" maxSheetId="23" userName="Inna Ivanova" r:id="rId75" minRId="608" maxRId="638">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CAC803A8-862D-48EE-8A5D-FEA5C86E280F}" dateTime="2013-09-25T14:59:48" maxSheetId="23" userName="Inna Ivanova" r:id="rId76" minRId="642" maxRId="665">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44990661-D94B-4802-91F4-2778F478F735}" dateTime="2013-09-25T15:14:12" maxSheetId="23" userName="Inna Ivanova" r:id="rId77" minRId="66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021C55C0-65E2-5443-A425-199439818D7C}" dateTime="2013-09-25T15:49:22" maxSheetId="23" userName="Eric Camacho" r:id="rId78">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E7830991-0666-A24E-9AE8-2518DEA987FD}" dateTime="2013-09-25T15:55:28" maxSheetId="23" userName="Eric Camacho" r:id="rId79" minRId="673" maxRId="677">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3B3EBED6-A679-4A40-B224-AA5664C29E02}" dateTime="2013-09-25T15:59:50" maxSheetId="23" userName="Eric Camacho" r:id="rId80" minRId="681" maxRId="68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624596B9-4069-964B-B98B-FF2680350201}" dateTime="2013-09-25T16:02:12" maxSheetId="23" userName="Eric Camacho" r:id="rId81">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1A2FFA6F-2188-AC4A-A5A1-02CAB037809E}" dateTime="2013-09-25T16:20:53" maxSheetId="23" userName="Eric Camacho" r:id="rId82">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3A726283-B091-B14F-801D-A4EF350F7DA6}" dateTime="2013-09-25T17:57:09" maxSheetId="23" userName="Eric Camacho" r:id="rId83" minRId="69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D0627A16-3B35-6F41-9EDF-EEF66B8AADEF}" dateTime="2013-09-25T18:38:10" maxSheetId="23" userName="Eric Camacho" r:id="rId84" minRId="700" maxRId="707">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C17BD61D-FA9E-4C48-B93C-6B11E6ACC069}" dateTime="2013-09-25T18:44:48" maxSheetId="23" userName="Eric Camacho" r:id="rId85" minRId="711">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042D1982-E0A5-6549-A335-059830CB8064}" dateTime="2013-09-26T08:42:24" maxSheetId="23" userName="Eric Camacho" r:id="rId86" minRId="715" maxRId="728">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DBC2B3E2-CBE7-0C48-9AA4-913465F995EA}" dateTime="2013-09-26T10:42:35" maxSheetId="23" userName="Eric Camacho" r:id="rId87" minRId="732" maxRId="734">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B447617B-D7E2-4942-8066-3A44EB9D4C0C}" dateTime="2013-09-26T11:34:12" maxSheetId="23" userName="Sandra Kuzmanovska" r:id="rId88" minRId="738" maxRId="754">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1DEB6C4C-9EBC-4724-BF57-919B941A4202}" dateTime="2013-09-26T11:47:29" maxSheetId="23" userName="Sandra Kuzmanovska" r:id="rId89" minRId="758" maxRId="76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943B2B17-5809-FB4D-9029-6A4675FE56DC}" dateTime="2013-09-26T11:56:48" maxSheetId="23" userName="Eric Camacho" r:id="rId90" minRId="770">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C38CD71D-5C14-954C-9282-9AD33185B1A7}" dateTime="2013-09-26T12:10:54" maxSheetId="23" userName="Eric Camacho" r:id="rId91" minRId="774" maxRId="782">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90EF231C-53CC-8544-A572-A916DEFBF071}" dateTime="2013-09-26T12:11:34" maxSheetId="23" userName="Eric Camacho" r:id="rId92">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3338A9A1-290D-4C48-A830-EDDD539EF2C7}" dateTime="2013-09-26T19:19:20" maxSheetId="23" userName="Qi Cui" r:id="rId93" minRId="789">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4F25DC35-DF31-4013-A749-4ECFDFA5F161}" dateTime="2013-09-26T19:19:49" maxSheetId="23" userName="Qi Cui" r:id="rId94">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878543F0-965A-4D77-AB89-A2DF6E6DD7D3}" dateTime="2013-09-26T19:20:17" maxSheetId="23" userName="Qi Cui" r:id="rId95">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D437DEFC-D552-4D1A-9E5B-E6B7D1DB5866}" dateTime="2013-09-26T19:52:30" maxSheetId="23" userName="A2F" r:id="rId9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864F3D24-5B36-4F55-A506-F567763D6C9D}" dateTime="2013-09-26T20:08:50" maxSheetId="23" userName="A2F" r:id="rId97">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9F09D0C9-CB38-48A5-914E-B03C739C107D}" dateTime="2013-09-30T11:23:03" maxSheetId="23" userName="A2F" r:id="rId98" minRId="802" maxRId="816">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E57AE3B7-528E-477E-BE09-F52FD4BAC4CF}" dateTime="2013-09-30T12:07:51" maxSheetId="23" userName="A2F" r:id="rId99">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7A4670A3-8D11-4A46-90DC-1A187B122047}" dateTime="2013-09-30T16:08:18" maxSheetId="23" userName="A2F" r:id="rId100">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 guid="{12086F08-D560-4A50-92D2-BD68D870C3DD}" dateTime="2013-10-18T10:40:55" maxSheetId="23" userName="Svetlana Dupriez" r:id="rId101">
    <sheetIdMap count="22">
      <sheetId val="1"/>
      <sheetId val="2"/>
      <sheetId val="3"/>
      <sheetId val="4"/>
      <sheetId val="5"/>
      <sheetId val="6"/>
      <sheetId val="22"/>
      <sheetId val="7"/>
      <sheetId val="8"/>
      <sheetId val="9"/>
      <sheetId val="10"/>
      <sheetId val="11"/>
      <sheetId val="12"/>
      <sheetId val="13"/>
      <sheetId val="14"/>
      <sheetId val="15"/>
      <sheetId val="16"/>
      <sheetId val="17"/>
      <sheetId val="18"/>
      <sheetId val="19"/>
      <sheetId val="20"/>
      <sheetId val="2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M94" guid="{1A985970-A900-4787-9B40-4E6A07989949}" author="Qi Cui" newLength="105"/>
  <rcv guid="{8263CC96-2145-451B-AD8A-CC38FD628AC9}" action="delete"/>
  <rdn rId="0" localSheetId="5" customView="1" name="Z_8263CC96_2145_451B_AD8A_CC38FD628AC9_.wvu.PrintArea" hidden="1" oldHidden="1">
    <formula>'Concept Note'!$A$1:$AB$270</formula>
    <oldFormula>'Concept Note'!$A$1:$AB$270</oldFormula>
  </rdn>
  <rdn rId="0" localSheetId="5" customView="1" name="Z_8263CC96_2145_451B_AD8A_CC38FD628AC9_.wvu.Cols" hidden="1" oldHidden="1">
    <formula>'Concept Note'!$AJ:$AO</formula>
    <oldFormula>'Concept Note'!$AJ:$AO</oldFormula>
  </rdn>
  <rdn rId="0" localSheetId="6" customView="1" name="Z_8263CC96_2145_451B_AD8A_CC38FD628AC9_.wvu.Cols" hidden="1" oldHidden="1">
    <formula>'Summary budget'!$A:$I</formula>
    <oldFormula>'Summary budget'!$A:$I</oldFormula>
  </rdn>
  <rcv guid="{8263CC96-2145-451B-AD8A-CC38FD628AC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M98" guid="{00000000-0000-0000-0000-000000000000}" action="delete" author="Qi Cui"/>
  <rcc rId="4" sId="5">
    <oc r="S117" t="inlineStr">
      <is>
        <t>1) 100% of all notified cases should be put on treatment. Since the budget is anchored on the number of patients put on treatment, the number of notified cases was also based on it to ensure that every notified case has allocated budget for treatment. Therefore, for budgeting purposes, notified cases should be equal to target for enrollment
2) The anticipated rate of scale-up is also based on the available indicative funding and the absorptive capacity of existing treatment facilties. For the above indicative targets, scale-up is based on the targets set in the enhanced PhilPACT (National Strategic Plan). 
3) For the detailed computation of the targets, please refer to ANNEX_: TB Estimates. 
4) Definition of the target: Absolute number of bacteriologically confirmed RRTB/MDRTB/XDRTB/Poly-resistant/Mono-resistant TB enrolled for treatment through gene expert/MGIT/LPA/ solid and liquid DST (based on enrollment cohort)
5) Data sources: CatIV Registry</t>
      </is>
    </oc>
    <nc r="S117" t="inlineStr">
      <is>
        <r>
          <t xml:space="preserve">1) 100% of all notified cases should be put on treatment. Since the budget is anchored on the number of patients put on treatment, the number of notified cases was also based on it to ensure that every notified case has allocated budget for treatment. Therefore, for budgeting purposes, notified cases should be equal to target for enrollment
2) The anticipated rate of scale-up is also based on the available indicative funding and the absorptive capacity of existing treatment facilties. For the above indicative targets, scale-up is based on the targets set in the enhanced PhilPACT (National Strategic Plan). 
3) For the detailed computation of the targets, </t>
        </r>
        <r>
          <rPr>
            <sz val="10"/>
            <color rgb="FFFF0000"/>
            <rFont val="Arial"/>
            <family val="2"/>
          </rPr>
          <t xml:space="preserve">please refer to ANNEX_: TB Estimates. </t>
        </r>
        <r>
          <rPr>
            <sz val="10"/>
            <rFont val="Arial"/>
            <family val="2"/>
          </rPr>
          <t xml:space="preserve">
4) Definition of the target: Absolute number of bacteriologically confirmed RRTB/MDRTB/XDRTB/Poly-resistant/Mono-resistant TB enrolled for treatment through gene expert/MGIT/LPA/ solid and liquid DST (based on enrollment cohort)
5) Data sources: CatIV Registry</t>
        </r>
      </is>
    </nc>
  </rcc>
  <rcmt sheetId="5" cell="Q94" guid="{54D47C62-5869-4EF6-A1AE-B1A6AD0EE179}" alwaysShow="1" author="Qi Cui" newLength="77"/>
  <rcmt sheetId="5" cell="S98" guid="{203C3995-F68A-4E07-96DC-0ED489B0E381}" alwaysShow="1" author="Qi Cui" newLength="142"/>
  <rcmt sheetId="5" cell="S117" guid="{6B4C046B-FB82-4A25-BF82-E910A0995B59}" alwaysShow="1" author="Qi Cui" newLength="67"/>
  <rcmt sheetId="5" cell="A121" guid="{2405B710-6486-42AF-9C38-65624030BDC3}" alwaysShow="1" author="Qi Cui" newLength="179"/>
  <rcv guid="{8263CC96-2145-451B-AD8A-CC38FD628AC9}" action="delete"/>
  <rdn rId="0" localSheetId="5" customView="1" name="Z_8263CC96_2145_451B_AD8A_CC38FD628AC9_.wvu.PrintArea" hidden="1" oldHidden="1">
    <formula>'Concept Note'!$A$1:$AB$270</formula>
    <oldFormula>'Concept Note'!$A$1:$AB$270</oldFormula>
  </rdn>
  <rdn rId="0" localSheetId="5" customView="1" name="Z_8263CC96_2145_451B_AD8A_CC38FD628AC9_.wvu.Cols" hidden="1" oldHidden="1">
    <formula>'Concept Note'!$AJ:$AO</formula>
    <oldFormula>'Concept Note'!$AJ:$AO</oldFormula>
  </rdn>
  <rdn rId="0" localSheetId="6" customView="1" name="Z_8263CC96_2145_451B_AD8A_CC38FD628AC9_.wvu.Cols" hidden="1" oldHidden="1">
    <formula>'Summary budget'!$A:$I</formula>
    <oldFormula>'Summary budget'!$A:$I</oldFormula>
  </rdn>
  <rcv guid="{8263CC96-2145-451B-AD8A-CC38FD628AC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5">
    <oc r="S145" t="inlineStr">
      <is>
        <t>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Peer Counseling for Patients = 150 participants X 3 days</t>
      </is>
    </oc>
    <nc r="S145" t="inlineStr">
      <is>
        <t>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Peer Counseling for Patients = 150 participants X 3 days</t>
      </is>
    </nc>
  </rcc>
  <rcmt sheetId="5" cell="M145" guid="{8678037B-0294-4002-B771-477863CDDA2A}" alwaysShow="1" author="Qi Cui" newLength="85"/>
  <rcmt sheetId="5" cell="S145" guid="{A9E1CA87-BC91-4101-B910-F53ECDEB6CBA}" alwaysShow="1" author="Qi Cui" newLength="102"/>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S160" guid="{A3D78A66-85EA-4862-850B-D6839DD15F1C}" alwaysShow="1" author="Qi Cui" newLength="72"/>
  <rcmt sheetId="5" cell="D185" guid="{52777B2C-9EA2-4406-89AC-CB5C88D645CE}" alwaysShow="1" author="Qi Cui" newLength="129"/>
  <rcmt sheetId="5" cell="M191" guid="{D45F00C1-749A-46EC-989A-3B1A12274B72}" alwaysShow="1" author="Qi Cui" newLength="36"/>
  <rcmt sheetId="5" cell="S191" guid="{56A9E94D-C906-449F-A88D-281AE6017AF3}" alwaysShow="1" author="Qi Cui" newLength="31"/>
  <rcv guid="{8263CC96-2145-451B-AD8A-CC38FD628AC9}" action="delete"/>
  <rdn rId="0" localSheetId="5" customView="1" name="Z_8263CC96_2145_451B_AD8A_CC38FD628AC9_.wvu.PrintArea" hidden="1" oldHidden="1">
    <formula>'Concept Note'!$A$1:$AB$270</formula>
    <oldFormula>'Concept Note'!$A$1:$AB$270</oldFormula>
  </rdn>
  <rdn rId="0" localSheetId="5" customView="1" name="Z_8263CC96_2145_451B_AD8A_CC38FD628AC9_.wvu.Cols" hidden="1" oldHidden="1">
    <formula>'Concept Note'!$AJ:$AO</formula>
    <oldFormula>'Concept Note'!$AJ:$AO</oldFormula>
  </rdn>
  <rdn rId="0" localSheetId="6" customView="1" name="Z_8263CC96_2145_451B_AD8A_CC38FD628AC9_.wvu.Cols" hidden="1" oldHidden="1">
    <formula>'Summary budget'!$A:$I</formula>
    <oldFormula>'Summary budget'!$A:$I</oldFormula>
  </rdn>
  <rcv guid="{8263CC96-2145-451B-AD8A-CC38FD628AC9}"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S203" guid="{C757D353-4510-4D72-B83C-F7FEE6BADEDE}" alwaysShow="1" author="Qi Cui" newLength="137"/>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D185" guid="{00000000-0000-0000-0000-000000000000}" action="delete" alwaysShow="1" author="Qi Cui"/>
  <rcmt sheetId="5" cell="S227" guid="{00000000-0000-0000-0000-000000000000}" action="delete" alwaysShow="1" author="Qi Cui"/>
  <rcmt sheetId="5" cell="S207" guid="{BAC21537-AA5B-40B0-B683-17E3F1D4F84A}" alwaysShow="1" author="Qi Cui" newLength="66"/>
  <rcmt sheetId="5" cell="S211" guid="{F2C378BD-FCBA-4DC3-A9B4-CBFAA4B1AAA8}" alwaysShow="1" author="Qi Cui" newLength="66"/>
  <rcmt sheetId="5" cell="S219" guid="{40DEEE20-98F8-4C49-9CD2-017785520D29}" alwaysShow="1" author="Qi Cui" newLength="66"/>
  <rcmt sheetId="5" cell="S223" guid="{CD645F12-92C6-4938-A701-BB0E3AD63F44}" alwaysShow="1" author="Qi Cui" newLength="95"/>
  <rcmt sheetId="5" cell="S254" guid="{1473824D-720B-48B0-A5C6-1C594181B088}" alwaysShow="1" author="Qi Cui" newLength="66"/>
  <rcmt sheetId="5" cell="S258" guid="{04674705-4691-4C3F-A7CF-43DCB10355FF}" alwaysShow="1" author="Qi Cui" newLength="144"/>
  <rcmt sheetId="5" cell="S262" guid="{8CFEBC3B-FBF1-449A-B8FC-24FBA36C2799}" alwaysShow="1" author="Qi Cui" newLength="66"/>
  <rcv guid="{8263CC96-2145-451B-AD8A-CC38FD628AC9}" action="delete"/>
  <rdn rId="0" localSheetId="5" customView="1" name="Z_8263CC96_2145_451B_AD8A_CC38FD628AC9_.wvu.PrintArea" hidden="1" oldHidden="1">
    <formula>'Concept Note'!$A$1:$AB$270</formula>
    <oldFormula>'Concept Note'!$A$1:$AB$270</oldFormula>
  </rdn>
  <rdn rId="0" localSheetId="5" customView="1" name="Z_8263CC96_2145_451B_AD8A_CC38FD628AC9_.wvu.Cols" hidden="1" oldHidden="1">
    <formula>'Concept Note'!$AJ:$AO</formula>
    <oldFormula>'Concept Note'!$AJ:$AO</oldFormula>
  </rdn>
  <rdn rId="0" localSheetId="6" customView="1" name="Z_8263CC96_2145_451B_AD8A_CC38FD628AC9_.wvu.Cols" hidden="1" oldHidden="1">
    <formula>'Summary budget'!$A:$I</formula>
    <oldFormula>'Summary budget'!$A:$I</oldFormula>
  </rdn>
  <rcv guid="{8263CC96-2145-451B-AD8A-CC38FD628AC9}"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5" customView="1" name="Z_721132AF_EF29_4C83_8A4A_F17ABB4BD7C0_.wvu.PrintArea" hidden="1" oldHidden="1">
    <formula>'Concept Note'!$A$1:$AB$270</formula>
  </rdn>
  <rdn rId="0" localSheetId="5" customView="1" name="Z_721132AF_EF29_4C83_8A4A_F17ABB4BD7C0_.wvu.Cols" hidden="1" oldHidden="1">
    <formula>'Concept Note'!$AJ:$AO</formula>
  </rdn>
  <rdn rId="0" localSheetId="6" customView="1" name="Z_721132AF_EF29_4C83_8A4A_F17ABB4BD7C0_.wvu.Cols" hidden="1" oldHidden="1">
    <formula>'Summary budget'!$A:$I</formula>
  </rdn>
  <rcv guid="{721132AF-EF29-4C83-8A4A-F17ABB4BD7C0}"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5">
    <oc r="S98" t="inlineStr">
      <is>
        <t>Cost assumptions are based on the current cost of hiring personnel to monitor the health status of LGUs including communication and transportation allowance; a total of 300 AIDERS. Unit cost assumptions include: (a) salary per AIDER at 
$457.32 per month for 30 months, and (b) logistics support per AIDER at $73.17 per month for 30 months. Key activities will be (a) profiling of the poor municipalities, (b) development of guidelines, (c) recruitment and training of health AIDERS, (d) provision of logistics support, and (f) monitoring.</t>
      </is>
    </oc>
    <nc r="S98" t="inlineStr">
      <is>
        <t>Cost assumptions are based on the current cost of hiring personnel to monitor the health status of LGUs including communication and transportation allowance; a total of 300 AIDERS. Unit cost assumptions include: (a) salary per AIDER at 
$457.32 per month for 30 months (2.5 years only as 0.5 years will be recruitment anticipating delayed grant signing, and (b) logistics support per AIDER at $73.17 per month for 30 months. Key activities will be (a) profiling of the poor municipalities, (b) development of guidelines, (c) recruitment and training of health AIDERS, (d) provision of logistics support, and (f) monitoring.</t>
      </is>
    </nc>
  </rcc>
  <rcc rId="19" sId="5">
    <oc r="S117" t="inlineStr">
      <is>
        <r>
          <t xml:space="preserve">1) 100% of all notified cases should be put on treatment. Since the budget is anchored on the number of patients put on treatment, the number of notified cases was also based on it to ensure that every notified case has allocated budget for treatment. Therefore, for budgeting purposes, notified cases should be equal to target for enrollment
2) The anticipated rate of scale-up is also based on the available indicative funding and the absorptive capacity of existing treatment facilties. For the above indicative targets, scale-up is based on the targets set in the enhanced PhilPACT (National Strategic Plan). 
3) For the detailed computation of the targets, </t>
        </r>
        <r>
          <rPr>
            <sz val="10"/>
            <color rgb="FFFF0000"/>
            <rFont val="Arial"/>
            <family val="2"/>
          </rPr>
          <t xml:space="preserve">please refer to ANNEX_: TB Estimates. </t>
        </r>
        <r>
          <rPr>
            <sz val="10"/>
            <rFont val="Arial"/>
            <family val="2"/>
          </rPr>
          <t xml:space="preserve">
4) Definition of the target: Absolute number of bacteriologically confirmed RRTB/MDRTB/XDRTB/Poly-resistant/Mono-resistant TB enrolled for treatment through gene expert/MGIT/LPA/ solid and liquid DST (based on enrollment cohort)
5) Data sources: CatIV Registry</t>
        </r>
      </is>
    </oc>
    <nc r="S117" t="inlineStr">
      <is>
        <r>
          <t xml:space="preserve">1) 100% of all notified cases should be put on treatment. Since the budget is anchored on the number of patients put on treatment, the number of notified cases was also based on it to ensure that every notified case has allocated budget for treatment. Therefore, for budgeting purposes, notified cases should be equal to target for enrollment
2) The anticipated rate of scale-up is also based on the available indicative funding and the absorptive capacity of existing treatment facilties. For the above indicative targets, scale-up is based on the targets set in the enhanced PhilPACT (National Strategic Plan). 
3) For the detailed computation of the targets, </t>
        </r>
        <r>
          <rPr>
            <sz val="10"/>
            <color rgb="FFFF0000"/>
            <rFont val="Arial"/>
            <family val="2"/>
          </rPr>
          <t xml:space="preserve">please refer to ANNEX 6: TB Estimates. </t>
        </r>
        <r>
          <rPr>
            <sz val="10"/>
            <rFont val="Arial"/>
            <family val="2"/>
          </rPr>
          <t xml:space="preserve">
4) Definition of the target: Absolute number of bacteriologically confirmed RRTB/MDRTB/XDRTB/Poly-resistant/Mono-resistant TB enrolled for treatment through gene expert/MGIT/LPA/ solid and liquid DST (based on enrollment cohort)
5) Data sources: CatIV Registry</t>
        </r>
      </is>
    </nc>
  </rcc>
  <rfmt sheetId="5" sqref="S117:AB120" start="0" length="2147483647">
    <dxf>
      <font>
        <color auto="1"/>
      </font>
    </dxf>
  </rfmt>
  <rcc rId="20" sId="5">
    <oc r="S145" t="inlineStr">
      <is>
        <t>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Peer Counseling for Patients = 150 participants X 3 days</t>
      </is>
    </oc>
    <nc r="S145" t="inlineStr">
      <is>
        <t>These costs are related to capacity builsing of AIDERS. 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Peer Counseling for Patients = 150 participants X 3 days</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21132AF-EF29-4C83-8A4A-F17ABB4BD7C0}" action="delete"/>
  <rdn rId="0" localSheetId="5" customView="1" name="Z_721132AF_EF29_4C83_8A4A_F17ABB4BD7C0_.wvu.PrintArea" hidden="1" oldHidden="1">
    <formula>'Concept Note'!$A$1:$AB$270</formula>
    <oldFormula>'Concept Note'!$A$1:$AB$270</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5">
    <oc r="S94" t="inlineStr">
      <is>
        <t>Cost assumptions are based on previously approved Phase 2 budget and other historical data for hospital DOTS. The budget only includes cost requirement of the key activity, i.e. training/capability building to 200 public and 400 private hospitals. Other related costs for hospital DOTS implementation are included in the M&amp;E module.</t>
      </is>
    </oc>
    <nc r="S94" t="inlineStr">
      <is>
        <t>Expenses covered here are related cost for building the capability of 200 public hospitals and 400 private hospitals on DOTS provision. Three participants (Essentially representing the core team) for each hospital will undergo basic 4-day DOTS training and 15 (public) to 20 (private) hospital healthcare workers from each hospital will undergo 1-day Hospital-based DOTS Providers Training.  Around 36 batched of basic DOTS training and 260 batches of DOTS providers training will be conducted. Cost Assumptions are based on PBSP standard rates: Land transportation is pegged at USD 24 per pax, while air transpo for trainers is at USD 195/pax. Participants’ full board and lodging is as USD 51/pax/day. Training kits are pegged at USD 8/pax. Each hospital will also be supported in their 2-day operations planning in integrating DOTS services into the hospital which will be conducted with around 36 batches. All target hospitals will be engaged within 2 years. The 3rd year will essentially be monitoring performance of the hospitals and cost is under the M&amp;E Module.</t>
      </is>
    </nc>
  </rcc>
  <rfmt sheetId="5" sqref="D94:I97">
    <dxf>
      <alignment vertical="top" readingOrder="0"/>
    </dxf>
  </rfmt>
  <rfmt sheetId="5" sqref="S94:Y95">
    <dxf>
      <fill>
        <patternFill>
          <bgColor rgb="FF00B050"/>
        </patternFill>
      </fill>
    </dxf>
  </rfmt>
  <rcc rId="25" sId="5">
    <oc r="S90" t="inlineStr">
      <is>
        <t>Cost assumptions are based on the prevailing cost of equipment for LED-FM, cartridge, and calibration/maintenance cost of equipment. Unit cost assumptions include: (a) cost of LED-FM at $5,024.39 per unit, (b) maintenance cost of LED-FM per unit per year at $333.66, and (c) cost of cartridge at $9.98 per unit plus estimated 3% of unit cost for shipping. Key activities include (a) procurement of total 199,000 cartidges, and (b) replacement of microscopes with LED-FM units in 113 sites including maintenance of equipment. Above indicative will be (a) purchase and maintenance of additional 287 LED-FM (out of total targeted 400 LED-FM units), and (b) procurement of additional 99,000 cartridges to maximize the capacity of Xpert machines at 2,000 tests per machine per year.</t>
      </is>
    </oc>
    <nc r="S90" t="inlineStr">
      <is>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 (a) Cost of LED-FM at $5,024.39 per unit, (b) maintenance cost of LED-FM per unit per year at $333.66, plus estimated 3% of unit cost for shipping. Above indicative FR will be purchase and maintenance of additional 287 LED-FM (out of total targeted 400 LED-FM units).</t>
      </is>
    </nc>
  </rcc>
  <rfmt sheetId="5" sqref="D90:I93">
    <dxf>
      <alignment vertical="top" readingOrder="0"/>
    </dxf>
  </rfmt>
  <rfmt sheetId="5" sqref="S90:AB91">
    <dxf>
      <alignment vertical="top" readingOrder="0"/>
    </dxf>
  </rfmt>
  <rcc rId="26" sId="5">
    <oc r="D90" t="inlineStr">
      <is>
        <t>Increasing access to TB laboratory tests will directly lead to more TB patients detected and put into treatment, thus, achieving the targetted number of TB patients of the country.  This intervention is under PhilPACT strategy no. 6  -  to make available quality TB diagnostic tests and drugs.  Key approaches will be to provide a microscope that is more sentive like LED-FM and scale-up the  Xpert MTB/Rif for diagnosis.  Currently, there are 2,565 TB microscopy centers in the country.  With the engagement of more hospitals, both public and private, and advocacy to LGUs to establish  more TB microscopy centers specially in the cities, there is a need for more TB diagnostic equipment.  Furthermore, the country plans to gradually implement the use of Expert, not only for determining if patient is Rif resistant, but will also use it for TB diagnosis among smear negative patients especially among clinical high-risk groups and high-risk populations.  The current protocol calls for x-ray examination which is less specific, thus, leading to misdiagnosis. The LED-FM will be provided to DOTS facilities with high laboratory workload like the hospitals and big health centers, hence, more patients will be served with a shorter turn around time.  Under the indicative budget 113 LED-FM will be included.  For the above indicative budget, 287 more LED-FM and additional Xpert cartridges will be purchased.   The National TB Reference Laboratory of the Research Intitute of Tropical Medicine-DOH will lead the implementation of this intervention under  the NTP guidance.</t>
      </is>
    </oc>
    <nc r="D90" t="inlineStr">
      <is>
        <t>Increasing access to TB laboratory tests will directly lead to more TB patients detected and put into treatment, thus, achieving the targetted number of TB patients of the country.  This intervention is under PhilPACT strategy no. 6  -  to make available quality TB diagnostic tests and drugs.  Key approaches will be to provide a microscope that is more sentive like LED-FM. Currently, there are 2,565 TB microscopy centers in the country.  With the engagement of more hospitals, both public and private, and advocacy to LGUs to establish  more TB microscopy centers specially in the cities, there is a need for more TB diagnostic equipment.  The current protocol calls for x-ray examination which is less specific, thus, leading to misdiagnosis. The LED-FM will be provided to DOTS facilities with high laboratory workload like the hospitals and big health centers, hence, more patients will be served with a shorter turn around time.  Under the indicative budget 113 LED-FM will be included.  For the above indicative budget, 287 more LED-FM and additional Xpert cartridges will be purchased for detection of TB among vulenrable groups (TB-HIV, children and inbmates).   The National TB Reference Laboratory of the Research Intitute of Tropical Medicine-DOH will lead the implementation of this intervention under  the NTP guidance.</t>
      </is>
    </nc>
  </rcc>
  <rfmt sheetId="5" sqref="S90:Y91">
    <dxf>
      <fill>
        <patternFill>
          <bgColor rgb="FF00B050"/>
        </patternFill>
      </fill>
    </dxf>
  </rfmt>
  <rcmt sheetId="5" cell="M94" guid="{00000000-0000-0000-0000-000000000000}" action="delete" alwaysShow="1" author="Qi Cui"/>
  <rcmt sheetId="5" cell="Q94" guid="{00000000-0000-0000-0000-000000000000}" action="delete" alwaysShow="1" author="Qi Cui"/>
  <rcv guid="{721132AF-EF29-4C83-8A4A-F17ABB4BD7C0}" action="delete"/>
  <rdn rId="0" localSheetId="5" customView="1" name="Z_721132AF_EF29_4C83_8A4A_F17ABB4BD7C0_.wvu.PrintArea" hidden="1" oldHidden="1">
    <formula>'Concept Note'!$A$1:$AB$270</formula>
    <oldFormula>'Concept Note'!$A$1:$AB$270</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M98:R98">
    <dxf>
      <fill>
        <patternFill>
          <bgColor theme="0"/>
        </patternFill>
      </fill>
    </dxf>
  </rfmt>
  <rfmt sheetId="5" sqref="S98:Y99">
    <dxf>
      <alignment vertical="top" readingOrder="0"/>
    </dxf>
  </rfmt>
  <rcc rId="30" sId="5">
    <oc r="S98" t="inlineStr">
      <is>
        <t>Cost assumptions are based on the current cost of hiring personnel to monitor the health status of LGUs including communication and transportation allowance; a total of 300 AIDERS. Unit cost assumptions include: (a) salary per AIDER at 
$457.32 per month for 30 months (2.5 years only as 0.5 years will be recruitment anticipating delayed grant signing, and (b) logistics support per AIDER at $73.17 per month for 30 months. Key activities will be (a) profiling of the poor municipalities, (b) development of guidelines, (c) recruitment and training of health AIDERS, (d) provision of logistics support, and (f) monitoring.</t>
      </is>
    </oc>
    <nc r="S98" t="inlineStr">
      <is>
        <t>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$457.32 per month for 30 months (2.5 years only as 0.5 years will be recruitment anticipating delayed grant signing), and (b) logistics support per AIDER at $73.17 per month for 30 months. Key activities will be (a) case finding and case holding; (2) profiling of the poor municipalities, (b) development of guidelines, (c) recruitment and training of health AIDERS, (d) provision of logistics support, and (f) monitoring.</t>
      </is>
    </nc>
  </rcc>
  <rfmt sheetId="5" sqref="S98:Y99">
    <dxf>
      <fill>
        <patternFill>
          <bgColor rgb="FF00B050"/>
        </patternFill>
      </fill>
    </dxf>
  </rfmt>
  <rcmt sheetId="5" cell="S98" guid="{00000000-0000-0000-0000-000000000000}" action="delete" alwaysShow="1" author="Qi Cui"/>
  <rcmt sheetId="5" cell="S117" guid="{00000000-0000-0000-0000-000000000000}" action="delete" alwaysShow="1" author="Qi Cui"/>
  <rcc rId="31" sId="5">
    <oc r="D145" t="inlineStr">
      <is>
        <t xml:space="preserve">1) One of the reasons identified in the increasing number of MDR-TB patient default rate is the acccessibility of the treatment facilities. The engagement of the community is identified as one of the strategies which could help address this problem.
     a. Preparation of guidelines on community and civil society engagement in TB program activities
     b. Training and capacity building of community to serve as treatment partners for MDR-TB patients.
     c. Capacity building of TB patients (on-going or cured) as peer counselors
</t>
      </is>
    </oc>
    <nc r="D145" t="inlineStr">
      <is>
        <t xml:space="preserve">One of the reasons identified in the increasing number of MDR-TB patient default rate is the acccessibility of the treatment facilities. An ongoing effort in the current grant is identifying community-based health volunteers to be trained to support the PMDT treatment facility (STC/TS) in default tracing and contact training. BY the end of 2013, all current facilities would have 1-3 CHVs. Under the NFM, CHV will still be tained aligned with the scale up of STC/TS. 
</t>
      </is>
    </nc>
  </rcc>
  <rcc rId="32" sId="5">
    <oc r="S145" t="inlineStr">
      <is>
        <t>These costs are related to capacity builsing of AIDERS. 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Peer Counseling for Patients = 150 participants X 3 days</t>
      </is>
    </oc>
    <nc r="S145" t="inlineStr">
      <is>
        <t>Expenses covered herein the 3-day training for community health volunteers among the new PMDT TS that will be newly established. It estimated that each TS will have 1-3 CHVs and under the NFM, 3 batches of 50 CHV will be done to train a total of 150 PMDT CHVs to support TS. Costs Assumptions here USD 49/day/pax for meals USD 23/pax for land transportation and  USD 186/trainer for air transportation.</t>
      </is>
    </nc>
  </rcc>
  <rcmt sheetId="5" cell="M145" guid="{00000000-0000-0000-0000-000000000000}" action="delete" alwaysShow="1" author="Qi Cui"/>
  <rcmt sheetId="5" cell="S145" guid="{00000000-0000-0000-0000-000000000000}" action="delete" alwaysShow="1" author="Qi Cui"/>
  <rcc rId="33" sId="5">
    <oc r="D129" t="inlineStr">
      <is>
        <t>1) The case detection of MDRTB is one aspect of the National Tuberculosis Program which is not met due to unavailability of funding sources in the country. 2012 data reflects case detection of MDR-TB only at 17.4% versus the WHO estimates on the number of MDR-TB in the same year. The support from GF would ensure access for diagnosis of MDRTB suspects.
2) The PhilPACT (National Strategic Plan) targets to cover 30%, 35%, 40% of the case detection in 2014, 2015, and 2016 respectively. Portion of this country target is proposed as indicative target under the Global Fund project. The whole country target per PhilPACT is covered under the proposed above indicative funding.
3) The program aims to detect cases among the notified cases among new and retreatment prioritizing high risk groups (PLHIV, inmates, PLWD, elderly, children, etc). The program is being implemented across all regions in the country.
4) The following are the strategies and approaches identified under case detection and diagnosis:
     a. Manpower augmentation across all PMDT laboratories
     b. Procurement of gene expert machines and cartridges
     c. Procurement of commodities necessary to conduct various laboratory tests for case detection (DSSM, TB culture, DST, MGIT, LPA)
     d. Provision of assistance to MDR TB suspects to facilitate screening and detection as well as for contact tracing
     e. Maintenance of laboratory equipment</t>
      </is>
    </oc>
    <nc r="D129" t="inlineStr">
      <is>
        <t>1) The case detection of MDRTB is one aspect of the National Tuberculosis Program which is not met due to unavailability of funding sources in the country. 2012 data reflects case detection of MDR-TB only at 17.4% versus the WHO estimates on the number of MDR-TB in the same year. The support from GF would ensure access for diagnosis of MDRTB suspects.
2) The PhilPACT (National Strategic Plan) targets to cover 30%, 35%, 40% of the case detection in 2014, 2015, and 2016 respectively. Portion of this country target is proposed as indicative target under the Global Fund project. The whole country target per PhilPACT is covered under the proposed above indicative funding.
3) The program aims to detect cases among the notified cases among new and retreatment prioritizing high risk groups (PLHIV, inmates, PLWD, elderly, children, etc). The program is being implemented across all regions in the country.
4) The following are the strategies and approaches identified under case detection and diagnosis:
     a. Manpower augmentation across all PMDT laboratories
     b. Procurement of gene expert machines and cartridges
     c. Procurement of commodities necessary to conduct various laboratory tests for case detection (DSSM, TB culture, DST, MGIT, LPA)
     d. Provision of assistance to MDR TB suspects to facilitate screening and detection as well as for contact tracing
     e. Maintenance of laboratory equipment</t>
      </is>
    </nc>
  </rcc>
  <rrc rId="34" sId="5" ref="A121:XFD121"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121:XFD121" start="0" length="0">
      <dxf>
        <font>
          <sz val="12"/>
        </font>
        <alignment horizontal="left" vertical="center" wrapText="1" readingOrder="0"/>
        <protection locked="0"/>
      </dxf>
    </rfmt>
    <rcc rId="0" sId="5" dxf="1">
      <nc r="A121" t="inlineStr">
        <is>
          <t># of presumptive cases of drug-resistant TB (RR-TB and/or MDR-TB) that began second-line treatment</t>
        </is>
      </nc>
      <ndxf>
        <font>
          <sz val="10"/>
          <color auto="1"/>
          <name val="Arial"/>
          <scheme val="none"/>
        </font>
        <border outline="0">
          <left style="thin">
            <color indexed="64"/>
          </left>
          <top style="thin">
            <color indexed="64"/>
          </top>
        </border>
        <protection locked="1"/>
      </ndxf>
    </rcc>
    <rfmt sheetId="5" sqref="B121" start="0" length="0">
      <dxf>
        <font>
          <sz val="10"/>
          <color auto="1"/>
          <name val="Arial"/>
          <scheme val="none"/>
        </font>
        <border outline="0">
          <top style="thin">
            <color indexed="64"/>
          </top>
        </border>
        <protection locked="1"/>
      </dxf>
    </rfmt>
    <rfmt sheetId="5" sqref="C121" start="0" length="0">
      <dxf>
        <font>
          <sz val="10"/>
          <color auto="1"/>
          <name val="Arial"/>
          <scheme val="none"/>
        </font>
        <border outline="0">
          <right style="dashed">
            <color indexed="64"/>
          </right>
          <top style="thin">
            <color indexed="64"/>
          </top>
        </border>
        <protection locked="1"/>
      </dxf>
    </rfmt>
    <rcc rId="0" sId="5" dxf="1">
      <nc r="D121" t="inlineStr">
        <is>
          <t>PBSP</t>
        </is>
      </nc>
      <ndxf>
        <font>
          <sz val="10"/>
          <color auto="1"/>
          <name val="Arial"/>
          <scheme val="none"/>
        </font>
        <alignment horizontal="center" readingOrder="0"/>
        <border outline="0">
          <left style="dashed">
            <color indexed="64"/>
          </left>
          <right style="dashed">
            <color indexed="64"/>
          </right>
          <top style="thin">
            <color indexed="64"/>
          </top>
        </border>
        <protection locked="1"/>
      </ndxf>
    </rcc>
    <rcc rId="0" sId="5" dxf="1">
      <nc r="E121" t="inlineStr">
        <is>
          <t>Multiple Global Fund grants</t>
        </is>
      </nc>
      <ndxf>
        <font>
          <sz val="10"/>
          <color auto="1"/>
          <name val="Arial"/>
          <scheme val="none"/>
        </font>
        <alignment horizontal="center" readingOrder="0"/>
        <border outline="0">
          <left style="dashed">
            <color indexed="64"/>
          </left>
          <right style="dashed">
            <color indexed="64"/>
          </right>
          <top style="thin">
            <color indexed="64"/>
          </top>
        </border>
        <protection locked="1"/>
      </ndxf>
    </rcc>
    <rfmt sheetId="5" sqref="F121" start="0" length="0">
      <dxf>
        <font>
          <sz val="10"/>
          <color auto="1"/>
          <name val="Arial"/>
          <scheme val="none"/>
        </font>
        <alignment horizontal="center" readingOrder="0"/>
        <border outline="0">
          <left style="dashed">
            <color indexed="64"/>
          </left>
          <right style="dotted">
            <color indexed="64"/>
          </right>
          <top style="thin">
            <color indexed="64"/>
          </top>
        </border>
        <protection locked="1"/>
      </dxf>
    </rfmt>
    <rcc rId="0" sId="5" dxf="1">
      <nc r="G121">
        <v>111</v>
      </nc>
      <ndxf>
        <font>
          <sz val="10"/>
          <color auto="1"/>
          <name val="Arial"/>
          <scheme val="none"/>
        </font>
        <alignment horizontal="center" readingOrder="0"/>
        <border outline="0">
          <left style="dotted">
            <color indexed="64"/>
          </left>
          <right style="dotted">
            <color indexed="64"/>
          </right>
          <top style="thin">
            <color indexed="64"/>
          </top>
        </border>
      </ndxf>
    </rcc>
    <rcc rId="0" sId="5" s="1" dxf="1">
      <nc r="H121">
        <f>IF($G123&lt;&gt;"",$G121/$G123,"")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cc rId="0" sId="5" s="1" dxf="1" numFmtId="4">
      <nc r="I121">
        <v>2012</v>
      </nc>
      <ndxf>
        <font>
          <sz val="10"/>
          <color auto="1"/>
          <name val="Arial"/>
          <scheme val="none"/>
        </font>
        <numFmt numFmtId="1" formatCode="0"/>
        <alignment horizontal="center" readingOrder="0"/>
        <border outline="0">
          <left style="dotted">
            <color indexed="64"/>
          </left>
          <right style="dotted">
            <color indexed="64"/>
          </right>
          <top style="thin">
            <color indexed="64"/>
          </top>
        </border>
      </ndxf>
    </rcc>
    <rcc rId="0" sId="5" dxf="1">
      <nc r="J121" t="inlineStr">
        <is>
          <t xml:space="preserve">R&amp;R TB system, yearly management report </t>
        </is>
      </nc>
      <ndxf>
        <font>
          <sz val="10"/>
          <color auto="1"/>
          <name val="Arial"/>
          <scheme val="none"/>
        </font>
        <alignment horizontal="center" readingOrder="0"/>
        <border outline="0">
          <left style="dotted">
            <color indexed="64"/>
          </left>
          <right style="dotted">
            <color indexed="64"/>
          </right>
          <top style="thin">
            <color indexed="64"/>
          </top>
        </border>
        <protection locked="1"/>
      </ndxf>
    </rcc>
    <rcc rId="0" sId="5" dxf="1">
      <nc r="K121">
        <f>'C:\ERIC CAMACHO\GF NFM Application Documents\CN Draft\[Module for PMDT_24june.xlsx]Translations'!$A$78</f>
      </nc>
      <ndxf>
        <font>
          <sz val="10"/>
          <color auto="1"/>
          <name val="Arial"/>
          <scheme val="none"/>
        </font>
        <fill>
          <patternFill patternType="solid">
            <bgColor theme="8" tint="0.79998168889431442"/>
          </patternFill>
        </fill>
        <alignment horizontal="center" readingOrder="0"/>
        <border outline="0">
          <left style="dotted">
            <color indexed="64"/>
          </left>
          <top style="thin">
            <color indexed="64"/>
          </top>
        </border>
        <protection locked="1"/>
      </ndxf>
    </rcc>
    <rfmt sheetId="5" sqref="L121" start="0" length="0">
      <dxf>
        <font>
          <sz val="10"/>
          <color auto="1"/>
          <name val="Arial"/>
          <scheme val="none"/>
        </font>
        <fill>
          <patternFill patternType="solid">
            <bgColor theme="8" tint="0.79998168889431442"/>
          </patternFill>
        </fill>
        <alignment horizontal="center" readingOrder="0"/>
        <border outline="0">
          <right style="dotted">
            <color indexed="64"/>
          </right>
          <top style="thin">
            <color indexed="64"/>
          </top>
        </border>
        <protection locked="1"/>
      </dxf>
    </rfmt>
    <rcc rId="0" sId="5" dxf="1" numFmtId="4">
      <nc r="M121">
        <v>80</v>
      </nc>
      <ndxf>
        <font>
          <sz val="10"/>
          <color auto="1"/>
          <name val="Arial"/>
          <scheme val="none"/>
        </font>
        <numFmt numFmtId="3" formatCode="#,##0"/>
        <alignment horizontal="center" readingOrder="0"/>
        <border outline="0">
          <top style="thin">
            <color indexed="64"/>
          </top>
          <bottom style="dotted">
            <color indexed="64"/>
          </bottom>
        </border>
      </ndxf>
    </rcc>
    <rcc rId="0" sId="5" s="1" dxf="1">
      <nc r="N121">
        <f>IF(M122&lt;&gt;"",M121/M122,"")</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cc rId="0" sId="5" dxf="1" numFmtId="4">
      <nc r="O121">
        <v>50</v>
      </nc>
      <ndxf>
        <font>
          <sz val="10"/>
          <color auto="1"/>
          <name val="Arial"/>
          <scheme val="none"/>
        </font>
        <numFmt numFmtId="3" formatCode="#,##0"/>
        <alignment horizontal="center" readingOrder="0"/>
        <border outline="0">
          <left style="dotted">
            <color indexed="64"/>
          </left>
          <top style="thin">
            <color indexed="64"/>
          </top>
          <bottom style="dotted">
            <color indexed="64"/>
          </bottom>
        </border>
      </ndxf>
    </rcc>
    <rcc rId="0" sId="5" s="1" dxf="1">
      <nc r="P121">
        <f>IF(O122&lt;&gt;"",O121/O122,"")</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cc rId="0" sId="5" dxf="1" numFmtId="4">
      <nc r="Q121">
        <v>20</v>
      </nc>
      <ndxf>
        <font>
          <sz val="10"/>
          <color auto="1"/>
          <name val="Arial"/>
          <scheme val="none"/>
        </font>
        <numFmt numFmtId="3" formatCode="#,##0"/>
        <alignment horizontal="center" readingOrder="0"/>
        <border outline="0">
          <left style="dotted">
            <color indexed="64"/>
          </left>
          <top style="thin">
            <color indexed="64"/>
          </top>
          <bottom style="dotted">
            <color indexed="64"/>
          </bottom>
        </border>
      </ndxf>
    </rcc>
    <rcc rId="0" sId="5" s="1" dxf="1">
      <nc r="R121">
        <f>IF(Q122&lt;&gt;"",Q121/Q122,"")</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cc rId="0" sId="5" dxf="1">
      <nc r="S121" t="inlineStr">
        <is>
          <t>1) Assumptions were based on historical data available for all presumptive cases put on treatment.
2) Rate targeted per year is assumed decreasing because of availability of new laboratory diagnostic tools specifically the gene expert machine. This will ensure faster detection of DRTB.
3) Based on historical data
4) Definition: The number of presumptive cases put on treatment. Presumptive cases are those patients who are clinically-diagnosed DRTB but not lab-confirmed. The actual accomplishment in terms of presumptive cases enrolled should be lower than the set target per year.
5) CatIV Registry</t>
        </is>
      </nc>
      <ndxf>
        <font>
          <sz val="10"/>
          <color auto="1"/>
          <name val="Arial"/>
          <scheme val="none"/>
        </font>
        <alignment vertical="top" readingOrder="0"/>
        <border outline="0">
          <left style="thin">
            <color indexed="64"/>
          </left>
          <top style="thin">
            <color indexed="64"/>
          </top>
        </border>
      </ndxf>
    </rcc>
    <rfmt sheetId="5" sqref="T121" start="0" length="0">
      <dxf>
        <font>
          <sz val="10"/>
          <color auto="1"/>
          <name val="Arial"/>
          <scheme val="none"/>
        </font>
        <alignment vertical="top" readingOrder="0"/>
        <border outline="0">
          <top style="thin">
            <color indexed="64"/>
          </top>
        </border>
      </dxf>
    </rfmt>
    <rfmt sheetId="5" sqref="U121" start="0" length="0">
      <dxf>
        <font>
          <sz val="10"/>
          <color auto="1"/>
          <name val="Arial"/>
          <scheme val="none"/>
        </font>
        <alignment vertical="top" readingOrder="0"/>
        <border outline="0">
          <top style="thin">
            <color indexed="64"/>
          </top>
        </border>
      </dxf>
    </rfmt>
    <rfmt sheetId="5" sqref="V121" start="0" length="0">
      <dxf>
        <font>
          <sz val="10"/>
          <color auto="1"/>
          <name val="Arial"/>
          <scheme val="none"/>
        </font>
        <alignment vertical="top" readingOrder="0"/>
        <border outline="0">
          <top style="thin">
            <color indexed="64"/>
          </top>
        </border>
      </dxf>
    </rfmt>
    <rfmt sheetId="5" sqref="W121" start="0" length="0">
      <dxf>
        <font>
          <sz val="10"/>
          <color auto="1"/>
          <name val="Arial"/>
          <scheme val="none"/>
        </font>
        <alignment vertical="top" readingOrder="0"/>
        <border outline="0">
          <top style="thin">
            <color indexed="64"/>
          </top>
        </border>
      </dxf>
    </rfmt>
    <rfmt sheetId="5" sqref="X121" start="0" length="0">
      <dxf>
        <font>
          <sz val="10"/>
          <color auto="1"/>
          <name val="Arial"/>
          <scheme val="none"/>
        </font>
        <alignment vertical="top" readingOrder="0"/>
        <border outline="0">
          <top style="thin">
            <color indexed="64"/>
          </top>
        </border>
      </dxf>
    </rfmt>
    <rfmt sheetId="5" sqref="Y121" start="0" length="0">
      <dxf>
        <font>
          <sz val="10"/>
          <color auto="1"/>
          <name val="Arial"/>
          <scheme val="none"/>
        </font>
        <alignment vertical="top" readingOrder="0"/>
        <border outline="0">
          <top style="thin">
            <color indexed="64"/>
          </top>
        </border>
      </dxf>
    </rfmt>
    <rfmt sheetId="5" sqref="Z121" start="0" length="0">
      <dxf>
        <font>
          <sz val="10"/>
          <color auto="1"/>
          <name val="Arial"/>
          <scheme val="none"/>
        </font>
        <alignment vertical="top" readingOrder="0"/>
        <border outline="0">
          <top style="thin">
            <color indexed="64"/>
          </top>
        </border>
      </dxf>
    </rfmt>
    <rfmt sheetId="5" sqref="AA121" start="0" length="0">
      <dxf>
        <font>
          <sz val="10"/>
          <color auto="1"/>
          <name val="Arial"/>
          <scheme val="none"/>
        </font>
        <alignment vertical="top" readingOrder="0"/>
        <border outline="0">
          <top style="thin">
            <color indexed="64"/>
          </top>
        </border>
      </dxf>
    </rfmt>
    <rfmt sheetId="5" sqref="AB121" start="0" length="0">
      <dxf>
        <font>
          <sz val="10"/>
          <color auto="1"/>
          <name val="Arial"/>
          <scheme val="none"/>
        </font>
        <alignment vertical="top" readingOrder="0"/>
        <border outline="0">
          <right style="thin">
            <color indexed="64"/>
          </right>
          <top style="thin">
            <color indexed="64"/>
          </top>
        </border>
      </dxf>
    </rfmt>
    <rfmt sheetId="5" sqref="AC121"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121" start="0" length="0">
      <dxf>
        <font>
          <sz val="10"/>
          <color auto="1"/>
          <name val="Arial"/>
          <scheme val="none"/>
        </font>
        <numFmt numFmtId="30" formatCode="@"/>
        <fill>
          <patternFill patternType="solid">
            <bgColor theme="0"/>
          </patternFill>
        </fill>
        <alignment vertical="top" readingOrder="0"/>
      </dxf>
    </rfmt>
    <rfmt sheetId="5" sqref="AE121" start="0" length="0">
      <dxf>
        <font>
          <sz val="10"/>
          <color auto="1"/>
          <name val="Arial"/>
          <scheme val="none"/>
        </font>
        <numFmt numFmtId="30" formatCode="@"/>
        <fill>
          <patternFill patternType="solid">
            <bgColor theme="0"/>
          </patternFill>
        </fill>
        <alignment vertical="top" readingOrder="0"/>
      </dxf>
    </rfmt>
    <rfmt sheetId="5" sqref="AF121" start="0" length="0">
      <dxf>
        <font>
          <sz val="10"/>
          <color auto="1"/>
          <name val="Arial"/>
          <scheme val="none"/>
        </font>
        <numFmt numFmtId="30" formatCode="@"/>
        <fill>
          <patternFill patternType="solid">
            <bgColor theme="0"/>
          </patternFill>
        </fill>
        <alignment vertical="top" readingOrder="0"/>
      </dxf>
    </rfmt>
    <rfmt sheetId="5" sqref="AG121" start="0" length="0">
      <dxf>
        <font>
          <sz val="10"/>
          <color auto="1"/>
          <name val="Arial"/>
          <scheme val="none"/>
        </font>
        <numFmt numFmtId="30" formatCode="@"/>
        <fill>
          <patternFill patternType="solid">
            <bgColor theme="0"/>
          </patternFill>
        </fill>
        <alignment vertical="top" readingOrder="0"/>
      </dxf>
    </rfmt>
    <rfmt sheetId="5" sqref="AH121" start="0" length="0">
      <dxf>
        <font>
          <sz val="10"/>
          <color auto="1"/>
          <name val="Arial"/>
          <scheme val="none"/>
        </font>
        <numFmt numFmtId="30" formatCode="@"/>
        <fill>
          <patternFill patternType="solid">
            <bgColor theme="0"/>
          </patternFill>
        </fill>
        <alignment vertical="top" readingOrder="0"/>
      </dxf>
    </rfmt>
    <rfmt sheetId="5" sqref="AI121" start="0" length="0">
      <dxf>
        <font>
          <sz val="10"/>
          <color auto="1"/>
          <name val="Arial"/>
          <scheme val="none"/>
        </font>
        <numFmt numFmtId="30" formatCode="@"/>
        <fill>
          <patternFill patternType="solid">
            <bgColor theme="0"/>
          </patternFill>
        </fill>
        <alignment vertical="top" readingOrder="0"/>
      </dxf>
    </rfmt>
    <rcc rId="0" sId="5" dxf="1">
      <nc r="AJ121">
        <f>INDIRECT(ADDRESS(ROW()-1,COLUMN()))</f>
      </nc>
      <ndxf>
        <font>
          <sz val="10"/>
          <color auto="1"/>
          <name val="Arial"/>
          <scheme val="none"/>
        </font>
        <fill>
          <patternFill patternType="solid">
            <bgColor theme="0"/>
          </patternFill>
        </fill>
        <alignment horizontal="right" vertical="top" readingOrder="0"/>
      </ndxf>
    </rcc>
    <rcc rId="0" sId="5" dxf="1">
      <nc r="AK121">
        <f>INDIRECT(ADDRESS(ROW()-1,COLUMN()))</f>
      </nc>
      <ndxf>
        <font>
          <sz val="10"/>
          <color auto="1"/>
          <name val="Arial"/>
          <scheme val="none"/>
        </font>
        <fill>
          <patternFill patternType="solid">
            <bgColor theme="0"/>
          </patternFill>
        </fill>
        <alignment horizontal="right" vertical="top" readingOrder="0"/>
      </ndxf>
    </rcc>
    <rcc rId="0" sId="5" dxf="1">
      <nc r="AL121">
        <f>IFERROR(IF(INDIRECT(ADDRESS(ROW()-4,COLUMN()))+1&lt;=AJ121+AK121,INDIRECT(ADDRESS(ROW()-4,COLUMN()))+1,""),"")</f>
      </nc>
      <ndxf>
        <font>
          <sz val="10"/>
          <color auto="1"/>
          <name val="Arial"/>
          <scheme val="none"/>
        </font>
        <fill>
          <patternFill patternType="solid">
            <bgColor theme="0"/>
          </patternFill>
        </fill>
        <alignment horizontal="right" vertical="top" readingOrder="0"/>
      </ndxf>
    </rcc>
    <rcc rId="0" sId="5" dxf="1">
      <nc r="AM121">
        <f>INDIRECT(ADDRESS(ROW()-1,COLUMN()))</f>
      </nc>
      <ndxf>
        <fill>
          <patternFill patternType="solid">
            <bgColor theme="0"/>
          </patternFill>
        </fill>
        <alignment horizontal="general" readingOrder="0"/>
      </ndxf>
    </rcc>
    <rfmt sheetId="5" sqref="AN121" start="0" length="0">
      <dxf>
        <numFmt numFmtId="30" formatCode="@"/>
        <fill>
          <patternFill patternType="solid">
            <bgColor theme="0"/>
          </patternFill>
        </fill>
        <alignment vertical="top" readingOrder="0"/>
      </dxf>
    </rfmt>
    <rfmt sheetId="5" sqref="AO121" start="0" length="0">
      <dxf>
        <numFmt numFmtId="30" formatCode="@"/>
        <fill>
          <patternFill patternType="solid">
            <bgColor theme="0"/>
          </patternFill>
        </fill>
        <alignment vertical="top" readingOrder="0"/>
      </dxf>
    </rfmt>
    <rfmt sheetId="5" sqref="AP121" start="0" length="0">
      <dxf>
        <font>
          <sz val="10"/>
          <color auto="1"/>
          <name val="Arial"/>
          <scheme val="none"/>
        </font>
        <numFmt numFmtId="30" formatCode="@"/>
        <fill>
          <patternFill patternType="solid">
            <bgColor theme="0"/>
          </patternFill>
        </fill>
        <alignment vertical="top" readingOrder="0"/>
      </dxf>
    </rfmt>
    <rfmt sheetId="5" sqref="AQ121" start="0" length="0">
      <dxf>
        <font>
          <sz val="10"/>
          <color auto="1"/>
          <name val="Arial"/>
          <scheme val="none"/>
        </font>
        <numFmt numFmtId="30" formatCode="@"/>
        <fill>
          <patternFill patternType="solid">
            <bgColor theme="0"/>
          </patternFill>
        </fill>
        <alignment vertical="top" readingOrder="0"/>
      </dxf>
    </rfmt>
    <rfmt sheetId="5" sqref="AR121" start="0" length="0">
      <dxf>
        <font>
          <sz val="10"/>
          <color auto="1"/>
          <name val="Arial"/>
          <scheme val="none"/>
        </font>
        <numFmt numFmtId="30" formatCode="@"/>
        <fill>
          <patternFill patternType="solid">
            <bgColor theme="0"/>
          </patternFill>
        </fill>
        <alignment vertical="top" readingOrder="0"/>
      </dxf>
    </rfmt>
    <rfmt sheetId="5" sqref="AS121" start="0" length="0">
      <dxf>
        <font>
          <sz val="10"/>
          <color auto="1"/>
          <name val="Arial"/>
          <scheme val="none"/>
        </font>
        <numFmt numFmtId="30" formatCode="@"/>
        <fill>
          <patternFill patternType="solid">
            <bgColor theme="0"/>
          </patternFill>
        </fill>
        <alignment vertical="top" readingOrder="0"/>
      </dxf>
    </rfmt>
    <rfmt sheetId="5" sqref="AT121" start="0" length="0">
      <dxf>
        <font>
          <sz val="10"/>
          <color auto="1"/>
          <name val="Arial"/>
          <scheme val="none"/>
        </font>
        <numFmt numFmtId="30" formatCode="@"/>
        <fill>
          <patternFill patternType="solid">
            <bgColor theme="0"/>
          </patternFill>
        </fill>
        <alignment vertical="top" readingOrder="0"/>
      </dxf>
    </rfmt>
    <rfmt sheetId="5" sqref="AU121" start="0" length="0">
      <dxf>
        <font>
          <sz val="10"/>
          <color auto="1"/>
          <name val="Arial"/>
          <scheme val="none"/>
        </font>
        <numFmt numFmtId="30" formatCode="@"/>
        <fill>
          <patternFill patternType="solid">
            <bgColor theme="0"/>
          </patternFill>
        </fill>
        <alignment vertical="top" readingOrder="0"/>
      </dxf>
    </rfmt>
    <rfmt sheetId="5" sqref="AV121" start="0" length="0">
      <dxf>
        <font>
          <sz val="10"/>
          <color auto="1"/>
          <name val="Arial"/>
          <scheme val="none"/>
        </font>
        <numFmt numFmtId="30" formatCode="@"/>
        <fill>
          <patternFill patternType="solid">
            <bgColor theme="0"/>
          </patternFill>
        </fill>
        <alignment vertical="top" readingOrder="0"/>
      </dxf>
    </rfmt>
    <rfmt sheetId="5" sqref="AW121" start="0" length="0">
      <dxf>
        <fill>
          <patternFill patternType="solid">
            <bgColor theme="0"/>
          </patternFill>
        </fill>
      </dxf>
    </rfmt>
    <rfmt sheetId="5" sqref="AX121" start="0" length="0">
      <dxf>
        <fill>
          <patternFill patternType="solid">
            <bgColor theme="0"/>
          </patternFill>
        </fill>
      </dxf>
    </rfmt>
    <rfmt sheetId="5" sqref="AY121" start="0" length="0">
      <dxf>
        <fill>
          <patternFill patternType="solid">
            <bgColor theme="0"/>
          </patternFill>
        </fill>
      </dxf>
    </rfmt>
    <rfmt sheetId="5" sqref="AZ121" start="0" length="0">
      <dxf>
        <fill>
          <patternFill patternType="solid">
            <bgColor theme="0"/>
          </patternFill>
        </fill>
      </dxf>
    </rfmt>
    <rfmt sheetId="5" sqref="BA121" start="0" length="0">
      <dxf>
        <fill>
          <patternFill patternType="solid">
            <bgColor theme="0"/>
          </patternFill>
        </fill>
      </dxf>
    </rfmt>
    <rfmt sheetId="5" sqref="BB121" start="0" length="0">
      <dxf>
        <fill>
          <patternFill patternType="solid">
            <bgColor theme="0"/>
          </patternFill>
        </fill>
      </dxf>
    </rfmt>
    <rfmt sheetId="5" sqref="BC121" start="0" length="0">
      <dxf>
        <fill>
          <patternFill patternType="solid">
            <bgColor theme="0"/>
          </patternFill>
        </fill>
      </dxf>
    </rfmt>
  </rrc>
  <rrc rId="35" sId="5" ref="A121:XFD121"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121:XFD121" start="0" length="0">
      <dxf>
        <font>
          <sz val="12"/>
        </font>
        <alignment horizontal="left" vertical="center" wrapText="1" readingOrder="0"/>
        <protection locked="0"/>
      </dxf>
    </rfmt>
    <rfmt sheetId="5" sqref="A121" start="0" length="0">
      <dxf>
        <font>
          <sz val="10"/>
          <color auto="1"/>
          <name val="Arial"/>
          <scheme val="none"/>
        </font>
        <border outline="0">
          <left style="thin">
            <color indexed="64"/>
          </left>
        </border>
        <protection locked="1"/>
      </dxf>
    </rfmt>
    <rfmt sheetId="5" sqref="B121" start="0" length="0">
      <dxf>
        <font>
          <sz val="10"/>
          <color auto="1"/>
          <name val="Arial"/>
          <scheme val="none"/>
        </font>
        <protection locked="1"/>
      </dxf>
    </rfmt>
    <rfmt sheetId="5" sqref="C121" start="0" length="0">
      <dxf>
        <font>
          <sz val="10"/>
          <color auto="1"/>
          <name val="Arial"/>
          <scheme val="none"/>
        </font>
        <border outline="0">
          <right style="dashed">
            <color indexed="64"/>
          </right>
        </border>
        <protection locked="1"/>
      </dxf>
    </rfmt>
    <rfmt sheetId="5" sqref="D121" start="0" length="0">
      <dxf>
        <font>
          <sz val="10"/>
          <color auto="1"/>
          <name val="Arial"/>
          <scheme val="none"/>
        </font>
        <alignment horizontal="center" readingOrder="0"/>
        <border outline="0">
          <left style="dashed">
            <color indexed="64"/>
          </left>
          <right style="dashed">
            <color indexed="64"/>
          </right>
        </border>
        <protection locked="1"/>
      </dxf>
    </rfmt>
    <rfmt sheetId="5" sqref="E121" start="0" length="0">
      <dxf>
        <font>
          <sz val="10"/>
          <color auto="1"/>
          <name val="Arial"/>
          <scheme val="none"/>
        </font>
        <alignment horizontal="center" readingOrder="0"/>
        <border outline="0">
          <left style="dashed">
            <color indexed="64"/>
          </left>
          <right style="dashed">
            <color indexed="64"/>
          </right>
        </border>
        <protection locked="1"/>
      </dxf>
    </rfmt>
    <rfmt sheetId="5" sqref="F121" start="0" length="0">
      <dxf>
        <font>
          <sz val="10"/>
          <color auto="1"/>
          <name val="Arial"/>
          <scheme val="none"/>
        </font>
        <alignment horizontal="center" readingOrder="0"/>
        <border outline="0">
          <left style="dashed">
            <color indexed="64"/>
          </left>
          <right style="dotted">
            <color indexed="64"/>
          </right>
        </border>
        <protection locked="1"/>
      </dxf>
    </rfmt>
    <rfmt sheetId="5" sqref="G121" start="0" length="0">
      <dxf>
        <font>
          <sz val="10"/>
          <color auto="1"/>
          <name val="Arial"/>
          <scheme val="none"/>
        </font>
        <alignment horizontal="center" readingOrder="0"/>
        <border outline="0">
          <left style="dotted">
            <color indexed="64"/>
          </left>
          <right style="dotted">
            <color indexed="64"/>
          </right>
          <bottom style="thin">
            <color indexed="64"/>
          </bottom>
        </border>
      </dxf>
    </rfmt>
    <rfmt sheetId="5" s="1" sqref="H121" start="0" length="0">
      <dxf>
        <font>
          <sz val="10"/>
          <color auto="1"/>
          <name val="Arial"/>
          <scheme val="none"/>
        </font>
        <numFmt numFmtId="167" formatCode="0.0%"/>
        <alignment horizontal="center" readingOrder="0"/>
        <border outline="0">
          <left style="dotted">
            <color indexed="64"/>
          </left>
          <right style="dotted">
            <color indexed="64"/>
          </right>
        </border>
      </dxf>
    </rfmt>
    <rfmt sheetId="5" s="1" sqref="I121" start="0" length="0">
      <dxf>
        <font>
          <sz val="10"/>
          <color auto="1"/>
          <name val="Arial"/>
          <scheme val="none"/>
        </font>
        <numFmt numFmtId="1" formatCode="0"/>
        <alignment horizontal="center" readingOrder="0"/>
        <border outline="0">
          <left style="dotted">
            <color indexed="64"/>
          </left>
          <right style="dotted">
            <color indexed="64"/>
          </right>
        </border>
      </dxf>
    </rfmt>
    <rfmt sheetId="5" sqref="J121" start="0" length="0">
      <dxf>
        <font>
          <sz val="10"/>
          <color auto="1"/>
          <name val="Arial"/>
          <scheme val="none"/>
        </font>
        <alignment horizontal="center" readingOrder="0"/>
        <border outline="0">
          <left style="dotted">
            <color indexed="64"/>
          </left>
          <right style="dotted">
            <color indexed="64"/>
          </right>
        </border>
        <protection locked="1"/>
      </dxf>
    </rfmt>
    <rfmt sheetId="5" sqref="K121" start="0" length="0">
      <dxf>
        <font>
          <sz val="10"/>
          <color auto="1"/>
          <name val="Arial"/>
          <scheme val="none"/>
        </font>
        <fill>
          <patternFill patternType="solid">
            <bgColor theme="8" tint="0.79998168889431442"/>
          </patternFill>
        </fill>
        <alignment horizontal="center" readingOrder="0"/>
        <border outline="0">
          <left style="dotted">
            <color indexed="64"/>
          </left>
          <bottom style="dotted">
            <color indexed="64"/>
          </bottom>
        </border>
        <protection locked="1"/>
      </dxf>
    </rfmt>
    <rfmt sheetId="5" sqref="L121" start="0" length="0">
      <dxf>
        <font>
          <sz val="10"/>
          <color auto="1"/>
          <name val="Arial"/>
          <scheme val="none"/>
        </font>
        <fill>
          <patternFill patternType="solid">
            <bgColor theme="8" tint="0.79998168889431442"/>
          </patternFill>
        </fill>
        <alignment horizontal="center" readingOrder="0"/>
        <border outline="0">
          <right style="dotted">
            <color indexed="64"/>
          </right>
          <bottom style="dotted">
            <color indexed="64"/>
          </bottom>
        </border>
        <protection locked="1"/>
      </dxf>
    </rfmt>
    <rfmt sheetId="5" sqref="M121" start="0" length="0">
      <dxf>
        <font>
          <sz val="10"/>
          <color auto="1"/>
          <name val="Arial"/>
          <scheme val="none"/>
        </font>
        <numFmt numFmtId="3" formatCode="#,##0"/>
        <alignment horizontal="center" readingOrder="0"/>
        <border outline="0">
          <right style="dotted">
            <color indexed="64"/>
          </right>
          <top style="dotted">
            <color indexed="64"/>
          </top>
          <bottom style="thin">
            <color indexed="64"/>
          </bottom>
        </border>
      </dxf>
    </rfmt>
    <rfmt sheetId="5" s="1" sqref="N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O121"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P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Q121"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R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S121" start="0" length="0">
      <dxf>
        <font>
          <sz val="10"/>
          <color auto="1"/>
          <name val="Arial"/>
          <scheme val="none"/>
        </font>
        <alignment vertical="top" readingOrder="0"/>
        <border outline="0">
          <left style="thin">
            <color indexed="64"/>
          </left>
        </border>
      </dxf>
    </rfmt>
    <rfmt sheetId="5" sqref="T121" start="0" length="0">
      <dxf>
        <font>
          <sz val="10"/>
          <color auto="1"/>
          <name val="Arial"/>
          <scheme val="none"/>
        </font>
        <alignment vertical="top" readingOrder="0"/>
      </dxf>
    </rfmt>
    <rfmt sheetId="5" sqref="U121" start="0" length="0">
      <dxf>
        <font>
          <sz val="10"/>
          <color auto="1"/>
          <name val="Arial"/>
          <scheme val="none"/>
        </font>
        <alignment vertical="top" readingOrder="0"/>
      </dxf>
    </rfmt>
    <rfmt sheetId="5" sqref="V121" start="0" length="0">
      <dxf>
        <font>
          <sz val="10"/>
          <color auto="1"/>
          <name val="Arial"/>
          <scheme val="none"/>
        </font>
        <alignment vertical="top" readingOrder="0"/>
      </dxf>
    </rfmt>
    <rfmt sheetId="5" sqref="W121" start="0" length="0">
      <dxf>
        <font>
          <sz val="10"/>
          <color auto="1"/>
          <name val="Arial"/>
          <scheme val="none"/>
        </font>
        <alignment vertical="top" readingOrder="0"/>
      </dxf>
    </rfmt>
    <rfmt sheetId="5" sqref="X121" start="0" length="0">
      <dxf>
        <font>
          <sz val="10"/>
          <color auto="1"/>
          <name val="Arial"/>
          <scheme val="none"/>
        </font>
        <alignment vertical="top" readingOrder="0"/>
      </dxf>
    </rfmt>
    <rfmt sheetId="5" sqref="Y121" start="0" length="0">
      <dxf>
        <font>
          <sz val="10"/>
          <color auto="1"/>
          <name val="Arial"/>
          <scheme val="none"/>
        </font>
        <alignment vertical="top" readingOrder="0"/>
      </dxf>
    </rfmt>
    <rfmt sheetId="5" sqref="Z121" start="0" length="0">
      <dxf>
        <font>
          <sz val="10"/>
          <color auto="1"/>
          <name val="Arial"/>
          <scheme val="none"/>
        </font>
        <alignment vertical="top" readingOrder="0"/>
      </dxf>
    </rfmt>
    <rfmt sheetId="5" sqref="AA121" start="0" length="0">
      <dxf>
        <font>
          <sz val="10"/>
          <color auto="1"/>
          <name val="Arial"/>
          <scheme val="none"/>
        </font>
        <alignment vertical="top" readingOrder="0"/>
      </dxf>
    </rfmt>
    <rfmt sheetId="5" sqref="AB121" start="0" length="0">
      <dxf>
        <font>
          <sz val="10"/>
          <color auto="1"/>
          <name val="Arial"/>
          <scheme val="none"/>
        </font>
        <alignment vertical="top" readingOrder="0"/>
        <border outline="0">
          <right style="thin">
            <color indexed="64"/>
          </right>
        </border>
      </dxf>
    </rfmt>
    <rfmt sheetId="5" sqref="AC121"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121" start="0" length="0">
      <dxf>
        <font>
          <sz val="10"/>
          <color auto="1"/>
          <name val="Arial"/>
          <scheme val="none"/>
        </font>
        <numFmt numFmtId="30" formatCode="@"/>
        <fill>
          <patternFill patternType="solid">
            <bgColor theme="0"/>
          </patternFill>
        </fill>
        <alignment vertical="top" readingOrder="0"/>
      </dxf>
    </rfmt>
    <rfmt sheetId="5" sqref="AE121" start="0" length="0">
      <dxf>
        <font>
          <sz val="10"/>
          <color auto="1"/>
          <name val="Arial"/>
          <scheme val="none"/>
        </font>
        <numFmt numFmtId="30" formatCode="@"/>
        <fill>
          <patternFill patternType="solid">
            <bgColor theme="0"/>
          </patternFill>
        </fill>
        <alignment vertical="top" readingOrder="0"/>
      </dxf>
    </rfmt>
    <rfmt sheetId="5" sqref="AF121" start="0" length="0">
      <dxf>
        <font>
          <sz val="10"/>
          <color auto="1"/>
          <name val="Arial"/>
          <scheme val="none"/>
        </font>
        <numFmt numFmtId="30" formatCode="@"/>
        <fill>
          <patternFill patternType="solid">
            <bgColor theme="0"/>
          </patternFill>
        </fill>
        <alignment vertical="top" readingOrder="0"/>
      </dxf>
    </rfmt>
    <rfmt sheetId="5" sqref="AG121" start="0" length="0">
      <dxf>
        <font>
          <sz val="10"/>
          <color auto="1"/>
          <name val="Arial"/>
          <scheme val="none"/>
        </font>
        <numFmt numFmtId="30" formatCode="@"/>
        <fill>
          <patternFill patternType="solid">
            <bgColor theme="0"/>
          </patternFill>
        </fill>
        <alignment vertical="top" readingOrder="0"/>
      </dxf>
    </rfmt>
    <rfmt sheetId="5" sqref="AH121" start="0" length="0">
      <dxf>
        <font>
          <sz val="10"/>
          <color auto="1"/>
          <name val="Arial"/>
          <scheme val="none"/>
        </font>
        <numFmt numFmtId="30" formatCode="@"/>
        <fill>
          <patternFill patternType="solid">
            <bgColor theme="0"/>
          </patternFill>
        </fill>
        <alignment vertical="top" readingOrder="0"/>
      </dxf>
    </rfmt>
    <rfmt sheetId="5" sqref="AI121" start="0" length="0">
      <dxf>
        <font>
          <sz val="10"/>
          <color auto="1"/>
          <name val="Arial"/>
          <scheme val="none"/>
        </font>
        <numFmt numFmtId="30" formatCode="@"/>
        <fill>
          <patternFill patternType="solid">
            <bgColor theme="0"/>
          </patternFill>
        </fill>
        <alignment vertical="top" readingOrder="0"/>
      </dxf>
    </rfmt>
    <rcc rId="0" sId="5" dxf="1">
      <nc r="AJ121">
        <f>INDIRECT(ADDRESS(ROW()-1,COLUMN()))</f>
      </nc>
      <ndxf>
        <font>
          <sz val="10"/>
          <color auto="1"/>
          <name val="Arial"/>
          <scheme val="none"/>
        </font>
        <fill>
          <patternFill patternType="solid">
            <bgColor theme="0"/>
          </patternFill>
        </fill>
        <alignment horizontal="right" vertical="top" readingOrder="0"/>
      </ndxf>
    </rcc>
    <rcc rId="0" sId="5" dxf="1">
      <nc r="AK121">
        <f>INDIRECT(ADDRESS(ROW()-1,COLUMN()))</f>
      </nc>
      <ndxf>
        <font>
          <sz val="10"/>
          <color auto="1"/>
          <name val="Arial"/>
          <scheme val="none"/>
        </font>
        <fill>
          <patternFill patternType="solid">
            <bgColor theme="0"/>
          </patternFill>
        </fill>
        <alignment horizontal="right" vertical="top" readingOrder="0"/>
      </ndxf>
    </rcc>
    <rfmt sheetId="5" sqref="AL121" start="0" length="0">
      <dxf>
        <font>
          <sz val="10"/>
          <color auto="1"/>
          <name val="Arial"/>
          <scheme val="none"/>
        </font>
        <fill>
          <patternFill patternType="solid">
            <bgColor theme="0"/>
          </patternFill>
        </fill>
        <alignment horizontal="right" vertical="top" readingOrder="0"/>
      </dxf>
    </rfmt>
    <rcc rId="0" sId="5" dxf="1">
      <nc r="AM121">
        <f>INDIRECT(ADDRESS(ROW()-1,COLUMN()))</f>
      </nc>
      <ndxf>
        <fill>
          <patternFill patternType="solid">
            <bgColor theme="0"/>
          </patternFill>
        </fill>
        <alignment horizontal="general" readingOrder="0"/>
      </ndxf>
    </rcc>
    <rfmt sheetId="5" sqref="AN121" start="0" length="0">
      <dxf>
        <numFmt numFmtId="30" formatCode="@"/>
        <fill>
          <patternFill patternType="solid">
            <bgColor theme="0"/>
          </patternFill>
        </fill>
        <alignment vertical="top" readingOrder="0"/>
      </dxf>
    </rfmt>
    <rfmt sheetId="5" sqref="AO121" start="0" length="0">
      <dxf>
        <numFmt numFmtId="30" formatCode="@"/>
        <fill>
          <patternFill patternType="solid">
            <bgColor theme="0"/>
          </patternFill>
        </fill>
        <alignment vertical="top" readingOrder="0"/>
      </dxf>
    </rfmt>
    <rfmt sheetId="5" sqref="AP121" start="0" length="0">
      <dxf>
        <font>
          <sz val="10"/>
          <color auto="1"/>
          <name val="Arial"/>
          <scheme val="none"/>
        </font>
        <numFmt numFmtId="30" formatCode="@"/>
        <fill>
          <patternFill patternType="solid">
            <bgColor theme="0"/>
          </patternFill>
        </fill>
        <alignment vertical="top" readingOrder="0"/>
      </dxf>
    </rfmt>
    <rfmt sheetId="5" sqref="AQ121" start="0" length="0">
      <dxf>
        <font>
          <sz val="10"/>
          <color auto="1"/>
          <name val="Arial"/>
          <scheme val="none"/>
        </font>
        <numFmt numFmtId="30" formatCode="@"/>
        <fill>
          <patternFill patternType="solid">
            <bgColor theme="0"/>
          </patternFill>
        </fill>
        <alignment vertical="top" readingOrder="0"/>
      </dxf>
    </rfmt>
    <rfmt sheetId="5" sqref="AR121" start="0" length="0">
      <dxf>
        <font>
          <sz val="10"/>
          <color auto="1"/>
          <name val="Arial"/>
          <scheme val="none"/>
        </font>
        <numFmt numFmtId="30" formatCode="@"/>
        <fill>
          <patternFill patternType="solid">
            <bgColor theme="0"/>
          </patternFill>
        </fill>
        <alignment vertical="top" readingOrder="0"/>
      </dxf>
    </rfmt>
    <rfmt sheetId="5" sqref="AS121" start="0" length="0">
      <dxf>
        <font>
          <sz val="10"/>
          <color auto="1"/>
          <name val="Arial"/>
          <scheme val="none"/>
        </font>
        <numFmt numFmtId="30" formatCode="@"/>
        <fill>
          <patternFill patternType="solid">
            <bgColor theme="0"/>
          </patternFill>
        </fill>
        <alignment vertical="top" readingOrder="0"/>
      </dxf>
    </rfmt>
    <rfmt sheetId="5" sqref="AT121" start="0" length="0">
      <dxf>
        <font>
          <sz val="10"/>
          <color auto="1"/>
          <name val="Arial"/>
          <scheme val="none"/>
        </font>
        <numFmt numFmtId="30" formatCode="@"/>
        <fill>
          <patternFill patternType="solid">
            <bgColor theme="0"/>
          </patternFill>
        </fill>
        <alignment vertical="top" readingOrder="0"/>
      </dxf>
    </rfmt>
    <rfmt sheetId="5" sqref="AU121" start="0" length="0">
      <dxf>
        <font>
          <sz val="10"/>
          <color auto="1"/>
          <name val="Arial"/>
          <scheme val="none"/>
        </font>
        <numFmt numFmtId="30" formatCode="@"/>
        <fill>
          <patternFill patternType="solid">
            <bgColor theme="0"/>
          </patternFill>
        </fill>
        <alignment vertical="top" readingOrder="0"/>
      </dxf>
    </rfmt>
    <rfmt sheetId="5" sqref="AV121" start="0" length="0">
      <dxf>
        <font>
          <sz val="10"/>
          <color auto="1"/>
          <name val="Arial"/>
          <scheme val="none"/>
        </font>
        <numFmt numFmtId="30" formatCode="@"/>
        <fill>
          <patternFill patternType="solid">
            <bgColor theme="0"/>
          </patternFill>
        </fill>
        <alignment vertical="top" readingOrder="0"/>
      </dxf>
    </rfmt>
    <rfmt sheetId="5" sqref="AW121" start="0" length="0">
      <dxf>
        <fill>
          <patternFill patternType="solid">
            <bgColor theme="0"/>
          </patternFill>
        </fill>
      </dxf>
    </rfmt>
    <rfmt sheetId="5" sqref="AX121" start="0" length="0">
      <dxf>
        <fill>
          <patternFill patternType="solid">
            <bgColor theme="0"/>
          </patternFill>
        </fill>
      </dxf>
    </rfmt>
    <rfmt sheetId="5" sqref="AY121" start="0" length="0">
      <dxf>
        <fill>
          <patternFill patternType="solid">
            <bgColor theme="0"/>
          </patternFill>
        </fill>
      </dxf>
    </rfmt>
    <rfmt sheetId="5" sqref="AZ121" start="0" length="0">
      <dxf>
        <fill>
          <patternFill patternType="solid">
            <bgColor theme="0"/>
          </patternFill>
        </fill>
      </dxf>
    </rfmt>
    <rfmt sheetId="5" sqref="BA121" start="0" length="0">
      <dxf>
        <fill>
          <patternFill patternType="solid">
            <bgColor theme="0"/>
          </patternFill>
        </fill>
      </dxf>
    </rfmt>
    <rfmt sheetId="5" sqref="BB121" start="0" length="0">
      <dxf>
        <fill>
          <patternFill patternType="solid">
            <bgColor theme="0"/>
          </patternFill>
        </fill>
      </dxf>
    </rfmt>
    <rfmt sheetId="5" sqref="BC121" start="0" length="0">
      <dxf>
        <fill>
          <patternFill patternType="solid">
            <bgColor theme="0"/>
          </patternFill>
        </fill>
      </dxf>
    </rfmt>
  </rrc>
  <rrc rId="36" sId="5" ref="A121:XFD121"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121:XFD121" start="0" length="0">
      <dxf>
        <font>
          <sz val="12"/>
        </font>
        <alignment horizontal="left" vertical="center" wrapText="1" readingOrder="0"/>
        <protection locked="0"/>
      </dxf>
    </rfmt>
    <rfmt sheetId="5" sqref="A121" start="0" length="0">
      <dxf>
        <font>
          <sz val="10"/>
          <color auto="1"/>
          <name val="Arial"/>
          <scheme val="none"/>
        </font>
        <border outline="0">
          <left style="thin">
            <color indexed="64"/>
          </left>
        </border>
        <protection locked="1"/>
      </dxf>
    </rfmt>
    <rfmt sheetId="5" sqref="B121" start="0" length="0">
      <dxf>
        <font>
          <sz val="10"/>
          <color auto="1"/>
          <name val="Arial"/>
          <scheme val="none"/>
        </font>
        <protection locked="1"/>
      </dxf>
    </rfmt>
    <rfmt sheetId="5" sqref="C121" start="0" length="0">
      <dxf>
        <font>
          <sz val="10"/>
          <color auto="1"/>
          <name val="Arial"/>
          <scheme val="none"/>
        </font>
        <border outline="0">
          <right style="dashed">
            <color indexed="64"/>
          </right>
        </border>
        <protection locked="1"/>
      </dxf>
    </rfmt>
    <rfmt sheetId="5" sqref="D121" start="0" length="0">
      <dxf>
        <font>
          <sz val="10"/>
          <color auto="1"/>
          <name val="Arial"/>
          <scheme val="none"/>
        </font>
        <alignment horizontal="center" readingOrder="0"/>
        <border outline="0">
          <left style="dashed">
            <color indexed="64"/>
          </left>
          <right style="dashed">
            <color indexed="64"/>
          </right>
        </border>
        <protection locked="1"/>
      </dxf>
    </rfmt>
    <rfmt sheetId="5" sqref="E121" start="0" length="0">
      <dxf>
        <font>
          <sz val="10"/>
          <color auto="1"/>
          <name val="Arial"/>
          <scheme val="none"/>
        </font>
        <alignment horizontal="center" readingOrder="0"/>
        <border outline="0">
          <left style="dashed">
            <color indexed="64"/>
          </left>
          <right style="dashed">
            <color indexed="64"/>
          </right>
        </border>
        <protection locked="1"/>
      </dxf>
    </rfmt>
    <rfmt sheetId="5" sqref="F121" start="0" length="0">
      <dxf>
        <font>
          <sz val="10"/>
          <color auto="1"/>
          <name val="Arial"/>
          <scheme val="none"/>
        </font>
        <alignment horizontal="center" readingOrder="0"/>
        <border outline="0">
          <left style="dashed">
            <color indexed="64"/>
          </left>
          <right style="dotted">
            <color indexed="64"/>
          </right>
        </border>
        <protection locked="1"/>
      </dxf>
    </rfmt>
    <rfmt sheetId="5" sqref="G121" start="0" length="0">
      <dxf>
        <font>
          <sz val="10"/>
          <color auto="1"/>
          <name val="Arial"/>
          <scheme val="none"/>
        </font>
        <alignment horizontal="center" readingOrder="0"/>
        <border outline="0">
          <left style="dotted">
            <color indexed="64"/>
          </left>
          <right style="dotted">
            <color indexed="64"/>
          </right>
          <top style="thin">
            <color indexed="64"/>
          </top>
        </border>
      </dxf>
    </rfmt>
    <rfmt sheetId="5" s="1" sqref="H121" start="0" length="0">
      <dxf>
        <font>
          <sz val="10"/>
          <color auto="1"/>
          <name val="Arial"/>
          <scheme val="none"/>
        </font>
        <numFmt numFmtId="167" formatCode="0.0%"/>
        <alignment horizontal="center" readingOrder="0"/>
        <border outline="0">
          <left style="dotted">
            <color indexed="64"/>
          </left>
          <right style="dotted">
            <color indexed="64"/>
          </right>
        </border>
      </dxf>
    </rfmt>
    <rfmt sheetId="5" s="1" sqref="I121" start="0" length="0">
      <dxf>
        <font>
          <sz val="10"/>
          <color auto="1"/>
          <name val="Arial"/>
          <scheme val="none"/>
        </font>
        <numFmt numFmtId="1" formatCode="0"/>
        <alignment horizontal="center" readingOrder="0"/>
        <border outline="0">
          <left style="dotted">
            <color indexed="64"/>
          </left>
          <right style="dotted">
            <color indexed="64"/>
          </right>
        </border>
      </dxf>
    </rfmt>
    <rfmt sheetId="5" sqref="J121" start="0" length="0">
      <dxf>
        <font>
          <sz val="10"/>
          <color auto="1"/>
          <name val="Arial"/>
          <scheme val="none"/>
        </font>
        <alignment horizontal="center" readingOrder="0"/>
        <border outline="0">
          <left style="dotted">
            <color indexed="64"/>
          </left>
          <right style="dotted">
            <color indexed="64"/>
          </right>
        </border>
        <protection locked="1"/>
      </dxf>
    </rfmt>
    <rcc rId="0" sId="5" dxf="1">
      <nc r="K121">
        <f>'C:\ERIC CAMACHO\GF NFM Application Documents\CN Draft\[Module for PMDT_24june.xlsx]Translations'!$A$79</f>
      </nc>
      <ndxf>
        <font>
          <sz val="10"/>
          <color auto="1"/>
          <name val="Arial"/>
          <scheme val="none"/>
        </font>
        <fill>
          <patternFill patternType="solid">
            <bgColor theme="8" tint="0.79998168889431442"/>
          </patternFill>
        </fill>
        <alignment horizontal="center" readingOrder="0"/>
        <border outline="0">
          <left style="dotted">
            <color indexed="64"/>
          </left>
          <top style="dotted">
            <color indexed="64"/>
          </top>
        </border>
        <protection locked="1"/>
      </ndxf>
    </rcc>
    <rfmt sheetId="5" sqref="L121" start="0" length="0">
      <dxf>
        <font>
          <sz val="10"/>
          <color auto="1"/>
          <name val="Arial"/>
          <scheme val="none"/>
        </font>
        <fill>
          <patternFill patternType="solid">
            <bgColor theme="8" tint="0.79998168889431442"/>
          </patternFill>
        </fill>
        <alignment horizontal="center" readingOrder="0"/>
        <border outline="0">
          <right style="dotted">
            <color indexed="64"/>
          </right>
          <top style="dotted">
            <color indexed="64"/>
          </top>
        </border>
        <protection locked="1"/>
      </dxf>
    </rfmt>
    <rfmt sheetId="5" sqref="M121" start="0" length="0">
      <dxf>
        <font>
          <sz val="10"/>
          <color auto="1"/>
          <name val="Arial"/>
          <scheme val="none"/>
        </font>
        <numFmt numFmtId="3" formatCode="#,##0"/>
        <alignment horizontal="center" readingOrder="0"/>
        <border outline="0">
          <top style="thin">
            <color indexed="64"/>
          </top>
          <bottom style="dotted">
            <color indexed="64"/>
          </bottom>
        </border>
      </dxf>
    </rfmt>
    <rcc rId="0" sId="5" s="1" dxf="1">
      <nc r="N121">
        <f>IF(M122&lt;&gt;"",M121/M122,"")</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O121" start="0" length="0">
      <dxf>
        <font>
          <sz val="10"/>
          <color auto="1"/>
          <name val="Arial"/>
          <scheme val="none"/>
        </font>
        <numFmt numFmtId="3" formatCode="#,##0"/>
        <alignment horizontal="center" readingOrder="0"/>
        <border outline="0">
          <left style="dotted">
            <color indexed="64"/>
          </left>
          <top style="thin">
            <color indexed="64"/>
          </top>
          <bottom style="dotted">
            <color indexed="64"/>
          </bottom>
        </border>
      </dxf>
    </rfmt>
    <rcc rId="0" sId="5" s="1" dxf="1">
      <nc r="P121">
        <f>IF(O122&lt;&gt;"",O121/O122,"")</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Q121" start="0" length="0">
      <dxf>
        <font>
          <sz val="10"/>
          <color auto="1"/>
          <name val="Arial"/>
          <scheme val="none"/>
        </font>
        <numFmt numFmtId="3" formatCode="#,##0"/>
        <alignment horizontal="center" readingOrder="0"/>
        <border outline="0">
          <left style="dotted">
            <color indexed="64"/>
          </left>
          <top style="thin">
            <color indexed="64"/>
          </top>
          <bottom style="dotted">
            <color indexed="64"/>
          </bottom>
        </border>
      </dxf>
    </rfmt>
    <rcc rId="0" sId="5" s="1" dxf="1">
      <nc r="R121">
        <f>IF(Q122&lt;&gt;"",Q121/Q122,"")</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S121" start="0" length="0">
      <dxf>
        <font>
          <sz val="10"/>
          <color auto="1"/>
          <name val="Arial"/>
          <scheme val="none"/>
        </font>
        <alignment vertical="top" readingOrder="0"/>
        <border outline="0">
          <left style="thin">
            <color indexed="64"/>
          </left>
        </border>
      </dxf>
    </rfmt>
    <rfmt sheetId="5" sqref="T121" start="0" length="0">
      <dxf>
        <font>
          <sz val="10"/>
          <color auto="1"/>
          <name val="Arial"/>
          <scheme val="none"/>
        </font>
        <alignment vertical="top" readingOrder="0"/>
      </dxf>
    </rfmt>
    <rfmt sheetId="5" sqref="U121" start="0" length="0">
      <dxf>
        <font>
          <sz val="10"/>
          <color auto="1"/>
          <name val="Arial"/>
          <scheme val="none"/>
        </font>
        <alignment vertical="top" readingOrder="0"/>
      </dxf>
    </rfmt>
    <rfmt sheetId="5" sqref="V121" start="0" length="0">
      <dxf>
        <font>
          <sz val="10"/>
          <color auto="1"/>
          <name val="Arial"/>
          <scheme val="none"/>
        </font>
        <alignment vertical="top" readingOrder="0"/>
      </dxf>
    </rfmt>
    <rfmt sheetId="5" sqref="W121" start="0" length="0">
      <dxf>
        <font>
          <sz val="10"/>
          <color auto="1"/>
          <name val="Arial"/>
          <scheme val="none"/>
        </font>
        <alignment vertical="top" readingOrder="0"/>
      </dxf>
    </rfmt>
    <rfmt sheetId="5" sqref="X121" start="0" length="0">
      <dxf>
        <font>
          <sz val="10"/>
          <color auto="1"/>
          <name val="Arial"/>
          <scheme val="none"/>
        </font>
        <alignment vertical="top" readingOrder="0"/>
      </dxf>
    </rfmt>
    <rfmt sheetId="5" sqref="Y121" start="0" length="0">
      <dxf>
        <font>
          <sz val="10"/>
          <color auto="1"/>
          <name val="Arial"/>
          <scheme val="none"/>
        </font>
        <alignment vertical="top" readingOrder="0"/>
      </dxf>
    </rfmt>
    <rfmt sheetId="5" sqref="Z121" start="0" length="0">
      <dxf>
        <font>
          <sz val="10"/>
          <color auto="1"/>
          <name val="Arial"/>
          <scheme val="none"/>
        </font>
        <alignment vertical="top" readingOrder="0"/>
      </dxf>
    </rfmt>
    <rfmt sheetId="5" sqref="AA121" start="0" length="0">
      <dxf>
        <font>
          <sz val="10"/>
          <color auto="1"/>
          <name val="Arial"/>
          <scheme val="none"/>
        </font>
        <alignment vertical="top" readingOrder="0"/>
      </dxf>
    </rfmt>
    <rfmt sheetId="5" sqref="AB121" start="0" length="0">
      <dxf>
        <font>
          <sz val="10"/>
          <color auto="1"/>
          <name val="Arial"/>
          <scheme val="none"/>
        </font>
        <alignment vertical="top" readingOrder="0"/>
        <border outline="0">
          <right style="thin">
            <color indexed="64"/>
          </right>
        </border>
      </dxf>
    </rfmt>
    <rfmt sheetId="5" sqref="AC121"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121" start="0" length="0">
      <dxf>
        <font>
          <sz val="10"/>
          <color auto="1"/>
          <name val="Arial"/>
          <scheme val="none"/>
        </font>
        <numFmt numFmtId="30" formatCode="@"/>
        <fill>
          <patternFill patternType="solid">
            <bgColor theme="0"/>
          </patternFill>
        </fill>
        <alignment vertical="top" readingOrder="0"/>
      </dxf>
    </rfmt>
    <rfmt sheetId="5" sqref="AE121" start="0" length="0">
      <dxf>
        <font>
          <sz val="10"/>
          <color auto="1"/>
          <name val="Arial"/>
          <scheme val="none"/>
        </font>
        <numFmt numFmtId="30" formatCode="@"/>
        <fill>
          <patternFill patternType="solid">
            <bgColor theme="0"/>
          </patternFill>
        </fill>
        <alignment vertical="top" readingOrder="0"/>
      </dxf>
    </rfmt>
    <rfmt sheetId="5" sqref="AF121" start="0" length="0">
      <dxf>
        <font>
          <sz val="10"/>
          <color auto="1"/>
          <name val="Arial"/>
          <scheme val="none"/>
        </font>
        <numFmt numFmtId="30" formatCode="@"/>
        <fill>
          <patternFill patternType="solid">
            <bgColor theme="0"/>
          </patternFill>
        </fill>
        <alignment vertical="top" readingOrder="0"/>
      </dxf>
    </rfmt>
    <rfmt sheetId="5" sqref="AG121" start="0" length="0">
      <dxf>
        <font>
          <sz val="10"/>
          <color auto="1"/>
          <name val="Arial"/>
          <scheme val="none"/>
        </font>
        <numFmt numFmtId="30" formatCode="@"/>
        <fill>
          <patternFill patternType="solid">
            <bgColor theme="0"/>
          </patternFill>
        </fill>
        <alignment vertical="top" readingOrder="0"/>
      </dxf>
    </rfmt>
    <rfmt sheetId="5" sqref="AH121" start="0" length="0">
      <dxf>
        <font>
          <sz val="10"/>
          <color auto="1"/>
          <name val="Arial"/>
          <scheme val="none"/>
        </font>
        <numFmt numFmtId="30" formatCode="@"/>
        <fill>
          <patternFill patternType="solid">
            <bgColor theme="0"/>
          </patternFill>
        </fill>
        <alignment vertical="top" readingOrder="0"/>
      </dxf>
    </rfmt>
    <rfmt sheetId="5" sqref="AI121" start="0" length="0">
      <dxf>
        <font>
          <sz val="10"/>
          <color auto="1"/>
          <name val="Arial"/>
          <scheme val="none"/>
        </font>
        <numFmt numFmtId="30" formatCode="@"/>
        <fill>
          <patternFill patternType="solid">
            <bgColor theme="0"/>
          </patternFill>
        </fill>
        <alignment vertical="top" readingOrder="0"/>
      </dxf>
    </rfmt>
    <rcc rId="0" sId="5" dxf="1">
      <nc r="AJ121">
        <f>INDIRECT(ADDRESS(ROW()-1,COLUMN()))</f>
      </nc>
      <ndxf>
        <font>
          <sz val="10"/>
          <color auto="1"/>
          <name val="Arial"/>
          <scheme val="none"/>
        </font>
        <fill>
          <patternFill patternType="solid">
            <bgColor theme="0"/>
          </patternFill>
        </fill>
        <alignment horizontal="right" vertical="top" readingOrder="0"/>
      </ndxf>
    </rcc>
    <rcc rId="0" sId="5" dxf="1">
      <nc r="AK121">
        <f>INDIRECT(ADDRESS(ROW()-1,COLUMN()))</f>
      </nc>
      <ndxf>
        <font>
          <sz val="10"/>
          <color auto="1"/>
          <name val="Arial"/>
          <scheme val="none"/>
        </font>
        <fill>
          <patternFill patternType="solid">
            <bgColor theme="0"/>
          </patternFill>
        </fill>
        <alignment horizontal="right" vertical="top" readingOrder="0"/>
      </ndxf>
    </rcc>
    <rfmt sheetId="5" sqref="AL121" start="0" length="0">
      <dxf>
        <font>
          <sz val="10"/>
          <color auto="1"/>
          <name val="Arial"/>
          <scheme val="none"/>
        </font>
        <fill>
          <patternFill patternType="solid">
            <bgColor theme="0"/>
          </patternFill>
        </fill>
        <alignment horizontal="right" vertical="top" readingOrder="0"/>
      </dxf>
    </rfmt>
    <rcc rId="0" sId="5" dxf="1">
      <nc r="AM121">
        <f>INDIRECT(ADDRESS(ROW()-1,COLUMN()))</f>
      </nc>
      <ndxf>
        <fill>
          <patternFill patternType="solid">
            <bgColor theme="0"/>
          </patternFill>
        </fill>
        <alignment horizontal="general" readingOrder="0"/>
      </ndxf>
    </rcc>
    <rfmt sheetId="5" sqref="AN121" start="0" length="0">
      <dxf>
        <numFmt numFmtId="30" formatCode="@"/>
        <fill>
          <patternFill patternType="solid">
            <bgColor theme="0"/>
          </patternFill>
        </fill>
        <alignment vertical="top" readingOrder="0"/>
      </dxf>
    </rfmt>
    <rfmt sheetId="5" sqref="AO121" start="0" length="0">
      <dxf>
        <numFmt numFmtId="30" formatCode="@"/>
        <fill>
          <patternFill patternType="solid">
            <bgColor theme="0"/>
          </patternFill>
        </fill>
        <alignment vertical="top" readingOrder="0"/>
      </dxf>
    </rfmt>
    <rfmt sheetId="5" sqref="AP121" start="0" length="0">
      <dxf>
        <font>
          <sz val="10"/>
          <color auto="1"/>
          <name val="Arial"/>
          <scheme val="none"/>
        </font>
        <numFmt numFmtId="30" formatCode="@"/>
        <fill>
          <patternFill patternType="solid">
            <bgColor theme="0"/>
          </patternFill>
        </fill>
        <alignment vertical="top" readingOrder="0"/>
      </dxf>
    </rfmt>
    <rfmt sheetId="5" sqref="AQ121" start="0" length="0">
      <dxf>
        <font>
          <sz val="10"/>
          <color auto="1"/>
          <name val="Arial"/>
          <scheme val="none"/>
        </font>
        <numFmt numFmtId="30" formatCode="@"/>
        <fill>
          <patternFill patternType="solid">
            <bgColor theme="0"/>
          </patternFill>
        </fill>
        <alignment vertical="top" readingOrder="0"/>
      </dxf>
    </rfmt>
    <rfmt sheetId="5" sqref="AR121" start="0" length="0">
      <dxf>
        <font>
          <sz val="10"/>
          <color auto="1"/>
          <name val="Arial"/>
          <scheme val="none"/>
        </font>
        <numFmt numFmtId="30" formatCode="@"/>
        <fill>
          <patternFill patternType="solid">
            <bgColor theme="0"/>
          </patternFill>
        </fill>
        <alignment vertical="top" readingOrder="0"/>
      </dxf>
    </rfmt>
    <rfmt sheetId="5" sqref="AS121" start="0" length="0">
      <dxf>
        <font>
          <sz val="10"/>
          <color auto="1"/>
          <name val="Arial"/>
          <scheme val="none"/>
        </font>
        <numFmt numFmtId="30" formatCode="@"/>
        <fill>
          <patternFill patternType="solid">
            <bgColor theme="0"/>
          </patternFill>
        </fill>
        <alignment vertical="top" readingOrder="0"/>
      </dxf>
    </rfmt>
    <rfmt sheetId="5" sqref="AT121" start="0" length="0">
      <dxf>
        <font>
          <sz val="10"/>
          <color auto="1"/>
          <name val="Arial"/>
          <scheme val="none"/>
        </font>
        <numFmt numFmtId="30" formatCode="@"/>
        <fill>
          <patternFill patternType="solid">
            <bgColor theme="0"/>
          </patternFill>
        </fill>
        <alignment vertical="top" readingOrder="0"/>
      </dxf>
    </rfmt>
    <rfmt sheetId="5" sqref="AU121" start="0" length="0">
      <dxf>
        <font>
          <sz val="10"/>
          <color auto="1"/>
          <name val="Arial"/>
          <scheme val="none"/>
        </font>
        <numFmt numFmtId="30" formatCode="@"/>
        <fill>
          <patternFill patternType="solid">
            <bgColor theme="0"/>
          </patternFill>
        </fill>
        <alignment vertical="top" readingOrder="0"/>
      </dxf>
    </rfmt>
    <rfmt sheetId="5" sqref="AV121" start="0" length="0">
      <dxf>
        <font>
          <sz val="10"/>
          <color auto="1"/>
          <name val="Arial"/>
          <scheme val="none"/>
        </font>
        <numFmt numFmtId="30" formatCode="@"/>
        <fill>
          <patternFill patternType="solid">
            <bgColor theme="0"/>
          </patternFill>
        </fill>
        <alignment vertical="top" readingOrder="0"/>
      </dxf>
    </rfmt>
    <rfmt sheetId="5" sqref="AW121" start="0" length="0">
      <dxf>
        <fill>
          <patternFill patternType="solid">
            <bgColor theme="0"/>
          </patternFill>
        </fill>
      </dxf>
    </rfmt>
    <rfmt sheetId="5" sqref="AX121" start="0" length="0">
      <dxf>
        <fill>
          <patternFill patternType="solid">
            <bgColor theme="0"/>
          </patternFill>
        </fill>
      </dxf>
    </rfmt>
    <rfmt sheetId="5" sqref="AY121" start="0" length="0">
      <dxf>
        <fill>
          <patternFill patternType="solid">
            <bgColor theme="0"/>
          </patternFill>
        </fill>
      </dxf>
    </rfmt>
    <rfmt sheetId="5" sqref="AZ121" start="0" length="0">
      <dxf>
        <fill>
          <patternFill patternType="solid">
            <bgColor theme="0"/>
          </patternFill>
        </fill>
      </dxf>
    </rfmt>
    <rfmt sheetId="5" sqref="BA121" start="0" length="0">
      <dxf>
        <fill>
          <patternFill patternType="solid">
            <bgColor theme="0"/>
          </patternFill>
        </fill>
      </dxf>
    </rfmt>
    <rfmt sheetId="5" sqref="BB121" start="0" length="0">
      <dxf>
        <fill>
          <patternFill patternType="solid">
            <bgColor theme="0"/>
          </patternFill>
        </fill>
      </dxf>
    </rfmt>
    <rfmt sheetId="5" sqref="BC121" start="0" length="0">
      <dxf>
        <fill>
          <patternFill patternType="solid">
            <bgColor theme="0"/>
          </patternFill>
        </fill>
      </dxf>
    </rfmt>
  </rrc>
  <rrc rId="37" sId="5" ref="A121:XFD121"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121:XFD121" start="0" length="0">
      <dxf>
        <font>
          <sz val="12"/>
        </font>
        <alignment horizontal="left" vertical="center" wrapText="1" readingOrder="0"/>
        <protection locked="0"/>
      </dxf>
    </rfmt>
    <rfmt sheetId="5" sqref="A121" start="0" length="0">
      <dxf>
        <font>
          <sz val="10"/>
          <color auto="1"/>
          <name val="Arial"/>
          <scheme val="none"/>
        </font>
        <border outline="0">
          <left style="thin">
            <color indexed="64"/>
          </left>
          <bottom style="thin">
            <color indexed="64"/>
          </bottom>
        </border>
        <protection locked="1"/>
      </dxf>
    </rfmt>
    <rfmt sheetId="5" sqref="B121" start="0" length="0">
      <dxf>
        <font>
          <sz val="10"/>
          <color auto="1"/>
          <name val="Arial"/>
          <scheme val="none"/>
        </font>
        <border outline="0">
          <bottom style="thin">
            <color indexed="64"/>
          </bottom>
        </border>
        <protection locked="1"/>
      </dxf>
    </rfmt>
    <rfmt sheetId="5" sqref="C121" start="0" length="0">
      <dxf>
        <font>
          <sz val="10"/>
          <color auto="1"/>
          <name val="Arial"/>
          <scheme val="none"/>
        </font>
        <border outline="0">
          <right style="dashed">
            <color indexed="64"/>
          </right>
          <bottom style="thin">
            <color indexed="64"/>
          </bottom>
        </border>
        <protection locked="1"/>
      </dxf>
    </rfmt>
    <rfmt sheetId="5" sqref="D121" start="0" length="0">
      <dxf>
        <font>
          <sz val="10"/>
          <color auto="1"/>
          <name val="Arial"/>
          <scheme val="none"/>
        </font>
        <alignment horizontal="center" readingOrder="0"/>
        <border outline="0">
          <left style="dashed">
            <color indexed="64"/>
          </left>
          <right style="dashed">
            <color indexed="64"/>
          </right>
          <bottom style="thin">
            <color indexed="64"/>
          </bottom>
        </border>
        <protection locked="1"/>
      </dxf>
    </rfmt>
    <rfmt sheetId="5" sqref="E121" start="0" length="0">
      <dxf>
        <font>
          <sz val="10"/>
          <color auto="1"/>
          <name val="Arial"/>
          <scheme val="none"/>
        </font>
        <alignment horizontal="center" readingOrder="0"/>
        <border outline="0">
          <left style="dashed">
            <color indexed="64"/>
          </left>
          <right style="dashed">
            <color indexed="64"/>
          </right>
          <bottom style="thin">
            <color indexed="64"/>
          </bottom>
        </border>
        <protection locked="1"/>
      </dxf>
    </rfmt>
    <rfmt sheetId="5" sqref="F121" start="0" length="0">
      <dxf>
        <font>
          <sz val="10"/>
          <color auto="1"/>
          <name val="Arial"/>
          <scheme val="none"/>
        </font>
        <alignment horizontal="center" readingOrder="0"/>
        <border outline="0">
          <left style="dashed">
            <color indexed="64"/>
          </left>
          <right style="dotted">
            <color indexed="64"/>
          </right>
          <bottom style="thin">
            <color indexed="64"/>
          </bottom>
        </border>
        <protection locked="1"/>
      </dxf>
    </rfmt>
    <rfmt sheetId="5" sqref="G121" start="0" length="0">
      <dxf>
        <font>
          <sz val="10"/>
          <color auto="1"/>
          <name val="Arial"/>
          <scheme val="none"/>
        </font>
        <alignment horizontal="center" readingOrder="0"/>
        <border outline="0">
          <left style="dotted">
            <color indexed="64"/>
          </left>
          <right style="dotted">
            <color indexed="64"/>
          </right>
          <bottom style="thin">
            <color indexed="64"/>
          </bottom>
        </border>
      </dxf>
    </rfmt>
    <rfmt sheetId="5" s="1" sqref="H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1" sqref="I121" start="0" length="0">
      <dxf>
        <font>
          <sz val="10"/>
          <color auto="1"/>
          <name val="Arial"/>
          <scheme val="none"/>
        </font>
        <numFmt numFmtId="1" formatCode="0"/>
        <alignment horizontal="center" readingOrder="0"/>
        <border outline="0">
          <left style="dotted">
            <color indexed="64"/>
          </left>
          <right style="dotted">
            <color indexed="64"/>
          </right>
          <bottom style="thin">
            <color indexed="64"/>
          </bottom>
        </border>
      </dxf>
    </rfmt>
    <rfmt sheetId="5" sqref="J121" start="0" length="0">
      <dxf>
        <font>
          <sz val="10"/>
          <color auto="1"/>
          <name val="Arial"/>
          <scheme val="none"/>
        </font>
        <alignment horizontal="center" readingOrder="0"/>
        <border outline="0">
          <left style="dotted">
            <color indexed="64"/>
          </left>
          <right style="dotted">
            <color indexed="64"/>
          </right>
          <bottom style="thin">
            <color indexed="64"/>
          </bottom>
        </border>
        <protection locked="1"/>
      </dxf>
    </rfmt>
    <rfmt sheetId="5" sqref="K121" start="0" length="0">
      <dxf>
        <font>
          <sz val="10"/>
          <color auto="1"/>
          <name val="Arial"/>
          <scheme val="none"/>
        </font>
        <fill>
          <patternFill patternType="solid">
            <bgColor theme="8" tint="0.79998168889431442"/>
          </patternFill>
        </fill>
        <alignment horizontal="center" readingOrder="0"/>
        <border outline="0">
          <left style="dotted">
            <color indexed="64"/>
          </left>
          <bottom style="thin">
            <color indexed="64"/>
          </bottom>
        </border>
        <protection locked="1"/>
      </dxf>
    </rfmt>
    <rfmt sheetId="5" sqref="L121" start="0" length="0">
      <dxf>
        <font>
          <sz val="10"/>
          <color auto="1"/>
          <name val="Arial"/>
          <scheme val="none"/>
        </font>
        <fill>
          <patternFill patternType="solid">
            <bgColor theme="8" tint="0.79998168889431442"/>
          </patternFill>
        </fill>
        <alignment horizontal="center" readingOrder="0"/>
        <border outline="0">
          <right style="dotted">
            <color indexed="64"/>
          </right>
          <bottom style="thin">
            <color indexed="64"/>
          </bottom>
        </border>
        <protection locked="1"/>
      </dxf>
    </rfmt>
    <rfmt sheetId="5" sqref="M121" start="0" length="0">
      <dxf>
        <font>
          <sz val="10"/>
          <color auto="1"/>
          <name val="Arial"/>
          <scheme val="none"/>
        </font>
        <numFmt numFmtId="3" formatCode="#,##0"/>
        <alignment horizontal="center" readingOrder="0"/>
        <border outline="0">
          <right style="dotted">
            <color indexed="64"/>
          </right>
          <top style="dotted">
            <color indexed="64"/>
          </top>
          <bottom style="thin">
            <color indexed="64"/>
          </bottom>
        </border>
      </dxf>
    </rfmt>
    <rfmt sheetId="5" s="1" sqref="N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O121"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P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Q121"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R121"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S121" start="0" length="0">
      <dxf>
        <font>
          <sz val="10"/>
          <color auto="1"/>
          <name val="Arial"/>
          <scheme val="none"/>
        </font>
        <alignment vertical="top" readingOrder="0"/>
        <border outline="0">
          <left style="thin">
            <color indexed="64"/>
          </left>
          <bottom style="thin">
            <color indexed="64"/>
          </bottom>
        </border>
      </dxf>
    </rfmt>
    <rfmt sheetId="5" sqref="T121" start="0" length="0">
      <dxf>
        <font>
          <sz val="10"/>
          <color auto="1"/>
          <name val="Arial"/>
          <scheme val="none"/>
        </font>
        <alignment vertical="top" readingOrder="0"/>
        <border outline="0">
          <bottom style="thin">
            <color indexed="64"/>
          </bottom>
        </border>
      </dxf>
    </rfmt>
    <rfmt sheetId="5" sqref="U121" start="0" length="0">
      <dxf>
        <font>
          <sz val="10"/>
          <color auto="1"/>
          <name val="Arial"/>
          <scheme val="none"/>
        </font>
        <alignment vertical="top" readingOrder="0"/>
        <border outline="0">
          <bottom style="thin">
            <color indexed="64"/>
          </bottom>
        </border>
      </dxf>
    </rfmt>
    <rfmt sheetId="5" sqref="V121" start="0" length="0">
      <dxf>
        <font>
          <sz val="10"/>
          <color auto="1"/>
          <name val="Arial"/>
          <scheme val="none"/>
        </font>
        <alignment vertical="top" readingOrder="0"/>
        <border outline="0">
          <bottom style="thin">
            <color indexed="64"/>
          </bottom>
        </border>
      </dxf>
    </rfmt>
    <rfmt sheetId="5" sqref="W121" start="0" length="0">
      <dxf>
        <font>
          <sz val="10"/>
          <color auto="1"/>
          <name val="Arial"/>
          <scheme val="none"/>
        </font>
        <alignment vertical="top" readingOrder="0"/>
        <border outline="0">
          <bottom style="thin">
            <color indexed="64"/>
          </bottom>
        </border>
      </dxf>
    </rfmt>
    <rfmt sheetId="5" sqref="X121" start="0" length="0">
      <dxf>
        <font>
          <sz val="10"/>
          <color auto="1"/>
          <name val="Arial"/>
          <scheme val="none"/>
        </font>
        <alignment vertical="top" readingOrder="0"/>
        <border outline="0">
          <bottom style="thin">
            <color indexed="64"/>
          </bottom>
        </border>
      </dxf>
    </rfmt>
    <rfmt sheetId="5" sqref="Y121" start="0" length="0">
      <dxf>
        <font>
          <sz val="10"/>
          <color auto="1"/>
          <name val="Arial"/>
          <scheme val="none"/>
        </font>
        <alignment vertical="top" readingOrder="0"/>
        <border outline="0">
          <bottom style="thin">
            <color indexed="64"/>
          </bottom>
        </border>
      </dxf>
    </rfmt>
    <rfmt sheetId="5" sqref="Z121" start="0" length="0">
      <dxf>
        <font>
          <sz val="10"/>
          <color auto="1"/>
          <name val="Arial"/>
          <scheme val="none"/>
        </font>
        <alignment vertical="top" readingOrder="0"/>
        <border outline="0">
          <bottom style="thin">
            <color indexed="64"/>
          </bottom>
        </border>
      </dxf>
    </rfmt>
    <rfmt sheetId="5" sqref="AA121" start="0" length="0">
      <dxf>
        <font>
          <sz val="10"/>
          <color auto="1"/>
          <name val="Arial"/>
          <scheme val="none"/>
        </font>
        <alignment vertical="top" readingOrder="0"/>
        <border outline="0">
          <bottom style="thin">
            <color indexed="64"/>
          </bottom>
        </border>
      </dxf>
    </rfmt>
    <rfmt sheetId="5" sqref="AB121" start="0" length="0">
      <dxf>
        <font>
          <sz val="10"/>
          <color auto="1"/>
          <name val="Arial"/>
          <scheme val="none"/>
        </font>
        <alignment vertical="top" readingOrder="0"/>
        <border outline="0">
          <right style="thin">
            <color indexed="64"/>
          </right>
          <bottom style="thin">
            <color indexed="64"/>
          </bottom>
        </border>
      </dxf>
    </rfmt>
    <rfmt sheetId="5" sqref="AC121"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121" start="0" length="0">
      <dxf>
        <font>
          <sz val="10"/>
          <color auto="1"/>
          <name val="Arial"/>
          <scheme val="none"/>
        </font>
        <numFmt numFmtId="30" formatCode="@"/>
        <fill>
          <patternFill patternType="solid">
            <bgColor theme="0"/>
          </patternFill>
        </fill>
        <alignment vertical="top" readingOrder="0"/>
      </dxf>
    </rfmt>
    <rfmt sheetId="5" sqref="AE121" start="0" length="0">
      <dxf>
        <font>
          <sz val="10"/>
          <color auto="1"/>
          <name val="Arial"/>
          <scheme val="none"/>
        </font>
        <numFmt numFmtId="30" formatCode="@"/>
        <fill>
          <patternFill patternType="solid">
            <bgColor theme="0"/>
          </patternFill>
        </fill>
        <alignment vertical="top" readingOrder="0"/>
      </dxf>
    </rfmt>
    <rfmt sheetId="5" sqref="AF121" start="0" length="0">
      <dxf>
        <font>
          <sz val="10"/>
          <color auto="1"/>
          <name val="Arial"/>
          <scheme val="none"/>
        </font>
        <numFmt numFmtId="30" formatCode="@"/>
        <fill>
          <patternFill patternType="solid">
            <bgColor theme="0"/>
          </patternFill>
        </fill>
        <alignment vertical="top" readingOrder="0"/>
      </dxf>
    </rfmt>
    <rfmt sheetId="5" sqref="AG121" start="0" length="0">
      <dxf>
        <font>
          <sz val="10"/>
          <color auto="1"/>
          <name val="Arial"/>
          <scheme val="none"/>
        </font>
        <numFmt numFmtId="30" formatCode="@"/>
        <fill>
          <patternFill patternType="solid">
            <bgColor theme="0"/>
          </patternFill>
        </fill>
        <alignment vertical="top" readingOrder="0"/>
      </dxf>
    </rfmt>
    <rfmt sheetId="5" sqref="AH121" start="0" length="0">
      <dxf>
        <font>
          <sz val="10"/>
          <color auto="1"/>
          <name val="Arial"/>
          <scheme val="none"/>
        </font>
        <numFmt numFmtId="30" formatCode="@"/>
        <fill>
          <patternFill patternType="solid">
            <bgColor theme="0"/>
          </patternFill>
        </fill>
        <alignment vertical="top" readingOrder="0"/>
      </dxf>
    </rfmt>
    <rfmt sheetId="5" sqref="AI121" start="0" length="0">
      <dxf>
        <font>
          <sz val="10"/>
          <color auto="1"/>
          <name val="Arial"/>
          <scheme val="none"/>
        </font>
        <numFmt numFmtId="30" formatCode="@"/>
        <fill>
          <patternFill patternType="solid">
            <bgColor theme="0"/>
          </patternFill>
        </fill>
        <alignment vertical="top" readingOrder="0"/>
      </dxf>
    </rfmt>
    <rcc rId="0" sId="5" dxf="1">
      <nc r="AJ121">
        <f>INDIRECT(ADDRESS(ROW()-1,COLUMN()))</f>
      </nc>
      <ndxf>
        <font>
          <sz val="10"/>
          <color auto="1"/>
          <name val="Arial"/>
          <scheme val="none"/>
        </font>
        <fill>
          <patternFill patternType="solid">
            <bgColor theme="0"/>
          </patternFill>
        </fill>
        <alignment horizontal="right" vertical="top" readingOrder="0"/>
      </ndxf>
    </rcc>
    <rcc rId="0" sId="5" dxf="1">
      <nc r="AK121">
        <f>INDIRECT(ADDRESS(ROW()-1,COLUMN()))</f>
      </nc>
      <ndxf>
        <font>
          <sz val="10"/>
          <color auto="1"/>
          <name val="Arial"/>
          <scheme val="none"/>
        </font>
        <fill>
          <patternFill patternType="solid">
            <bgColor theme="0"/>
          </patternFill>
        </fill>
        <alignment horizontal="right" vertical="top" readingOrder="0"/>
      </ndxf>
    </rcc>
    <rfmt sheetId="5" sqref="AL121" start="0" length="0">
      <dxf>
        <font>
          <sz val="10"/>
          <color auto="1"/>
          <name val="Arial"/>
          <scheme val="none"/>
        </font>
        <fill>
          <patternFill patternType="solid">
            <bgColor theme="0"/>
          </patternFill>
        </fill>
        <alignment horizontal="right" vertical="top" readingOrder="0"/>
      </dxf>
    </rfmt>
    <rcc rId="0" sId="5" dxf="1">
      <nc r="AM121">
        <f>INDIRECT(ADDRESS(ROW()-1,COLUMN()))</f>
      </nc>
      <ndxf>
        <fill>
          <patternFill patternType="solid">
            <bgColor theme="0"/>
          </patternFill>
        </fill>
        <alignment horizontal="general" readingOrder="0"/>
      </ndxf>
    </rcc>
    <rfmt sheetId="5" sqref="AN121" start="0" length="0">
      <dxf>
        <numFmt numFmtId="30" formatCode="@"/>
        <fill>
          <patternFill patternType="solid">
            <bgColor theme="0"/>
          </patternFill>
        </fill>
        <alignment vertical="top" readingOrder="0"/>
      </dxf>
    </rfmt>
    <rfmt sheetId="5" sqref="AO121" start="0" length="0">
      <dxf>
        <numFmt numFmtId="30" formatCode="@"/>
        <fill>
          <patternFill patternType="solid">
            <bgColor theme="0"/>
          </patternFill>
        </fill>
        <alignment vertical="top" readingOrder="0"/>
      </dxf>
    </rfmt>
    <rfmt sheetId="5" sqref="AP121" start="0" length="0">
      <dxf>
        <font>
          <sz val="10"/>
          <color auto="1"/>
          <name val="Arial"/>
          <scheme val="none"/>
        </font>
        <numFmt numFmtId="30" formatCode="@"/>
        <fill>
          <patternFill patternType="solid">
            <bgColor theme="0"/>
          </patternFill>
        </fill>
        <alignment vertical="top" readingOrder="0"/>
      </dxf>
    </rfmt>
    <rfmt sheetId="5" sqref="AQ121" start="0" length="0">
      <dxf>
        <font>
          <sz val="10"/>
          <color auto="1"/>
          <name val="Arial"/>
          <scheme val="none"/>
        </font>
        <numFmt numFmtId="30" formatCode="@"/>
        <fill>
          <patternFill patternType="solid">
            <bgColor theme="0"/>
          </patternFill>
        </fill>
        <alignment vertical="top" readingOrder="0"/>
      </dxf>
    </rfmt>
    <rfmt sheetId="5" sqref="AR121" start="0" length="0">
      <dxf>
        <font>
          <sz val="10"/>
          <color auto="1"/>
          <name val="Arial"/>
          <scheme val="none"/>
        </font>
        <numFmt numFmtId="30" formatCode="@"/>
        <fill>
          <patternFill patternType="solid">
            <bgColor theme="0"/>
          </patternFill>
        </fill>
        <alignment vertical="top" readingOrder="0"/>
      </dxf>
    </rfmt>
    <rfmt sheetId="5" sqref="AS121" start="0" length="0">
      <dxf>
        <font>
          <sz val="10"/>
          <color auto="1"/>
          <name val="Arial"/>
          <scheme val="none"/>
        </font>
        <numFmt numFmtId="30" formatCode="@"/>
        <fill>
          <patternFill patternType="solid">
            <bgColor theme="0"/>
          </patternFill>
        </fill>
        <alignment vertical="top" readingOrder="0"/>
      </dxf>
    </rfmt>
    <rfmt sheetId="5" sqref="AT121" start="0" length="0">
      <dxf>
        <font>
          <sz val="10"/>
          <color auto="1"/>
          <name val="Arial"/>
          <scheme val="none"/>
        </font>
        <numFmt numFmtId="30" formatCode="@"/>
        <fill>
          <patternFill patternType="solid">
            <bgColor theme="0"/>
          </patternFill>
        </fill>
        <alignment vertical="top" readingOrder="0"/>
      </dxf>
    </rfmt>
    <rfmt sheetId="5" sqref="AU121" start="0" length="0">
      <dxf>
        <font>
          <sz val="10"/>
          <color auto="1"/>
          <name val="Arial"/>
          <scheme val="none"/>
        </font>
        <numFmt numFmtId="30" formatCode="@"/>
        <fill>
          <patternFill patternType="solid">
            <bgColor theme="0"/>
          </patternFill>
        </fill>
        <alignment vertical="top" readingOrder="0"/>
      </dxf>
    </rfmt>
    <rfmt sheetId="5" sqref="AV121" start="0" length="0">
      <dxf>
        <font>
          <sz val="10"/>
          <color auto="1"/>
          <name val="Arial"/>
          <scheme val="none"/>
        </font>
        <numFmt numFmtId="30" formatCode="@"/>
        <fill>
          <patternFill patternType="solid">
            <bgColor theme="0"/>
          </patternFill>
        </fill>
        <alignment vertical="top" readingOrder="0"/>
      </dxf>
    </rfmt>
    <rfmt sheetId="5" sqref="AW121" start="0" length="0">
      <dxf>
        <fill>
          <patternFill patternType="solid">
            <bgColor theme="0"/>
          </patternFill>
        </fill>
      </dxf>
    </rfmt>
    <rfmt sheetId="5" sqref="AX121" start="0" length="0">
      <dxf>
        <fill>
          <patternFill patternType="solid">
            <bgColor theme="0"/>
          </patternFill>
        </fill>
      </dxf>
    </rfmt>
    <rfmt sheetId="5" sqref="AY121" start="0" length="0">
      <dxf>
        <fill>
          <patternFill patternType="solid">
            <bgColor theme="0"/>
          </patternFill>
        </fill>
      </dxf>
    </rfmt>
    <rfmt sheetId="5" sqref="AZ121" start="0" length="0">
      <dxf>
        <fill>
          <patternFill patternType="solid">
            <bgColor theme="0"/>
          </patternFill>
        </fill>
      </dxf>
    </rfmt>
    <rfmt sheetId="5" sqref="BA121" start="0" length="0">
      <dxf>
        <fill>
          <patternFill patternType="solid">
            <bgColor theme="0"/>
          </patternFill>
        </fill>
      </dxf>
    </rfmt>
    <rfmt sheetId="5" sqref="BB121" start="0" length="0">
      <dxf>
        <fill>
          <patternFill patternType="solid">
            <bgColor theme="0"/>
          </patternFill>
        </fill>
      </dxf>
    </rfmt>
    <rfmt sheetId="5" sqref="BC121" start="0" length="0">
      <dxf>
        <fill>
          <patternFill patternType="solid">
            <bgColor theme="0"/>
          </patternFill>
        </fill>
      </dxf>
    </rfmt>
  </rrc>
  <rcc rId="38" sId="5">
    <oc r="A187">
      <f>IFERROR(INDIRECT(ADDRESS(AL187,5,1,TRUE,"Coverage ind")),"")</f>
    </oc>
    <nc r="A187"/>
  </rcc>
  <rcc rId="39" sId="5" numFmtId="4">
    <oc r="M187">
      <v>2100</v>
    </oc>
    <nc r="M187"/>
  </rcc>
  <rcc rId="40" sId="5" numFmtId="4">
    <oc r="M189">
      <v>3634</v>
    </oc>
    <nc r="M189"/>
  </rcc>
  <rcmt sheetId="5" cell="M187" guid="{00000000-0000-0000-0000-000000000000}" action="delete" alwaysShow="1" author="Qi Cui"/>
  <rcc rId="41" sId="5">
    <oc r="S156" t="inlineStr">
      <is>
        <t>No baseline data for this indicator. The 0.1% of TB patients tested for HIV will be reactive/confirmed for HIV is based from WHO Global TB Report 2012. Data source will be TB Registry and CatIV Registry</t>
      </is>
    </oc>
    <nc r="S156" t="inlineStr">
      <is>
        <t>No baseline data for this indicator. The targets herein is 0.1% of TB patients tested for HIV that will be reactive/confirmed for HIV,  based from WHO Global TB Report 2012. (e.g 47 is 0.1% of 46,660). Data source will be TB Registry and CatIV Registry</t>
      </is>
    </nc>
  </rcc>
  <rcmt sheetId="5" cell="S156" guid="{00000000-0000-0000-0000-000000000000}" action="delete" alwaysShow="1" author="Qi Cui"/>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5">
    <oc r="U36" t="inlineStr">
      <is>
        <t>Corresponds to 85%, 87% and 90% of CDR for 2014, 2015 and 2016 respectively.  CNR=Estimated all forms TB cases notified/total population x 100,000;  baseline is higher than 2014-2016 targets because the reduction rate in the incidence is higher than population growth rate. Estimated Pop'n: 2014: 101,165, 300    2015: 102,965,300   2016: 106,156,640. Estimated Incidence Rate: 2014: 255   2015: 251   2016: 246                                                                     note:  no age disaggregation for relapse cases available</t>
      </is>
    </oc>
    <nc r="U36" t="inlineStr">
      <is>
        <t>Corresponds to 85%, 87% and 90% of CDR for 2014, 2015 and 2016 respectively.  CNR=Estimated all forms TB cases notified/total population x 100,000;  baseline is higher than 2014-2016 targets because the reduction rate in the incidence is higher than population growth rate. Estimated Pop'n: 2014: 101,165, 300    2015: 102,965,300   2016: 106,156,640. Estimated Incidence Rate: 2014: 255   2015: 251   2016: 246 
NOTE:  no age disaggregation for relapse cases available</t>
      </is>
    </nc>
  </rcc>
  <rfmt sheetId="5" sqref="S90:Y91">
    <dxf>
      <fill>
        <patternFill>
          <bgColor theme="0"/>
        </patternFill>
      </fill>
    </dxf>
  </rfmt>
  <rcc rId="52" sId="5">
    <oc r="S90" t="inlineStr">
      <is>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 (a) Cost of LED-FM at $5,024.39 per unit, (b) maintenance cost of LED-FM per unit per year at $333.66, plus estimated 3% of unit cost for shipping. Above indicative FR will be purchase and maintenance of additional 287 LED-FM (out of total targeted 400 LED-FM units).</t>
      </is>
    </oc>
    <nc r="S90" t="inlineStr">
      <is>
        <t xml:space="preserve">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 (a) Cost of LED-FM at $5,024.39 per unit, (b) maintenance cost of LED-FM per unit per year at $333.66, plus estimated 3% of unit cost for shipping. Above indicative FR will be purchase and maintenance of additional 287 LED-FM (out of total targeted 400 LED-FM units).
FULL cost assumptions in Annex 4.3A </t>
      </is>
    </nc>
  </rcc>
  <rfmt sheetId="5" sqref="S94:Y95">
    <dxf>
      <fill>
        <patternFill>
          <bgColor theme="0"/>
        </patternFill>
      </fill>
    </dxf>
  </rfmt>
  <rcc rId="53" sId="5">
    <oc r="S94" t="inlineStr">
      <is>
        <t>Expenses covered here are related cost for building the capability of 200 public hospitals and 400 private hospitals on DOTS provision. Three participants (Essentially representing the core team) for each hospital will undergo basic 4-day DOTS training and 15 (public) to 20 (private) hospital healthcare workers from each hospital will undergo 1-day Hospital-based DOTS Providers Training.  Around 36 batched of basic DOTS training and 260 batches of DOTS providers training will be conducted. Cost Assumptions are based on PBSP standard rates: Land transportation is pegged at USD 24 per pax, while air transpo for trainers is at USD 195/pax. Participants’ full board and lodging is as USD 51/pax/day. Training kits are pegged at USD 8/pax. Each hospital will also be supported in their 2-day operations planning in integrating DOTS services into the hospital which will be conducted with around 36 batches. All target hospitals will be engaged within 2 years. The 3rd year will essentially be monitoring performance of the hospitals and cost is under the M&amp;E Module.</t>
      </is>
    </oc>
    <nc r="S94" t="inlineStr">
      <is>
        <t>Expenses covered here are related cost for building the capability of 200 public hospitals and 400 private hospitals on DOTS provision. Three participants (Essentially representing the core team) for each hospital will undergo basic 4-day DOTS training and 15 (public) to 20 (private) hospital healthcare workers from each hospital will undergo 1-day Hospital-based DOTS Providers Training.  Around 36 batched of basic DOTS training and 260 batches of DOTS providers training will be conducted. Cost Assumptions are based on PBSP standard rates: Land transportation is pegged at USD 24 per pax, while air transpo for trainers is at USD 195/pax. Participants’ full board and lodging is as USD 51/pax/day. Training kits are pegged at USD 8/pax. Each hospital will also be supported in their 2-day operations planning in integrating DOTS services into the hospital which will be conducted with around 36 batches. All target hospitals will be engaged within 2 years. The 3rd year will essentially be monitoring performance of the hospitals and cost is under the M&amp;E Module.
FULL cost assumptions in Annex 4.3A</t>
      </is>
    </nc>
  </rcc>
  <rfmt sheetId="5" sqref="S98:Y99">
    <dxf>
      <fill>
        <patternFill>
          <bgColor theme="0"/>
        </patternFill>
      </fill>
    </dxf>
  </rfmt>
  <rcc rId="54" sId="5">
    <oc r="S98" t="inlineStr">
      <is>
        <t>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$457.32 per month for 30 months (2.5 years only as 0.5 years will be recruitment anticipating delayed grant signing), and (b) logistics support per AIDER at $73.17 per month for 30 months. Key activities will be (a) case finding and case holding; (2) profiling of the poor municipalities, (b) development of guidelines, (c) recruitment and training of health AIDERS, (d) provision of logistics support, and (f) monitoring.</t>
      </is>
    </oc>
    <nc r="S98" t="inlineStr">
      <is>
        <t>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$457.32 per month for 30 months (2.5 years only as 0.5 years will be recruitment anticipating delayed grant signing), and (b) logistics support per AIDER at $73.17 per month for 30 months. Key activities will be (a) case finding and case holding; (2) profiling of the poor municipalities, (b) development of guidelines, (c) recruitment and training of health AIDERS, (d) provision of logistics support, and (f) monitoring.
FULL cost assumptions in Annex 4.3A</t>
      </is>
    </nc>
  </rcc>
  <rcc rId="55" sId="5">
    <oc r="S125" t="inlineStr">
      <is>
        <t>1) Case detection targets were based on WHO estimates
2) For number of MDRTB for screening: For every 6 suspects screened 1 turns out as MDR-TB. Thus, under the indicative budget, 9406 X 6 = 56,436 DRTB suspects for screening. Unit Cost for utilization per specimen are based on prevailing rates:
Gene expert cartridge is U$11.5
DSSM = U$5
Blood Chem= U$70
X-ray = U$5
Cost of Gene Expert machine = 123 units X U$19200
3) 30% of screened suspects will undergo TB culture and DST
TB Culture = U$23
DST= U$16
4) Cost assumptions for service fees per laboratory test were based on existing lab. cost
5) Additional 3,804 patients for case detection on top of the 9,406 as above indicative target. The same will use the same cost assumptions as reflected in #2 and 3.
5) Manpower augmentation at the laboratories comprises of 54 medical technologies and 30 laboratory aides. Total HR cost at U$1.4M for 3 years</t>
      </is>
    </oc>
    <nc r="S125" t="inlineStr">
      <is>
        <t>1) Case detection targets were based on WHO estimates
2) For number of MDRTB for screening: For every 6 suspects screened 1 turns out as MDR-TB. Thus, under the indicative budget, 9406 X 6 = 56,436 DRTB suspects for screening. Unit Cost for utilization per specimen are based on prevailing rates:
Gene expert cartridge is U$11.5
DSSM = U$5
Blood Chem= U$70
X-ray = U$5
Cost of Gene Expert machine = 123 units X U$19200
3) 30% of screened suspects will undergo TB culture and DST
TB Culture = U$23
DST= U$16
4) Cost assumptions for service fees per laboratory test were based on existing lab. cost
5) Additional 3,804 patients for case detection on top of the 9,406 as above indicative target. The same will use the same cost assumptions as reflected in #2 and 3.
5) Manpower augmentation at the laboratories comprises of 54 medical technologists and 30 laboratory aides following standard rates of the facility. Total HR cost at U$1.4M for 3 years
FULL cost assumptions in Annex 4.3B</t>
      </is>
    </nc>
  </rcc>
  <rcc rId="56" sId="5">
    <oc r="S129" t="inlineStr">
      <is>
        <t xml:space="preserve">1)100% of cases detected should be put on treatment
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3) Health and non-health equipment for 15 expansion sites is @ U$3500 per site.
4) Patient enabler and other support is based on approved ceiling per Phase 2 grant. Cost for enabler is at U$750 per patient for the entire duration of the treatment.
5) For above indicative funding, additional 4960 patients for treatment and establishment of additional 15 satellite treatment center in the 2014-2016. The same unit costs applies as reflected in #2,3,4.
6) Manpower augmentation at the treatment facilities cost at U$3.2M for 3 years
</t>
      </is>
    </oc>
    <nc r="S129" t="inlineStr">
      <is>
        <t xml:space="preserve">1)100% of cases detected should be put on treatment
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3) Health and non-health equipment for 15 expansion sites is @ U$3500 per site.
4) Patient enabler and other support is based on approved ceiling per Phase 2 grant. Cost for enabler is at U$750 per patient for the entire duration of the treatment.
5) For above indicative funding, additional 4960 patients for treatment and establishment of additional 15 satellite treatment center in the 2014-2016. The same unit costs applies as reflected in #2,3,4.
6) Manpower augmentation at the treatment facilities cost at U$3.2M for 3 years. This includes MDs and RNs whose charging against project funds will reduce annually (Y1: 178, Y2:122, Y3:78) as they are absorbed by the LGU/Facilities.
FULL costing in Annex 4.3B
</t>
      </is>
    </nc>
  </rc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37:I140">
    <dxf>
      <alignment vertical="top" readingOrder="0"/>
    </dxf>
  </rfmt>
  <rfmt sheetId="5" sqref="A133:I136">
    <dxf>
      <alignment vertical="top" readingOrder="0"/>
    </dxf>
  </rfmt>
  <rfmt sheetId="5" sqref="A125:I128">
    <dxf>
      <alignment vertical="top" readingOrder="0"/>
    </dxf>
  </rfmt>
  <rcc rId="60" sId="5">
    <oc r="S137" t="inlineStr">
      <is>
        <t xml:space="preserve">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PMDT Training of Trainers = 50 participants X 5 days
Basic Course for Referring Physicians = 1500 participants X 1day
PMDT Training for Physician's and Nurses = 1500 participants X 5 days
PMDT Training for CHTs = 1500 participants X 1 day
PMDT Staff Training = 75 participants X 25 days
Training for Hospital Doctors= 150 participants X 3days
</t>
      </is>
    </oc>
    <nc r="S137" t="inlineStr">
      <is>
        <t>All related costs for capacity building/training activities are based on the following assumptions:
Meals&amp;Accommodations= U$49 per participant per day
Materials&amp;supplies= U$23 per participant per training
Land Transportation= U$23
Air Transportation = U$186
Using the above assumptions, the following trainings will be conducted with the corresponding number of participants:
PMDT Training of Trainers = 50 participants X 5 days
Basic Course for Referring Physicians = 1500 participants X 1day
PMDT Training for Physician's and Nurses = 1500 participants X 5 days
PMDT Training for CHTs = 1500 participants X 1 day
PMDT Staff Training = 75 participants X 25 days
Training for Hospital Doctors= 150 participants X 3days
FULL costing in Annex 4.3B</t>
      </is>
    </nc>
  </rc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41:I144">
    <dxf>
      <alignment vertical="top" readingOrder="0"/>
    </dxf>
  </rfmt>
  <rfmt sheetId="5" sqref="S141:Y144">
    <dxf>
      <alignment vertical="top" readingOrder="0"/>
    </dxf>
  </rfmt>
  <rcc rId="64" sId="5">
    <oc r="S141" t="inlineStr">
      <is>
        <t>Expenses covered herein the 3-day training for community health volunteers among the new PMDT TS that will be newly established. It estimated that each TS will have 1-3 CHVs and under the NFM, 3 batches of 50 CHV will be done to train a total of 150 PMDT CHVs to support TS. Costs Assumptions here USD 49/day/pax for meals USD 23/pax for land transportation and  USD 186/trainer for air transportation.</t>
      </is>
    </oc>
    <nc r="S141" t="inlineStr">
      <is>
        <t>Expenses covered herein the 3-day training for community health volunteers among the new PMDT TS that will be newly established. It estimated that each TS will have 1-3 CHVs and under the NFM, 3 batches of 50 CHV will be done to train a total of 150 PMDT CHVs to support TS. Costs Assumptions here USD 49/day/pax for meals USD 23/pax for land transportation and  USD 186/trainer for air transportation.
FULL costing in Annex 4.3B</t>
      </is>
    </nc>
  </rcc>
  <rcc rId="65" sId="5">
    <oc r="S172" t="inlineStr">
      <is>
        <t xml:space="preserve">Cost assumptions were based on prevailing rate of HIV individual test kit of $1.75 to screen 97, 910 registered TB patients of Cat A and B DOTS facilities and enrolled MDR TB Patients in all PMDT Facilities based on 2012 actual report and assumed a yearly 5% increment. Procurement of the 2/3 of the total number of HIV test Kits (1/3 will be care of DOH-NTP). Proposed cost will also cover for the training activities of the HIV Treatment Hubs staffs to be capacitated on TB management amongst PLHIV as well as HIV proficiency testing for 120 Medical Technologists both were based on historical costs implementing training activities. Provision of baseline HIV screening for those TB patients who resulted positive for HIV assumed at .05% of the target registered TB patients costed based on the prevailing rate of liver function test $48.78 per patient. There will be development and reproduction of TB-HIV specific IEC materials for
 500 TB and HIV facilities costed at the minimum of $121.95 based on historical reproduction of IEC TB materials.
Key activities inludes Cat A and B DOTS and all PMDT treamtent facilities' nurses and doctors capacitated to do Provider Initiated Counseling and Testing PICT. As well as Medical Technologists of TB laboratories will be capacitated to do rapid HIV testing among registered TB patients. HIV Treatment Hubs and Social Hygiene clinics will be trained to do TB screening among PLHIV and will refer TB symptomatics for GeneExpert testing. Categorization of areas were based from NEC's assessment on:
1.Size estimates of the Most At-Risk Population
2. Number of Newly Diagnosed HIV case
3.HIV Prevalence and Behavioral Risk Factors
and others. Cat A and B Areas are defined as highiest HIV cases and fastest transmission. 
</t>
      </is>
    </oc>
    <nc r="S172" t="inlineStr">
      <is>
        <t>Cost assumptions were based on prevailing rate of HIV individual test kit of $1.75 to screen 97, 910 registered TB patients of Cat A and B DOTS facilities and enrolled MDR TB Patients in all PMDT Facilities based on 2012 actual report and assumed a yearly 5% increment. Procurement of the 2/3 of the total number of HIV test Kits (1/3 will be care of DOH-NTP). Proposed cost will also cover for the training activities of the HIV Treatment Hubs staffs to be capacitated on TB management amongst PLHIV as well as HIV proficiency testing for 120 Medical Technologists both were based on historical costs implementing training activities. Provision of baseline HIV screening for those TB patients who resulted positive for HIV assumed at .05% of the target registered TB patients costed based on the prevailing rate of liver function test $48.78 per patient. There will be development and reproduction of TB-HIV specific IEC materials for
 500 TB and HIV facilities costed at the minimum of $121.95 based on historical reproduction of IEC TB materials.
Key activities inludes Cat A and B DOTS and all PMDT treamtent facilities' nurses and doctors capacitated to do Provider Initiated Counseling and Testing PICT. As well as Medical Technologists of TB laboratories will be capacitated to do rapid HIV testing among registered TB patients. HIV Treatment Hubs and Social Hygiene clinics will be trained to do TB screening among PLHIV and will refer TB symptomatics for GeneExpert testing. Categorization of areas were based from NEC's assessment on:
1.Size estimates of the Most At-Risk Population
2. Number of Newly Diagnosed HIV case
3.HIV Prevalence and Behavioral Risk Factors
and others. Cat A and B Areas are defined as highiest HIV cases and fastest transmission. 
FULL costing in Annex 4.3 C</t>
      </is>
    </nc>
  </rcc>
  <rcc rId="66" sId="5">
    <oc r="S176" t="inlineStr">
      <is>
        <t>Cost assumptions were based on the prevailing rates on conduct of meetings (venue, meals and transportation expenses)  include meetings and coordinations of both TB and HIV Programs for the collaborative interventions. There will be development of Cross-Referral System Workshops in consultation with the different key implementers. This referral mechanism will be anchored on the review of the different set-ups of the treament facilities. There will be capacity building of 20 HIV Treatment Hubs to adopt the TB Infection control of NTP.
Key activities are mostly coordination and dissemination of policies and updates on inter-program implementation. Also included is the development of IPT guideline</t>
      </is>
    </oc>
    <nc r="S176" t="inlineStr">
      <is>
        <t>Cost assumptions were based on the prevailing rates on conduct of meetings (venue, meals and transportation expenses)  include meetings and coordinations of both TB and HIV Programs for the collaborative interventions. There will be development of Cross-Referral System Workshops in consultation with the different key implementers. This referral mechanism will be anchored on the review of the different set-ups of the treament facilities. There will be capacity building of 20 HIV Treatment Hubs to adopt the TB Infection control of NTP.
Key activities are mostly coordination and dissemination of policies and updates on inter-program implementation. Also included is the development of IPT guideline.
FULL costing in Annex 4.3 C</t>
      </is>
    </nc>
  </rc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S199" guid="{00000000-0000-0000-0000-000000000000}" action="delete" alwaysShow="1" author="Qi Cui"/>
  <rcc rId="70" sId="5">
    <oc r="S199" t="inlineStr">
      <is>
        <t>This includes all routine monitoring and reporting done (warehouse, TC, STC monitoring; patient contact tracing; default tracing; home verification; and decentralization. If we assume cost of monitoring based on the number of patietns targeted at 9406 for 3 years, cost of monitoring per patient per year is at U$25.</t>
      </is>
    </oc>
    <nc r="S199" t="inlineStr">
      <is>
        <t>Drug Warehouse monthly monitoring by 2 staff @ USD40/visit; monthly monitoring of all TxC by 3 staff @ USD 20/person/visit; quarterly monitoring of STCs by 3 staff @ USD20/person/visit; contact tracing @ USD 5/contact; bi monthly patient home verification, patient decentralization and default tracing by 2 staff @ USD 30/staff/activity.
FULL costing in Annex 4.3 B under M&amp;E</t>
      </is>
    </nc>
  </rcc>
  <rfmt sheetId="5" sqref="A199:I202">
    <dxf>
      <alignment vertical="top" readingOrder="0"/>
    </dxf>
  </rfmt>
  <rfmt sheetId="5" sqref="A203:I206">
    <dxf>
      <alignment vertical="top" readingOrder="0"/>
    </dxf>
  </rfmt>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 sId="5">
    <oc r="D203" t="inlineStr">
      <is>
        <t>Relative to the implementation of the Hospital-based DOTS Initiative is the need to capture data of TB cases detected and treated by hospitals. While the NTP requires quarterly submssion of the reports, there is a need for project to support collection and improvement of recording and reporting systems among participating public and private hospitals.</t>
      </is>
    </oc>
    <nc r="D203" t="inlineStr">
      <is>
        <t>Relative to the implementation of the Hospital-based DOTS Initiative is the need to capture data of TB cases detected and treated by hospitals. While the NTP requires quarterly submssion of the reports, there is a need for project to support collection and improvement of recording and reporting systems among participating public and private hospitals. Based on the previous grant, this is implemented successfully and more cost-efficiently with the annual Project Impmenetation Review (PIR)</t>
      </is>
    </nc>
  </rcc>
  <rcc rId="75" sId="5">
    <oc r="S203" t="inlineStr">
      <is>
        <t>Unit cost used in this  cost assumptions were based from the previous approved grant. Key activities are: Initial hospital management to do rapid self assessment, Referral systems strengthening to monitor performance of each engaged hospitals and to do mentoring and coaching. Project Performance Review, will be the venue to consolidate challenges and implementation gaps, with the aim to come up with a strategic plan to address gaps and improve implementation.</t>
      </is>
    </oc>
    <nc r="S203" t="inlineStr">
      <is>
        <t>Unit cost used in this  cost assumptions were based from the previous approved grant. Key activities are: Initial hospital management to do rapid self assessment, Referral systems strengthening to monitor performance of each engaged hospitals and to do mentoring and coaching. Project Performance Review, will be the venue to consolidate challenges and implementation gaps, with the aim to come up with a strategic plan to address gaps and improve implementation. Year 1 PIR will be attended by 100 public and 200 private hospitals, while in Y2 and Y3, 200 and 400 hospitals will be attending respectively. The PIRs will be done by island regions, usually for 3 days. The cost for each participant is usually at USD 277.
FULL costing in Annex 4.3C</t>
      </is>
    </nc>
  </rcc>
  <rcc rId="76" sId="5">
    <oc r="D207" t="inlineStr">
      <is>
        <t>Includes PMDT-related studies on Home-based PMDT, Enabler Functionality, Shorter treatment duration and defaulter profiling</t>
      </is>
    </oc>
    <nc r="D207" t="inlineStr">
      <is>
        <t>To help further improve the PMDT approach in the country, PMDT-related studies will be comissioned to look into topics relating to: 
1. Community-Based/Home-based care for PMDT
2 Enabler Functionality
3. Sustainability Models for PMDT facilities and 
4. Efective models for reducing default</t>
      </is>
    </nc>
  </rcc>
  <rcc rId="77" sId="5">
    <oc r="S207" t="inlineStr">
      <is>
        <t>Home-based PMDT= U$24390
Enabler Functionality=U$24390
Defaulter Profiling = U$24390
Shorter Treatment Duration = U$24390</t>
      </is>
    </oc>
    <nc r="S207" t="inlineStr">
      <is>
        <t xml:space="preserve">These PMDT-related researches/ studies will be subcontracted through competitive bidding. The budget therefore was based similar commissioned contracts by PBSP in 2012. The pegged cost per study is around U$24,390, whereby 20-30% for professional fees, 50-60% for operating expenses conducting the research, 10-20% for production and dissemination of findings. 
</t>
      </is>
    </nc>
  </rcc>
  <rcmt sheetId="5" cell="S207" guid="{00000000-0000-0000-0000-000000000000}" action="delete" alwaysShow="1" author="Qi Cui"/>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5">
    <oc r="S211" t="inlineStr">
      <is>
        <t>PMDT Midyear = U$65000 per year
PMDT Annual Assessment = U$65000 per year 
GLC Visit= U$50000 per year</t>
      </is>
    </oc>
    <nc r="S211" t="inlineStr">
      <is>
        <t>Annually, PMDT conducts 3-day PIRS for both the clinics and laboratories. Cost per participant is at USD 277 covering meals and accommodation for the entire event.  Airfare is @ USD 150.  PMDT Clinic PIRS are usually attended by 200 people and 100 people for Lab PIRs. 
The cost for GLC annual fee is USD 50,000</t>
      </is>
    </nc>
  </rcc>
  <rcmt sheetId="5" cell="S215" guid="{00000000-0000-0000-0000-000000000000}" action="delete" alwaysShow="1" author="Qi Cui"/>
  <rcmt sheetId="5" cell="S219" guid="{00000000-0000-0000-0000-000000000000}" action="delete" alwaysShow="1" author="Qi Cui"/>
  <rcc rId="82" sId="5">
    <nc r="S219" t="inlineStr">
      <is>
        <t xml:space="preserve">Cost herein includes (1) hiring of 10 personnel to support development, piloting and conduct of training on IT IS during the roll-out and rates are aligned with their government employee counter-parts; (2) Procurement of server-related hardware to support the development and maintenance of the IT IS server and costs are based on canvass; (3) IT IS User’s manuals and briefers will also be produced @ USD 7; (4) monthly coaching and monitoring of end-users pegged @ USD 20/staff/day with logistics cost for air travel @ USD 150 and accommodations @USD 41/day. HR cost details can be seen in Annex 4.3D-HR for ITIS and cost details for 2-5 in Annex 4.3D-NHSS    </t>
      </is>
    </nc>
  </rcc>
  <rfmt sheetId="5" sqref="A211:C222">
    <dxf>
      <alignment vertical="top" readingOrder="0"/>
    </dxf>
  </rfmt>
  <rcc rId="83" sId="5">
    <oc r="Z219" t="inlineStr">
      <is>
        <t>GOP to support IT IS Training Roll-Out</t>
      </is>
    </oc>
    <nc r="Z219" t="inlineStr">
      <is>
        <t>The DOH-IMS will procure computers for all RHUs for use in DOH IS, inclduing the IT IS.</t>
      </is>
    </nc>
  </rc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23:C230">
    <dxf>
      <alignment vertical="top" readingOrder="0"/>
    </dxf>
  </rfmt>
  <rcc rId="87" sId="5">
    <oc r="S223" t="inlineStr">
      <is>
        <t xml:space="preserve">This reflects related cost in the conduct of  annual program Implementation review for TB-HIV Collaboration, participated by representatives from the PMDT facilities and HIV treatment facilities. </t>
      </is>
    </oc>
    <nc r="S223" t="inlineStr">
      <is>
        <t>This reflects related cost in the conduct of  annual program Implementation review for TB-HIV Collaboration, participated by representatives from the PMDT facilities and HIV treatment facilities. The budget covers for 100 participants and runs for 3 days and the average cost per participant is USD 160 for the  and those requiring airfare @ USD 150 round trip.
FULL costing is in Annex 4.3 C</t>
      </is>
    </nc>
  </rc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5">
    <oc r="S227" t="inlineStr">
      <is>
        <t>This pertains to the cost of the operations researches to be conducted under the TB-HIV module</t>
      </is>
    </oc>
    <nc r="S227" t="inlineStr">
      <is>
        <t>This pertains to the cost of the operations researches to be conducted under the TB-HIV module which will be subcontracted thorugh competitive bidding. The usual cost parameters wil be 20-30% for professional fees, 50-60% for operating expenses on the research and 10-20% for reproduction and dissemination of findings.
Full cost details in Annex 4.3 C</t>
      </is>
    </nc>
  </rcc>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5" cell="S250" guid="{00000000-0000-0000-0000-000000000000}" action="delete" alwaysShow="1" author="Qi Cui"/>
  <rcmt sheetId="5" cell="S258" guid="{00000000-0000-0000-0000-000000000000}" action="delete" alwaysShow="1" author="Qi Cui"/>
  <rcmt sheetId="5" cell="S254" guid="{00000000-0000-0000-0000-000000000000}" action="delete" alwaysShow="1" author="Qi Cui"/>
  <rcc rId="95" sId="5">
    <oc r="S254" t="inlineStr">
      <is>
        <t xml:space="preserve">Unit cost is based on current market rates/HR costing for project personnel under PR and its 4 SRs. It includes basic salary and statutory/foundation benefits acceptable under the grant. </t>
      </is>
    </oc>
    <nc r="S254"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number of technical staff and HR staff is slightly higher than the current grant due to the direct management of the 300 AIDERS. The PR also beefed up its finance and audit team due to the huge budget and expected transaction load and the need to ensure proper grant fund management. The PR will also support 23 core personnel of PBSP but will be compensated based on Level of Effort. The PR will also serve as fiduciary agent and will second personnel to LCP (4), IDO (8) and CHDs (17) to augment government personnel due to the scale-up operations of the NTP nationwide, particularly for PMDT and the deployment of 300 AIDERS.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t>
      </is>
    </nc>
  </rcc>
  <rfmt sheetId="5" sqref="A254:I257">
    <dxf>
      <alignment vertical="top" readingOrder="0"/>
    </dxf>
  </rfmt>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5">
    <oc r="S250" t="inlineStr">
      <is>
        <t>Unit cost used in this section follows the GF approved unit cost of the curent grant. Activities covered here includes routine meetings, mid and annual planning sessions and representations on related activities of the NTP and the other projects.</t>
      </is>
    </oc>
    <nc r="S250" t="inlineStr">
      <is>
        <t>4. PM Planning Coordination and Management. For the PR, costs included herein are (1) Technical Management Assistance budget for the NTP (on Org development, Logistics Management, Preparation for the National Prevalence Survey 2017, and Operations research) , SRs (on organizational systems strengthening based on results of SR assessment and audit) , NTRL (Laboratory Management). This is usually engagement of short term consultants with rates ranging from USD 100 – 240/day; (2) Cost of training for SRs (on PDIME, Risk Management, use of e-TRAMS, and Financial Management) PR staff development trainings related to function and limited international trainings for specialists; (3) Production of project collaterals like annual project reports, documentation of best practices and support to NTP communication activities; (4) Monthly SR financial and programmatic monitoring &amp; contract compliance monitoring, semi-annual internal audit reviews, OSDV costs and semi-annual project implementation reviews; (5) Commissioning of PR and SR annual external audit: (6) Conduct of special studies on sustainability and project technical needs;  (7) Planning and administration costs to include SR selection and orientation, annual project operations planning, bi-monthly operations meetings, quarterly PR-SR meetings, annual fixed assets registry monitoring &amp; updating, and other related expenses (Office supplies, gasoline and related transportation fees, legal, bank charges, etc.) and (8) overheads (internet and communication, freight and messenerial, office/ warehouse rental fees, reproduction costs, fixed assets insurances, security and maintenance). All cost units herein are based on actual cost. For the SRs, its essentially number 7 and 8. FULL details can be seen in Annex 4.3D – PR &amp; SR Costs.</t>
      </is>
    </nc>
  </rcc>
  <rfmt sheetId="5" sqref="A250:I253">
    <dxf>
      <alignment vertical="top" readingOrder="0"/>
    </dxf>
  </rfmt>
  <rcv guid="{721132AF-EF29-4C83-8A4A-F17ABB4BD7C0}" action="delete"/>
  <rdn rId="0" localSheetId="5" customView="1" name="Z_721132AF_EF29_4C83_8A4A_F17ABB4BD7C0_.wvu.PrintArea" hidden="1" oldHidden="1">
    <formula>'Concept Note'!$A$1:$AB$266</formula>
    <oldFormula>'Concept Note'!$A$1:$AB$266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58:I261">
    <dxf>
      <alignment vertical="top" readingOrder="0"/>
    </dxf>
  </rfmt>
  <rcc rId="103" sId="5">
    <oc r="S250" t="inlineStr">
      <is>
        <t>4. PM Planning Coordination and Management. For the PR, costs included herein are (1) Technical Management Assistance budget for the NTP (on Org development, Logistics Management, Preparation for the National Prevalence Survey 2017, and Operations research) , SRs (on organizational systems strengthening based on results of SR assessment and audit) , NTRL (Laboratory Management). This is usually engagement of short term consultants with rates ranging from USD 100 – 240/day; (2) Cost of training for SRs (on PDIME, Risk Management, use of e-TRAMS, and Financial Management) PR staff development trainings related to function and limited international trainings for specialists; (3) Production of project collaterals like annual project reports, documentation of best practices and support to NTP communication activities; (4) Monthly SR financial and programmatic monitoring &amp; contract compliance monitoring, semi-annual internal audit reviews, OSDV costs and semi-annual project implementation reviews; (5) Commissioning of PR and SR annual external audit: (6) Conduct of special studies on sustainability and project technical needs;  (7) Planning and administration costs to include SR selection and orientation, annual project operations planning, bi-monthly operations meetings, quarterly PR-SR meetings, annual fixed assets registry monitoring &amp; updating, and other related expenses (Office supplies, gasoline and related transportation fees, legal, bank charges, etc.) and (8) overheads (internet and communication, freight and messenerial, office/ warehouse rental fees, reproduction costs, fixed assets insurances, security and maintenance). All cost units herein are based on actual cost. For the SRs, its essentially number 7 and 8. FULL details can be seen in Annex 4.3D – PR &amp; SR Costs.</t>
      </is>
    </oc>
    <nc r="S250" t="inlineStr">
      <is>
        <t>4. PM Planning Coordination and Management. For the PR, costs included herein are (1) Technical Management Assistance budget for the NTP (on Org development, Logistics Management, Preparation for the National Prevalence Survey 2017, and Operations research) , SRs (on organizational systems strengthening based on results of SR assessment and audit) , NTRL (Laboratory Management). This is usually engagement of short term consultants with rates ranging from USD 100 – 240/day; (2) Cost of training for SRs (on PDIME, Risk Management, use of e-TRAMS, and Financial Management) PR staff development trainings related to function and limited international trainings for specialists; (3) Production of project collaterals like annual project reports, documentation of best practices and support to NTP communication activities; (4) Monthly SR financial and programmatic monitoring &amp; contract compliance monitoring, semi-annual internal audit reviews, OSDV costs and semi-annual project implementation reviews; (5) Commissioning of PR and SR annual external audit: (6) Conduct of special studies on sustainability and project technical needs;  (7) Planning and administration costs to include SR selection and orientation, annual project operations planning, bi-monthly operations meetings, quarterly PR-SR meetings, annual fixed assets registry monitoring &amp; updating, and other related expenses (Office supplies, gasoline and related transportation fees, legal, bank charges, etc.) and (8) overheads (internet and communication, freight and messenerial, office rental fees, reproduction costs, vehicle insurances, security and maintenance). All cost units herein are based on actual cost. For the SRs, its essentially number 7 and 8. FULL details can be seen in Annex 4.3D – PR &amp; SR Costs.</t>
      </is>
    </nc>
  </rcc>
  <rcc rId="104" sId="5">
    <oc r="S258" t="inlineStr">
      <is>
        <t>Unit cost of items included under this budget are based on curent rates for renovation, repair and maintenance of GF assets procured in the curerent grant and for the NFM.</t>
      </is>
    </oc>
    <nc r="S258" t="inlineStr">
      <is>
        <t>Expenses under this item essentially covers PR and SR costs for procurement of office equipments (for replacement and for new SRs) , office renovation and monthly repair budget. It also includes procurement related cost (warehousing fees, freight, fixed assets insurances). Cost details in Annex 4.3D-PR and SR</t>
      </is>
    </nc>
  </rcc>
  <rrc rId="105" sId="5" ref="A242:XFD242"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42:XFD242" start="0" length="0">
      <dxf>
        <font>
          <sz val="12"/>
        </font>
        <alignment horizontal="left" vertical="center" wrapText="1" readingOrder="0"/>
        <protection locked="0"/>
      </dxf>
    </rfmt>
    <rcc rId="0" sId="5" dxf="1">
      <nc r="A242">
        <f>IFERROR(INDIRECT(ADDRESS(AL242,5,1,TRUE,"Coverage ind")),"")</f>
      </nc>
      <ndxf>
        <font>
          <sz val="10"/>
          <color auto="1"/>
          <name val="Arial"/>
          <scheme val="none"/>
        </font>
        <border outline="0">
          <left style="thin">
            <color indexed="64"/>
          </left>
          <right style="dashed">
            <color indexed="64"/>
          </right>
          <top style="thin">
            <color indexed="64"/>
          </top>
        </border>
        <protection locked="1"/>
      </ndxf>
    </rcc>
    <rfmt sheetId="5" sqref="B242" start="0" length="0">
      <dxf>
        <font>
          <sz val="10"/>
          <color auto="1"/>
          <name val="Arial"/>
          <scheme val="none"/>
        </font>
        <border outline="0">
          <left style="dashed">
            <color indexed="64"/>
          </left>
          <right style="dashed">
            <color indexed="64"/>
          </right>
          <top style="thin">
            <color indexed="64"/>
          </top>
        </border>
        <protection locked="1"/>
      </dxf>
    </rfmt>
    <rfmt sheetId="5" sqref="C242" start="0" length="0">
      <dxf>
        <font>
          <sz val="10"/>
          <color auto="1"/>
          <name val="Arial"/>
          <scheme val="none"/>
        </font>
        <border outline="0">
          <left style="dashed">
            <color indexed="64"/>
          </left>
          <right style="dashed">
            <color indexed="64"/>
          </right>
          <top style="thin">
            <color indexed="64"/>
          </top>
        </border>
        <protection locked="1"/>
      </dxf>
    </rfmt>
    <rcc rId="0" sId="5" dxf="1">
      <nc r="D242">
        <f>Translations!$A$72</f>
      </nc>
      <ndxf>
        <font>
          <sz val="10"/>
          <color auto="1"/>
          <name val="Arial"/>
          <scheme val="none"/>
        </font>
        <alignment horizontal="center" readingOrder="0"/>
        <border outline="0">
          <left style="dashed">
            <color indexed="64"/>
          </left>
          <right style="dashed">
            <color indexed="64"/>
          </right>
          <top style="thin">
            <color indexed="64"/>
          </top>
        </border>
        <protection locked="1"/>
      </ndxf>
    </rcc>
    <rcc rId="0" sId="5" dxf="1">
      <nc r="E242">
        <f>Translations!$A$72</f>
      </nc>
      <ndxf>
        <font>
          <sz val="10"/>
          <color auto="1"/>
          <name val="Arial"/>
          <scheme val="none"/>
        </font>
        <alignment horizontal="center" readingOrder="0"/>
        <border outline="0">
          <left style="dashed">
            <color indexed="64"/>
          </left>
          <right style="dashed">
            <color indexed="64"/>
          </right>
          <top style="thin">
            <color indexed="64"/>
          </top>
        </border>
        <protection locked="1"/>
      </ndxf>
    </rcc>
    <rfmt sheetId="5" sqref="F242" start="0" length="0">
      <dxf>
        <font>
          <sz val="10"/>
          <color auto="1"/>
          <name val="Arial"/>
          <scheme val="none"/>
        </font>
        <alignment horizontal="center" readingOrder="0"/>
        <border outline="0">
          <left style="dashed">
            <color indexed="64"/>
          </left>
          <right style="dotted">
            <color indexed="64"/>
          </right>
          <top style="thin">
            <color indexed="64"/>
          </top>
        </border>
        <protection locked="1"/>
      </dxf>
    </rfmt>
    <rfmt sheetId="5" sqref="G242" start="0" length="0">
      <dxf>
        <font>
          <sz val="10"/>
          <color auto="1"/>
          <name val="Arial"/>
          <scheme val="none"/>
        </font>
        <alignment horizontal="center" readingOrder="0"/>
        <border outline="0">
          <left style="dotted">
            <color indexed="64"/>
          </left>
          <right style="dotted">
            <color indexed="64"/>
          </right>
          <top style="thin">
            <color indexed="64"/>
          </top>
        </border>
      </dxf>
    </rfmt>
    <rcc rId="0" sId="5" s="1" dxf="1">
      <nc r="H242">
        <f>IF($G244&lt;&gt;"",$G242/$G244,"")</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1" sqref="I242" start="0" length="0">
      <dxf>
        <font>
          <sz val="10"/>
          <color auto="1"/>
          <name val="Arial"/>
          <scheme val="none"/>
        </font>
        <numFmt numFmtId="1" formatCode="0"/>
        <alignment horizontal="center" readingOrder="0"/>
        <border outline="0">
          <left style="dotted">
            <color indexed="64"/>
          </left>
          <right style="dotted">
            <color indexed="64"/>
          </right>
          <top style="thin">
            <color indexed="64"/>
          </top>
        </border>
      </dxf>
    </rfmt>
    <rcc rId="0" sId="5" dxf="1">
      <nc r="J242">
        <f>Translations!$A$72</f>
      </nc>
      <ndxf>
        <font>
          <sz val="10"/>
          <color auto="1"/>
          <name val="Arial"/>
          <scheme val="none"/>
        </font>
        <alignment horizontal="center" readingOrder="0"/>
        <border outline="0">
          <left style="dotted">
            <color indexed="64"/>
          </left>
          <right style="dotted">
            <color indexed="64"/>
          </right>
          <top style="thin">
            <color indexed="64"/>
          </top>
        </border>
        <protection locked="1"/>
      </ndxf>
    </rcc>
    <rcc rId="0" sId="5" dxf="1">
      <nc r="K242">
        <f>Translations!$A$78</f>
      </nc>
      <ndxf>
        <font>
          <sz val="10"/>
          <color auto="1"/>
          <name val="Arial"/>
          <scheme val="none"/>
        </font>
        <fill>
          <patternFill patternType="solid">
            <bgColor theme="8" tint="0.79998168889431442"/>
          </patternFill>
        </fill>
        <alignment horizontal="center" readingOrder="0"/>
        <border outline="0">
          <left style="dotted">
            <color indexed="64"/>
          </left>
          <top style="thin">
            <color indexed="64"/>
          </top>
        </border>
        <protection locked="1"/>
      </ndxf>
    </rcc>
    <rfmt sheetId="5" sqref="L242" start="0" length="0">
      <dxf>
        <font>
          <sz val="10"/>
          <color auto="1"/>
          <name val="Arial"/>
          <scheme val="none"/>
        </font>
        <fill>
          <patternFill patternType="solid">
            <bgColor theme="8" tint="0.79998168889431442"/>
          </patternFill>
        </fill>
        <alignment horizontal="center" readingOrder="0"/>
        <border outline="0">
          <right style="dotted">
            <color indexed="64"/>
          </right>
          <top style="thin">
            <color indexed="64"/>
          </top>
        </border>
        <protection locked="1"/>
      </dxf>
    </rfmt>
    <rfmt sheetId="5" sqref="M242" start="0" length="0">
      <dxf>
        <font>
          <sz val="10"/>
          <color auto="1"/>
          <name val="Arial"/>
          <scheme val="none"/>
        </font>
        <numFmt numFmtId="3" formatCode="#,##0"/>
        <alignment horizontal="center" readingOrder="0"/>
        <border outline="0">
          <top style="thin">
            <color indexed="64"/>
          </top>
          <bottom style="dotted">
            <color indexed="64"/>
          </bottom>
        </border>
      </dxf>
    </rfmt>
    <rcc rId="0" sId="5" s="1" dxf="1">
      <nc r="N242">
        <f>IF(M243&lt;&gt;"",M242/M243,"")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O242" start="0" length="0">
      <dxf>
        <font>
          <sz val="10"/>
          <color auto="1"/>
          <name val="Arial"/>
          <scheme val="none"/>
        </font>
        <numFmt numFmtId="3" formatCode="#,##0"/>
        <alignment horizontal="center" readingOrder="0"/>
        <border outline="0">
          <left style="dotted">
            <color indexed="64"/>
          </left>
          <top style="thin">
            <color indexed="64"/>
          </top>
          <bottom style="dotted">
            <color indexed="64"/>
          </bottom>
        </border>
      </dxf>
    </rfmt>
    <rcc rId="0" sId="5" s="1" dxf="1">
      <nc r="P242">
        <f>IF(O243&lt;&gt;"",O242/O243,"")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Q242" start="0" length="0">
      <dxf>
        <font>
          <sz val="10"/>
          <color auto="1"/>
          <name val="Arial"/>
          <scheme val="none"/>
        </font>
        <numFmt numFmtId="3" formatCode="#,##0"/>
        <alignment horizontal="center" readingOrder="0"/>
        <border outline="0">
          <left style="dotted">
            <color indexed="64"/>
          </left>
          <top style="thin">
            <color indexed="64"/>
          </top>
          <bottom style="dotted">
            <color indexed="64"/>
          </bottom>
        </border>
      </dxf>
    </rfmt>
    <rcc rId="0" sId="5" s="1" dxf="1">
      <nc r="R242">
        <f>IF(Q243&lt;&gt;"",Q242/Q243,"")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S242" start="0" length="0">
      <dxf>
        <font>
          <sz val="10"/>
          <color auto="1"/>
          <name val="Arial"/>
          <scheme val="none"/>
        </font>
        <alignment horizontal="center" vertical="top" readingOrder="0"/>
        <border outline="0">
          <left style="thin">
            <color indexed="64"/>
          </left>
          <top style="thin">
            <color indexed="64"/>
          </top>
        </border>
      </dxf>
    </rfmt>
    <rfmt sheetId="5" sqref="T242" start="0" length="0">
      <dxf>
        <font>
          <sz val="10"/>
          <color auto="1"/>
          <name val="Arial"/>
          <scheme val="none"/>
        </font>
        <alignment horizontal="center" vertical="top" readingOrder="0"/>
        <border outline="0">
          <top style="thin">
            <color indexed="64"/>
          </top>
        </border>
      </dxf>
    </rfmt>
    <rfmt sheetId="5" sqref="U242" start="0" length="0">
      <dxf>
        <font>
          <sz val="10"/>
          <color auto="1"/>
          <name val="Arial"/>
          <scheme val="none"/>
        </font>
        <alignment horizontal="center" vertical="top" readingOrder="0"/>
        <border outline="0">
          <top style="thin">
            <color indexed="64"/>
          </top>
        </border>
      </dxf>
    </rfmt>
    <rfmt sheetId="5" sqref="V242" start="0" length="0">
      <dxf>
        <font>
          <sz val="10"/>
          <color auto="1"/>
          <name val="Arial"/>
          <scheme val="none"/>
        </font>
        <alignment horizontal="center" vertical="top" readingOrder="0"/>
        <border outline="0">
          <top style="thin">
            <color indexed="64"/>
          </top>
        </border>
      </dxf>
    </rfmt>
    <rfmt sheetId="5" sqref="W242" start="0" length="0">
      <dxf>
        <font>
          <sz val="10"/>
          <color auto="1"/>
          <name val="Arial"/>
          <scheme val="none"/>
        </font>
        <alignment horizontal="center" vertical="top" readingOrder="0"/>
        <border outline="0">
          <top style="thin">
            <color indexed="64"/>
          </top>
        </border>
      </dxf>
    </rfmt>
    <rfmt sheetId="5" sqref="X242" start="0" length="0">
      <dxf>
        <font>
          <sz val="10"/>
          <color auto="1"/>
          <name val="Arial"/>
          <scheme val="none"/>
        </font>
        <alignment horizontal="center" vertical="top" readingOrder="0"/>
        <border outline="0">
          <top style="thin">
            <color indexed="64"/>
          </top>
        </border>
      </dxf>
    </rfmt>
    <rfmt sheetId="5" sqref="Y242" start="0" length="0">
      <dxf>
        <font>
          <sz val="10"/>
          <color auto="1"/>
          <name val="Arial"/>
          <scheme val="none"/>
        </font>
        <alignment horizontal="center" vertical="top" readingOrder="0"/>
        <border outline="0">
          <top style="thin">
            <color indexed="64"/>
          </top>
        </border>
      </dxf>
    </rfmt>
    <rfmt sheetId="5" sqref="Z242" start="0" length="0">
      <dxf>
        <font>
          <sz val="10"/>
          <color auto="1"/>
          <name val="Arial"/>
          <scheme val="none"/>
        </font>
        <alignment horizontal="center" vertical="top" readingOrder="0"/>
        <border outline="0">
          <top style="thin">
            <color indexed="64"/>
          </top>
        </border>
      </dxf>
    </rfmt>
    <rfmt sheetId="5" sqref="AA242" start="0" length="0">
      <dxf>
        <font>
          <sz val="10"/>
          <color auto="1"/>
          <name val="Arial"/>
          <scheme val="none"/>
        </font>
        <alignment horizontal="center" vertical="top" readingOrder="0"/>
        <border outline="0">
          <top style="thin">
            <color indexed="64"/>
          </top>
        </border>
      </dxf>
    </rfmt>
    <rfmt sheetId="5" sqref="AB242" start="0" length="0">
      <dxf>
        <font>
          <sz val="10"/>
          <color auto="1"/>
          <name val="Arial"/>
          <scheme val="none"/>
        </font>
        <alignment horizontal="center" vertical="top" readingOrder="0"/>
        <border outline="0">
          <right style="thin">
            <color indexed="64"/>
          </right>
          <top style="thin">
            <color indexed="64"/>
          </top>
        </border>
      </dxf>
    </rfmt>
    <rfmt sheetId="5" sqref="AC242"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242" start="0" length="0">
      <dxf>
        <font>
          <sz val="10"/>
          <color auto="1"/>
          <name val="Arial"/>
          <scheme val="none"/>
        </font>
        <numFmt numFmtId="30" formatCode="@"/>
        <fill>
          <patternFill patternType="solid">
            <bgColor theme="0"/>
          </patternFill>
        </fill>
        <alignment vertical="top" readingOrder="0"/>
      </dxf>
    </rfmt>
    <rfmt sheetId="5" sqref="AE242" start="0" length="0">
      <dxf>
        <font>
          <sz val="10"/>
          <color auto="1"/>
          <name val="Arial"/>
          <scheme val="none"/>
        </font>
        <numFmt numFmtId="30" formatCode="@"/>
        <fill>
          <patternFill patternType="solid">
            <bgColor theme="0"/>
          </patternFill>
        </fill>
        <alignment vertical="top" readingOrder="0"/>
      </dxf>
    </rfmt>
    <rfmt sheetId="5" sqref="AF242" start="0" length="0">
      <dxf>
        <font>
          <sz val="10"/>
          <color auto="1"/>
          <name val="Arial"/>
          <scheme val="none"/>
        </font>
        <numFmt numFmtId="30" formatCode="@"/>
        <fill>
          <patternFill patternType="solid">
            <bgColor theme="0"/>
          </patternFill>
        </fill>
        <alignment vertical="top" readingOrder="0"/>
      </dxf>
    </rfmt>
    <rfmt sheetId="5" sqref="AG242" start="0" length="0">
      <dxf>
        <font>
          <sz val="10"/>
          <color auto="1"/>
          <name val="Arial"/>
          <scheme val="none"/>
        </font>
        <numFmt numFmtId="30" formatCode="@"/>
        <fill>
          <patternFill patternType="solid">
            <bgColor theme="0"/>
          </patternFill>
        </fill>
        <alignment vertical="top" readingOrder="0"/>
      </dxf>
    </rfmt>
    <rfmt sheetId="5" sqref="AH242" start="0" length="0">
      <dxf>
        <font>
          <sz val="10"/>
          <color auto="1"/>
          <name val="Arial"/>
          <scheme val="none"/>
        </font>
        <numFmt numFmtId="30" formatCode="@"/>
        <fill>
          <patternFill patternType="solid">
            <bgColor theme="0"/>
          </patternFill>
        </fill>
        <alignment vertical="top" readingOrder="0"/>
      </dxf>
    </rfmt>
    <rfmt sheetId="5" sqref="AI242" start="0" length="0">
      <dxf>
        <font>
          <sz val="10"/>
          <color auto="1"/>
          <name val="Arial"/>
          <scheme val="none"/>
        </font>
        <numFmt numFmtId="30" formatCode="@"/>
        <fill>
          <patternFill patternType="solid">
            <bgColor theme="0"/>
          </patternFill>
        </fill>
        <alignment vertical="top" readingOrder="0"/>
      </dxf>
    </rfmt>
    <rcc rId="0" sId="5" dxf="1">
      <nc r="AJ242">
        <f>INDIRECT(ADDRESS(ROW()-1,COLUMN()))</f>
      </nc>
      <ndxf>
        <font>
          <sz val="10"/>
          <color auto="1"/>
          <name val="Arial"/>
          <scheme val="none"/>
        </font>
        <fill>
          <patternFill patternType="solid">
            <bgColor theme="0"/>
          </patternFill>
        </fill>
        <alignment horizontal="right" vertical="top" readingOrder="0"/>
      </ndxf>
    </rcc>
    <rcc rId="0" sId="5" dxf="1">
      <nc r="AK242">
        <f>INDIRECT(ADDRESS(ROW()-1,COLUMN()))</f>
      </nc>
      <ndxf>
        <font>
          <sz val="10"/>
          <color auto="1"/>
          <name val="Arial"/>
          <scheme val="none"/>
        </font>
        <fill>
          <patternFill patternType="solid">
            <bgColor theme="0"/>
          </patternFill>
        </fill>
        <alignment horizontal="right" vertical="top" readingOrder="0"/>
      </ndxf>
    </rcc>
    <rcc rId="0" sId="5" dxf="1">
      <nc r="AL242">
        <f>IFERROR(IF(INDIRECT(ADDRESS(ROW()-4,COLUMN()))+1&lt;=AJ242+AK242,INDIRECT(ADDRESS(ROW()-4,COLUMN()))+1,""),"")</f>
      </nc>
      <ndxf>
        <font>
          <sz val="10"/>
          <color auto="1"/>
          <name val="Arial"/>
          <scheme val="none"/>
        </font>
        <fill>
          <patternFill patternType="solid">
            <bgColor theme="0"/>
          </patternFill>
        </fill>
        <alignment horizontal="right" vertical="top" readingOrder="0"/>
      </ndxf>
    </rcc>
    <rcc rId="0" sId="5" dxf="1">
      <nc r="AM242">
        <f>INDIRECT(ADDRESS(ROW()-1,COLUMN()))</f>
      </nc>
      <ndxf>
        <fill>
          <patternFill patternType="solid">
            <bgColor theme="0"/>
          </patternFill>
        </fill>
        <alignment horizontal="general" readingOrder="0"/>
      </ndxf>
    </rcc>
    <rfmt sheetId="5" sqref="AN242" start="0" length="0">
      <dxf>
        <numFmt numFmtId="30" formatCode="@"/>
        <fill>
          <patternFill patternType="solid">
            <bgColor theme="0"/>
          </patternFill>
        </fill>
        <alignment vertical="top" readingOrder="0"/>
      </dxf>
    </rfmt>
    <rfmt sheetId="5" sqref="AO242" start="0" length="0">
      <dxf>
        <numFmt numFmtId="30" formatCode="@"/>
        <fill>
          <patternFill patternType="solid">
            <bgColor theme="0"/>
          </patternFill>
        </fill>
        <alignment vertical="top" readingOrder="0"/>
      </dxf>
    </rfmt>
    <rfmt sheetId="5" sqref="AP242" start="0" length="0">
      <dxf>
        <font>
          <sz val="10"/>
          <color auto="1"/>
          <name val="Arial"/>
          <scheme val="none"/>
        </font>
        <numFmt numFmtId="30" formatCode="@"/>
        <fill>
          <patternFill patternType="solid">
            <bgColor theme="0"/>
          </patternFill>
        </fill>
        <alignment vertical="top" readingOrder="0"/>
      </dxf>
    </rfmt>
    <rfmt sheetId="5" sqref="AQ242" start="0" length="0">
      <dxf>
        <font>
          <sz val="10"/>
          <color auto="1"/>
          <name val="Arial"/>
          <scheme val="none"/>
        </font>
        <numFmt numFmtId="30" formatCode="@"/>
        <fill>
          <patternFill patternType="solid">
            <bgColor theme="0"/>
          </patternFill>
        </fill>
        <alignment vertical="top" readingOrder="0"/>
      </dxf>
    </rfmt>
    <rfmt sheetId="5" sqref="AR242" start="0" length="0">
      <dxf>
        <font>
          <sz val="10"/>
          <color auto="1"/>
          <name val="Arial"/>
          <scheme val="none"/>
        </font>
        <numFmt numFmtId="30" formatCode="@"/>
        <fill>
          <patternFill patternType="solid">
            <bgColor theme="0"/>
          </patternFill>
        </fill>
        <alignment vertical="top" readingOrder="0"/>
      </dxf>
    </rfmt>
    <rfmt sheetId="5" sqref="AS242" start="0" length="0">
      <dxf>
        <font>
          <sz val="10"/>
          <color auto="1"/>
          <name val="Arial"/>
          <scheme val="none"/>
        </font>
        <numFmt numFmtId="30" formatCode="@"/>
        <fill>
          <patternFill patternType="solid">
            <bgColor theme="0"/>
          </patternFill>
        </fill>
        <alignment vertical="top" readingOrder="0"/>
      </dxf>
    </rfmt>
    <rfmt sheetId="5" sqref="AT242" start="0" length="0">
      <dxf>
        <font>
          <sz val="10"/>
          <color auto="1"/>
          <name val="Arial"/>
          <scheme val="none"/>
        </font>
        <numFmt numFmtId="30" formatCode="@"/>
        <fill>
          <patternFill patternType="solid">
            <bgColor theme="0"/>
          </patternFill>
        </fill>
        <alignment vertical="top" readingOrder="0"/>
      </dxf>
    </rfmt>
    <rfmt sheetId="5" sqref="AU242" start="0" length="0">
      <dxf>
        <font>
          <sz val="10"/>
          <color auto="1"/>
          <name val="Arial"/>
          <scheme val="none"/>
        </font>
        <numFmt numFmtId="30" formatCode="@"/>
        <fill>
          <patternFill patternType="solid">
            <bgColor theme="0"/>
          </patternFill>
        </fill>
        <alignment vertical="top" readingOrder="0"/>
      </dxf>
    </rfmt>
    <rfmt sheetId="5" sqref="AV242" start="0" length="0">
      <dxf>
        <font>
          <sz val="10"/>
          <color auto="1"/>
          <name val="Arial"/>
          <scheme val="none"/>
        </font>
        <numFmt numFmtId="30" formatCode="@"/>
        <fill>
          <patternFill patternType="solid">
            <bgColor theme="0"/>
          </patternFill>
        </fill>
        <alignment vertical="top" readingOrder="0"/>
      </dxf>
    </rfmt>
    <rfmt sheetId="5" sqref="AW242" start="0" length="0">
      <dxf>
        <fill>
          <patternFill patternType="solid">
            <bgColor theme="0"/>
          </patternFill>
        </fill>
      </dxf>
    </rfmt>
    <rfmt sheetId="5" sqref="AX242" start="0" length="0">
      <dxf>
        <fill>
          <patternFill patternType="solid">
            <bgColor theme="0"/>
          </patternFill>
        </fill>
      </dxf>
    </rfmt>
    <rfmt sheetId="5" sqref="AY242" start="0" length="0">
      <dxf>
        <fill>
          <patternFill patternType="solid">
            <bgColor theme="0"/>
          </patternFill>
        </fill>
      </dxf>
    </rfmt>
    <rfmt sheetId="5" sqref="AZ242" start="0" length="0">
      <dxf>
        <fill>
          <patternFill patternType="solid">
            <bgColor theme="0"/>
          </patternFill>
        </fill>
      </dxf>
    </rfmt>
    <rfmt sheetId="5" sqref="BA242" start="0" length="0">
      <dxf>
        <fill>
          <patternFill patternType="solid">
            <bgColor theme="0"/>
          </patternFill>
        </fill>
      </dxf>
    </rfmt>
    <rfmt sheetId="5" sqref="BB242" start="0" length="0">
      <dxf>
        <fill>
          <patternFill patternType="solid">
            <bgColor theme="0"/>
          </patternFill>
        </fill>
      </dxf>
    </rfmt>
    <rfmt sheetId="5" sqref="BC242" start="0" length="0">
      <dxf>
        <fill>
          <patternFill patternType="solid">
            <bgColor theme="0"/>
          </patternFill>
        </fill>
      </dxf>
    </rfmt>
  </rrc>
  <rrc rId="106" sId="5" ref="A242:XFD242"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42:XFD242" start="0" length="0">
      <dxf>
        <font>
          <sz val="12"/>
        </font>
        <alignment horizontal="left" vertical="center" wrapText="1" readingOrder="0"/>
        <protection locked="0"/>
      </dxf>
    </rfmt>
    <rfmt sheetId="5" sqref="A242" start="0" length="0">
      <dxf>
        <font>
          <sz val="10"/>
          <color auto="1"/>
          <name val="Arial"/>
          <scheme val="none"/>
        </font>
        <border outline="0">
          <left style="thin">
            <color indexed="64"/>
          </left>
          <right style="dashed">
            <color indexed="64"/>
          </right>
        </border>
        <protection locked="1"/>
      </dxf>
    </rfmt>
    <rfmt sheetId="5" sqref="B242" start="0" length="0">
      <dxf>
        <font>
          <sz val="10"/>
          <color auto="1"/>
          <name val="Arial"/>
          <scheme val="none"/>
        </font>
        <border outline="0">
          <left style="dashed">
            <color indexed="64"/>
          </left>
          <right style="dashed">
            <color indexed="64"/>
          </right>
        </border>
        <protection locked="1"/>
      </dxf>
    </rfmt>
    <rfmt sheetId="5" sqref="C242" start="0" length="0">
      <dxf>
        <font>
          <sz val="10"/>
          <color auto="1"/>
          <name val="Arial"/>
          <scheme val="none"/>
        </font>
        <border outline="0">
          <left style="dashed">
            <color indexed="64"/>
          </left>
          <right style="dashed">
            <color indexed="64"/>
          </right>
        </border>
        <protection locked="1"/>
      </dxf>
    </rfmt>
    <rfmt sheetId="5" sqref="D242" start="0" length="0">
      <dxf>
        <font>
          <sz val="10"/>
          <color auto="1"/>
          <name val="Arial"/>
          <scheme val="none"/>
        </font>
        <alignment horizontal="center" readingOrder="0"/>
        <border outline="0">
          <left style="dashed">
            <color indexed="64"/>
          </left>
          <right style="dashed">
            <color indexed="64"/>
          </right>
        </border>
        <protection locked="1"/>
      </dxf>
    </rfmt>
    <rfmt sheetId="5" sqref="E242" start="0" length="0">
      <dxf>
        <font>
          <sz val="10"/>
          <color auto="1"/>
          <name val="Arial"/>
          <scheme val="none"/>
        </font>
        <alignment horizontal="center" readingOrder="0"/>
        <border outline="0">
          <left style="dashed">
            <color indexed="64"/>
          </left>
          <right style="dashed">
            <color indexed="64"/>
          </right>
        </border>
        <protection locked="1"/>
      </dxf>
    </rfmt>
    <rfmt sheetId="5" sqref="F242" start="0" length="0">
      <dxf>
        <font>
          <sz val="10"/>
          <color auto="1"/>
          <name val="Arial"/>
          <scheme val="none"/>
        </font>
        <alignment horizontal="center" readingOrder="0"/>
        <border outline="0">
          <left style="dashed">
            <color indexed="64"/>
          </left>
          <right style="dotted">
            <color indexed="64"/>
          </right>
        </border>
        <protection locked="1"/>
      </dxf>
    </rfmt>
    <rfmt sheetId="5" sqref="G242" start="0" length="0">
      <dxf>
        <font>
          <sz val="10"/>
          <color auto="1"/>
          <name val="Arial"/>
          <scheme val="none"/>
        </font>
        <alignment horizontal="center" readingOrder="0"/>
        <border outline="0">
          <left style="dotted">
            <color indexed="64"/>
          </left>
          <right style="dotted">
            <color indexed="64"/>
          </right>
          <bottom style="thin">
            <color indexed="64"/>
          </bottom>
        </border>
      </dxf>
    </rfmt>
    <rfmt sheetId="5" s="1" sqref="H242" start="0" length="0">
      <dxf>
        <font>
          <sz val="10"/>
          <color auto="1"/>
          <name val="Arial"/>
          <scheme val="none"/>
        </font>
        <numFmt numFmtId="167" formatCode="0.0%"/>
        <alignment horizontal="center" readingOrder="0"/>
        <border outline="0">
          <left style="dotted">
            <color indexed="64"/>
          </left>
          <right style="dotted">
            <color indexed="64"/>
          </right>
        </border>
      </dxf>
    </rfmt>
    <rfmt sheetId="5" s="1" sqref="I242" start="0" length="0">
      <dxf>
        <font>
          <sz val="10"/>
          <color auto="1"/>
          <name val="Arial"/>
          <scheme val="none"/>
        </font>
        <numFmt numFmtId="1" formatCode="0"/>
        <alignment horizontal="center" readingOrder="0"/>
        <border outline="0">
          <left style="dotted">
            <color indexed="64"/>
          </left>
          <right style="dotted">
            <color indexed="64"/>
          </right>
        </border>
      </dxf>
    </rfmt>
    <rfmt sheetId="5" sqref="J242" start="0" length="0">
      <dxf>
        <font>
          <sz val="10"/>
          <color auto="1"/>
          <name val="Arial"/>
          <scheme val="none"/>
        </font>
        <alignment horizontal="center" readingOrder="0"/>
        <border outline="0">
          <left style="dotted">
            <color indexed="64"/>
          </left>
          <right style="dotted">
            <color indexed="64"/>
          </right>
        </border>
        <protection locked="1"/>
      </dxf>
    </rfmt>
    <rfmt sheetId="5" sqref="K242" start="0" length="0">
      <dxf>
        <font>
          <sz val="10"/>
          <color auto="1"/>
          <name val="Arial"/>
          <scheme val="none"/>
        </font>
        <fill>
          <patternFill patternType="solid">
            <bgColor theme="8" tint="0.79998168889431442"/>
          </patternFill>
        </fill>
        <alignment horizontal="center" readingOrder="0"/>
        <border outline="0">
          <left style="dotted">
            <color indexed="64"/>
          </left>
          <bottom style="dotted">
            <color indexed="64"/>
          </bottom>
        </border>
        <protection locked="1"/>
      </dxf>
    </rfmt>
    <rfmt sheetId="5" sqref="L242" start="0" length="0">
      <dxf>
        <font>
          <sz val="10"/>
          <color auto="1"/>
          <name val="Arial"/>
          <scheme val="none"/>
        </font>
        <fill>
          <patternFill patternType="solid">
            <bgColor theme="8" tint="0.79998168889431442"/>
          </patternFill>
        </fill>
        <alignment horizontal="center" readingOrder="0"/>
        <border outline="0">
          <right style="dotted">
            <color indexed="64"/>
          </right>
          <bottom style="dotted">
            <color indexed="64"/>
          </bottom>
        </border>
        <protection locked="1"/>
      </dxf>
    </rfmt>
    <rfmt sheetId="5" sqref="M242" start="0" length="0">
      <dxf>
        <font>
          <sz val="10"/>
          <color auto="1"/>
          <name val="Arial"/>
          <scheme val="none"/>
        </font>
        <numFmt numFmtId="3" formatCode="#,##0"/>
        <alignment horizontal="center" readingOrder="0"/>
        <border outline="0">
          <right style="dotted">
            <color indexed="64"/>
          </right>
          <top style="dotted">
            <color indexed="64"/>
          </top>
          <bottom style="thin">
            <color indexed="64"/>
          </bottom>
        </border>
      </dxf>
    </rfmt>
    <rfmt sheetId="5" s="1" sqref="N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O242"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P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Q242"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R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S242" start="0" length="0">
      <dxf>
        <font>
          <sz val="10"/>
          <color auto="1"/>
          <name val="Arial"/>
          <scheme val="none"/>
        </font>
        <alignment horizontal="center" vertical="top" readingOrder="0"/>
        <border outline="0">
          <left style="thin">
            <color indexed="64"/>
          </left>
        </border>
      </dxf>
    </rfmt>
    <rfmt sheetId="5" sqref="T242" start="0" length="0">
      <dxf>
        <font>
          <sz val="10"/>
          <color auto="1"/>
          <name val="Arial"/>
          <scheme val="none"/>
        </font>
        <alignment horizontal="center" vertical="top" readingOrder="0"/>
      </dxf>
    </rfmt>
    <rfmt sheetId="5" sqref="U242" start="0" length="0">
      <dxf>
        <font>
          <sz val="10"/>
          <color auto="1"/>
          <name val="Arial"/>
          <scheme val="none"/>
        </font>
        <alignment horizontal="center" vertical="top" readingOrder="0"/>
      </dxf>
    </rfmt>
    <rfmt sheetId="5" sqref="V242" start="0" length="0">
      <dxf>
        <font>
          <sz val="10"/>
          <color auto="1"/>
          <name val="Arial"/>
          <scheme val="none"/>
        </font>
        <alignment horizontal="center" vertical="top" readingOrder="0"/>
      </dxf>
    </rfmt>
    <rfmt sheetId="5" sqref="W242" start="0" length="0">
      <dxf>
        <font>
          <sz val="10"/>
          <color auto="1"/>
          <name val="Arial"/>
          <scheme val="none"/>
        </font>
        <alignment horizontal="center" vertical="top" readingOrder="0"/>
      </dxf>
    </rfmt>
    <rfmt sheetId="5" sqref="X242" start="0" length="0">
      <dxf>
        <font>
          <sz val="10"/>
          <color auto="1"/>
          <name val="Arial"/>
          <scheme val="none"/>
        </font>
        <alignment horizontal="center" vertical="top" readingOrder="0"/>
      </dxf>
    </rfmt>
    <rfmt sheetId="5" sqref="Y242" start="0" length="0">
      <dxf>
        <font>
          <sz val="10"/>
          <color auto="1"/>
          <name val="Arial"/>
          <scheme val="none"/>
        </font>
        <alignment horizontal="center" vertical="top" readingOrder="0"/>
      </dxf>
    </rfmt>
    <rfmt sheetId="5" sqref="Z242" start="0" length="0">
      <dxf>
        <font>
          <sz val="10"/>
          <color auto="1"/>
          <name val="Arial"/>
          <scheme val="none"/>
        </font>
        <alignment horizontal="center" vertical="top" readingOrder="0"/>
      </dxf>
    </rfmt>
    <rfmt sheetId="5" sqref="AA242" start="0" length="0">
      <dxf>
        <font>
          <sz val="10"/>
          <color auto="1"/>
          <name val="Arial"/>
          <scheme val="none"/>
        </font>
        <alignment horizontal="center" vertical="top" readingOrder="0"/>
      </dxf>
    </rfmt>
    <rfmt sheetId="5" sqref="AB242" start="0" length="0">
      <dxf>
        <font>
          <sz val="10"/>
          <color auto="1"/>
          <name val="Arial"/>
          <scheme val="none"/>
        </font>
        <alignment horizontal="center" vertical="top" readingOrder="0"/>
        <border outline="0">
          <right style="thin">
            <color indexed="64"/>
          </right>
        </border>
      </dxf>
    </rfmt>
    <rfmt sheetId="5" sqref="AC242"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242" start="0" length="0">
      <dxf>
        <font>
          <sz val="10"/>
          <color auto="1"/>
          <name val="Arial"/>
          <scheme val="none"/>
        </font>
        <numFmt numFmtId="30" formatCode="@"/>
        <fill>
          <patternFill patternType="solid">
            <bgColor theme="0"/>
          </patternFill>
        </fill>
        <alignment vertical="top" readingOrder="0"/>
      </dxf>
    </rfmt>
    <rfmt sheetId="5" sqref="AE242" start="0" length="0">
      <dxf>
        <font>
          <sz val="10"/>
          <color auto="1"/>
          <name val="Arial"/>
          <scheme val="none"/>
        </font>
        <numFmt numFmtId="30" formatCode="@"/>
        <fill>
          <patternFill patternType="solid">
            <bgColor theme="0"/>
          </patternFill>
        </fill>
        <alignment vertical="top" readingOrder="0"/>
      </dxf>
    </rfmt>
    <rfmt sheetId="5" sqref="AF242" start="0" length="0">
      <dxf>
        <font>
          <sz val="10"/>
          <color auto="1"/>
          <name val="Arial"/>
          <scheme val="none"/>
        </font>
        <numFmt numFmtId="30" formatCode="@"/>
        <fill>
          <patternFill patternType="solid">
            <bgColor theme="0"/>
          </patternFill>
        </fill>
        <alignment vertical="top" readingOrder="0"/>
      </dxf>
    </rfmt>
    <rfmt sheetId="5" sqref="AG242" start="0" length="0">
      <dxf>
        <font>
          <sz val="10"/>
          <color auto="1"/>
          <name val="Arial"/>
          <scheme val="none"/>
        </font>
        <numFmt numFmtId="30" formatCode="@"/>
        <fill>
          <patternFill patternType="solid">
            <bgColor theme="0"/>
          </patternFill>
        </fill>
        <alignment vertical="top" readingOrder="0"/>
      </dxf>
    </rfmt>
    <rfmt sheetId="5" sqref="AH242" start="0" length="0">
      <dxf>
        <font>
          <sz val="10"/>
          <color auto="1"/>
          <name val="Arial"/>
          <scheme val="none"/>
        </font>
        <numFmt numFmtId="30" formatCode="@"/>
        <fill>
          <patternFill patternType="solid">
            <bgColor theme="0"/>
          </patternFill>
        </fill>
        <alignment vertical="top" readingOrder="0"/>
      </dxf>
    </rfmt>
    <rfmt sheetId="5" sqref="AI242" start="0" length="0">
      <dxf>
        <font>
          <sz val="10"/>
          <color auto="1"/>
          <name val="Arial"/>
          <scheme val="none"/>
        </font>
        <numFmt numFmtId="30" formatCode="@"/>
        <fill>
          <patternFill patternType="solid">
            <bgColor theme="0"/>
          </patternFill>
        </fill>
        <alignment vertical="top" readingOrder="0"/>
      </dxf>
    </rfmt>
    <rcc rId="0" sId="5" dxf="1">
      <nc r="AJ242">
        <f>INDIRECT(ADDRESS(ROW()-1,COLUMN()))</f>
      </nc>
      <ndxf>
        <font>
          <sz val="10"/>
          <color auto="1"/>
          <name val="Arial"/>
          <scheme val="none"/>
        </font>
        <fill>
          <patternFill patternType="solid">
            <bgColor theme="0"/>
          </patternFill>
        </fill>
        <alignment horizontal="right" vertical="top" readingOrder="0"/>
      </ndxf>
    </rcc>
    <rcc rId="0" sId="5" dxf="1">
      <nc r="AK242">
        <f>INDIRECT(ADDRESS(ROW()-1,COLUMN()))</f>
      </nc>
      <ndxf>
        <font>
          <sz val="10"/>
          <color auto="1"/>
          <name val="Arial"/>
          <scheme val="none"/>
        </font>
        <fill>
          <patternFill patternType="solid">
            <bgColor theme="0"/>
          </patternFill>
        </fill>
        <alignment horizontal="right" vertical="top" readingOrder="0"/>
      </ndxf>
    </rcc>
    <rfmt sheetId="5" sqref="AL242" start="0" length="0">
      <dxf>
        <font>
          <sz val="10"/>
          <color auto="1"/>
          <name val="Arial"/>
          <scheme val="none"/>
        </font>
        <fill>
          <patternFill patternType="solid">
            <bgColor theme="0"/>
          </patternFill>
        </fill>
        <alignment horizontal="right" vertical="top" readingOrder="0"/>
      </dxf>
    </rfmt>
    <rcc rId="0" sId="5" dxf="1">
      <nc r="AM242">
        <f>INDIRECT(ADDRESS(ROW()-1,COLUMN()))</f>
      </nc>
      <ndxf>
        <fill>
          <patternFill patternType="solid">
            <bgColor theme="0"/>
          </patternFill>
        </fill>
        <alignment horizontal="general" readingOrder="0"/>
      </ndxf>
    </rcc>
    <rfmt sheetId="5" sqref="AN242" start="0" length="0">
      <dxf>
        <numFmt numFmtId="30" formatCode="@"/>
        <fill>
          <patternFill patternType="solid">
            <bgColor theme="0"/>
          </patternFill>
        </fill>
        <alignment vertical="top" readingOrder="0"/>
      </dxf>
    </rfmt>
    <rfmt sheetId="5" sqref="AO242" start="0" length="0">
      <dxf>
        <numFmt numFmtId="30" formatCode="@"/>
        <fill>
          <patternFill patternType="solid">
            <bgColor theme="0"/>
          </patternFill>
        </fill>
        <alignment vertical="top" readingOrder="0"/>
      </dxf>
    </rfmt>
    <rfmt sheetId="5" sqref="AP242" start="0" length="0">
      <dxf>
        <font>
          <sz val="10"/>
          <color auto="1"/>
          <name val="Arial"/>
          <scheme val="none"/>
        </font>
        <numFmt numFmtId="30" formatCode="@"/>
        <fill>
          <patternFill patternType="solid">
            <bgColor theme="0"/>
          </patternFill>
        </fill>
        <alignment vertical="top" readingOrder="0"/>
      </dxf>
    </rfmt>
    <rfmt sheetId="5" sqref="AQ242" start="0" length="0">
      <dxf>
        <font>
          <sz val="10"/>
          <color auto="1"/>
          <name val="Arial"/>
          <scheme val="none"/>
        </font>
        <numFmt numFmtId="30" formatCode="@"/>
        <fill>
          <patternFill patternType="solid">
            <bgColor theme="0"/>
          </patternFill>
        </fill>
        <alignment vertical="top" readingOrder="0"/>
      </dxf>
    </rfmt>
    <rfmt sheetId="5" sqref="AR242" start="0" length="0">
      <dxf>
        <font>
          <sz val="10"/>
          <color auto="1"/>
          <name val="Arial"/>
          <scheme val="none"/>
        </font>
        <numFmt numFmtId="30" formatCode="@"/>
        <fill>
          <patternFill patternType="solid">
            <bgColor theme="0"/>
          </patternFill>
        </fill>
        <alignment vertical="top" readingOrder="0"/>
      </dxf>
    </rfmt>
    <rfmt sheetId="5" sqref="AS242" start="0" length="0">
      <dxf>
        <font>
          <sz val="10"/>
          <color auto="1"/>
          <name val="Arial"/>
          <scheme val="none"/>
        </font>
        <numFmt numFmtId="30" formatCode="@"/>
        <fill>
          <patternFill patternType="solid">
            <bgColor theme="0"/>
          </patternFill>
        </fill>
        <alignment vertical="top" readingOrder="0"/>
      </dxf>
    </rfmt>
    <rfmt sheetId="5" sqref="AT242" start="0" length="0">
      <dxf>
        <font>
          <sz val="10"/>
          <color auto="1"/>
          <name val="Arial"/>
          <scheme val="none"/>
        </font>
        <numFmt numFmtId="30" formatCode="@"/>
        <fill>
          <patternFill patternType="solid">
            <bgColor theme="0"/>
          </patternFill>
        </fill>
        <alignment vertical="top" readingOrder="0"/>
      </dxf>
    </rfmt>
    <rfmt sheetId="5" sqref="AU242" start="0" length="0">
      <dxf>
        <font>
          <sz val="10"/>
          <color auto="1"/>
          <name val="Arial"/>
          <scheme val="none"/>
        </font>
        <numFmt numFmtId="30" formatCode="@"/>
        <fill>
          <patternFill patternType="solid">
            <bgColor theme="0"/>
          </patternFill>
        </fill>
        <alignment vertical="top" readingOrder="0"/>
      </dxf>
    </rfmt>
    <rfmt sheetId="5" sqref="AV242" start="0" length="0">
      <dxf>
        <font>
          <sz val="10"/>
          <color auto="1"/>
          <name val="Arial"/>
          <scheme val="none"/>
        </font>
        <numFmt numFmtId="30" formatCode="@"/>
        <fill>
          <patternFill patternType="solid">
            <bgColor theme="0"/>
          </patternFill>
        </fill>
        <alignment vertical="top" readingOrder="0"/>
      </dxf>
    </rfmt>
    <rfmt sheetId="5" sqref="AW242" start="0" length="0">
      <dxf>
        <fill>
          <patternFill patternType="solid">
            <bgColor theme="0"/>
          </patternFill>
        </fill>
      </dxf>
    </rfmt>
    <rfmt sheetId="5" sqref="AX242" start="0" length="0">
      <dxf>
        <fill>
          <patternFill patternType="solid">
            <bgColor theme="0"/>
          </patternFill>
        </fill>
      </dxf>
    </rfmt>
    <rfmt sheetId="5" sqref="AY242" start="0" length="0">
      <dxf>
        <fill>
          <patternFill patternType="solid">
            <bgColor theme="0"/>
          </patternFill>
        </fill>
      </dxf>
    </rfmt>
    <rfmt sheetId="5" sqref="AZ242" start="0" length="0">
      <dxf>
        <fill>
          <patternFill patternType="solid">
            <bgColor theme="0"/>
          </patternFill>
        </fill>
      </dxf>
    </rfmt>
    <rfmt sheetId="5" sqref="BA242" start="0" length="0">
      <dxf>
        <fill>
          <patternFill patternType="solid">
            <bgColor theme="0"/>
          </patternFill>
        </fill>
      </dxf>
    </rfmt>
    <rfmt sheetId="5" sqref="BB242" start="0" length="0">
      <dxf>
        <fill>
          <patternFill patternType="solid">
            <bgColor theme="0"/>
          </patternFill>
        </fill>
      </dxf>
    </rfmt>
    <rfmt sheetId="5" sqref="BC242" start="0" length="0">
      <dxf>
        <fill>
          <patternFill patternType="solid">
            <bgColor theme="0"/>
          </patternFill>
        </fill>
      </dxf>
    </rfmt>
  </rrc>
  <rrc rId="107" sId="5" ref="A242:XFD242"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42:XFD242" start="0" length="0">
      <dxf>
        <font>
          <sz val="12"/>
        </font>
        <alignment horizontal="left" vertical="center" wrapText="1" readingOrder="0"/>
        <protection locked="0"/>
      </dxf>
    </rfmt>
    <rfmt sheetId="5" sqref="A242" start="0" length="0">
      <dxf>
        <font>
          <sz val="10"/>
          <color auto="1"/>
          <name val="Arial"/>
          <scheme val="none"/>
        </font>
        <border outline="0">
          <left style="thin">
            <color indexed="64"/>
          </left>
          <right style="dashed">
            <color indexed="64"/>
          </right>
        </border>
        <protection locked="1"/>
      </dxf>
    </rfmt>
    <rfmt sheetId="5" sqref="B242" start="0" length="0">
      <dxf>
        <font>
          <sz val="10"/>
          <color auto="1"/>
          <name val="Arial"/>
          <scheme val="none"/>
        </font>
        <border outline="0">
          <left style="dashed">
            <color indexed="64"/>
          </left>
          <right style="dashed">
            <color indexed="64"/>
          </right>
        </border>
        <protection locked="1"/>
      </dxf>
    </rfmt>
    <rfmt sheetId="5" sqref="C242" start="0" length="0">
      <dxf>
        <font>
          <sz val="10"/>
          <color auto="1"/>
          <name val="Arial"/>
          <scheme val="none"/>
        </font>
        <border outline="0">
          <left style="dashed">
            <color indexed="64"/>
          </left>
          <right style="dashed">
            <color indexed="64"/>
          </right>
        </border>
        <protection locked="1"/>
      </dxf>
    </rfmt>
    <rfmt sheetId="5" sqref="D242" start="0" length="0">
      <dxf>
        <font>
          <sz val="10"/>
          <color auto="1"/>
          <name val="Arial"/>
          <scheme val="none"/>
        </font>
        <alignment horizontal="center" readingOrder="0"/>
        <border outline="0">
          <left style="dashed">
            <color indexed="64"/>
          </left>
          <right style="dashed">
            <color indexed="64"/>
          </right>
        </border>
        <protection locked="1"/>
      </dxf>
    </rfmt>
    <rfmt sheetId="5" sqref="E242" start="0" length="0">
      <dxf>
        <font>
          <sz val="10"/>
          <color auto="1"/>
          <name val="Arial"/>
          <scheme val="none"/>
        </font>
        <alignment horizontal="center" readingOrder="0"/>
        <border outline="0">
          <left style="dashed">
            <color indexed="64"/>
          </left>
          <right style="dashed">
            <color indexed="64"/>
          </right>
        </border>
        <protection locked="1"/>
      </dxf>
    </rfmt>
    <rfmt sheetId="5" sqref="F242" start="0" length="0">
      <dxf>
        <font>
          <sz val="10"/>
          <color auto="1"/>
          <name val="Arial"/>
          <scheme val="none"/>
        </font>
        <alignment horizontal="center" readingOrder="0"/>
        <border outline="0">
          <left style="dashed">
            <color indexed="64"/>
          </left>
          <right style="dotted">
            <color indexed="64"/>
          </right>
        </border>
        <protection locked="1"/>
      </dxf>
    </rfmt>
    <rfmt sheetId="5" sqref="G242" start="0" length="0">
      <dxf>
        <font>
          <sz val="10"/>
          <color auto="1"/>
          <name val="Arial"/>
          <scheme val="none"/>
        </font>
        <alignment horizontal="center" readingOrder="0"/>
        <border outline="0">
          <left style="dotted">
            <color indexed="64"/>
          </left>
          <right style="dotted">
            <color indexed="64"/>
          </right>
          <top style="thin">
            <color indexed="64"/>
          </top>
        </border>
      </dxf>
    </rfmt>
    <rfmt sheetId="5" s="1" sqref="H242" start="0" length="0">
      <dxf>
        <font>
          <sz val="10"/>
          <color auto="1"/>
          <name val="Arial"/>
          <scheme val="none"/>
        </font>
        <numFmt numFmtId="167" formatCode="0.0%"/>
        <alignment horizontal="center" readingOrder="0"/>
        <border outline="0">
          <left style="dotted">
            <color indexed="64"/>
          </left>
          <right style="dotted">
            <color indexed="64"/>
          </right>
        </border>
      </dxf>
    </rfmt>
    <rfmt sheetId="5" s="1" sqref="I242" start="0" length="0">
      <dxf>
        <font>
          <sz val="10"/>
          <color auto="1"/>
          <name val="Arial"/>
          <scheme val="none"/>
        </font>
        <numFmt numFmtId="1" formatCode="0"/>
        <alignment horizontal="center" readingOrder="0"/>
        <border outline="0">
          <left style="dotted">
            <color indexed="64"/>
          </left>
          <right style="dotted">
            <color indexed="64"/>
          </right>
        </border>
      </dxf>
    </rfmt>
    <rfmt sheetId="5" sqref="J242" start="0" length="0">
      <dxf>
        <font>
          <sz val="10"/>
          <color auto="1"/>
          <name val="Arial"/>
          <scheme val="none"/>
        </font>
        <alignment horizontal="center" readingOrder="0"/>
        <border outline="0">
          <left style="dotted">
            <color indexed="64"/>
          </left>
          <right style="dotted">
            <color indexed="64"/>
          </right>
        </border>
        <protection locked="1"/>
      </dxf>
    </rfmt>
    <rcc rId="0" sId="5" dxf="1">
      <nc r="K242">
        <f>Translations!$A$79</f>
      </nc>
      <ndxf>
        <font>
          <sz val="10"/>
          <color auto="1"/>
          <name val="Arial"/>
          <scheme val="none"/>
        </font>
        <fill>
          <patternFill patternType="solid">
            <bgColor theme="8" tint="0.79998168889431442"/>
          </patternFill>
        </fill>
        <alignment horizontal="center" readingOrder="0"/>
        <border outline="0">
          <left style="dotted">
            <color indexed="64"/>
          </left>
          <top style="dotted">
            <color indexed="64"/>
          </top>
        </border>
        <protection locked="1"/>
      </ndxf>
    </rcc>
    <rfmt sheetId="5" sqref="L242" start="0" length="0">
      <dxf>
        <font>
          <sz val="10"/>
          <color auto="1"/>
          <name val="Arial"/>
          <scheme val="none"/>
        </font>
        <fill>
          <patternFill patternType="solid">
            <bgColor theme="8" tint="0.79998168889431442"/>
          </patternFill>
        </fill>
        <alignment horizontal="center" readingOrder="0"/>
        <border outline="0">
          <right style="dotted">
            <color indexed="64"/>
          </right>
          <top style="dotted">
            <color indexed="64"/>
          </top>
        </border>
        <protection locked="1"/>
      </dxf>
    </rfmt>
    <rfmt sheetId="5" sqref="M242" start="0" length="0">
      <dxf>
        <font>
          <sz val="10"/>
          <color auto="1"/>
          <name val="Arial"/>
          <scheme val="none"/>
        </font>
        <numFmt numFmtId="3" formatCode="#,##0"/>
        <alignment horizontal="center" readingOrder="0"/>
        <border outline="0">
          <top style="thin">
            <color indexed="64"/>
          </top>
          <bottom style="dotted">
            <color indexed="64"/>
          </bottom>
        </border>
      </dxf>
    </rfmt>
    <rcc rId="0" sId="5" s="1" dxf="1">
      <nc r="N242">
        <f>IF(M243&lt;&gt;"",M242/M243,"")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O242" start="0" length="0">
      <dxf>
        <font>
          <sz val="10"/>
          <color auto="1"/>
          <name val="Arial"/>
          <scheme val="none"/>
        </font>
        <numFmt numFmtId="3" formatCode="#,##0"/>
        <alignment horizontal="center" readingOrder="0"/>
        <border outline="0">
          <left style="dotted">
            <color indexed="64"/>
          </left>
          <top style="thin">
            <color indexed="64"/>
          </top>
          <bottom style="dotted">
            <color indexed="64"/>
          </bottom>
        </border>
      </dxf>
    </rfmt>
    <rcc rId="0" sId="5" s="1" dxf="1">
      <nc r="P242">
        <f>IF(O243&lt;&gt;"",O242/O243,"")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Q242" start="0" length="0">
      <dxf>
        <font>
          <sz val="10"/>
          <color auto="1"/>
          <name val="Arial"/>
          <scheme val="none"/>
        </font>
        <numFmt numFmtId="3" formatCode="#,##0"/>
        <alignment horizontal="center" readingOrder="0"/>
        <border outline="0">
          <left style="dotted">
            <color indexed="64"/>
          </left>
          <top style="thin">
            <color indexed="64"/>
          </top>
          <bottom style="dotted">
            <color indexed="64"/>
          </bottom>
        </border>
      </dxf>
    </rfmt>
    <rcc rId="0" sId="5" s="1" dxf="1">
      <nc r="R242">
        <f>IF(Q243&lt;&gt;"",Q242/Q243,"")</f>
      </nc>
      <ndxf>
        <font>
          <sz val="10"/>
          <color auto="1"/>
          <name val="Arial"/>
          <scheme val="none"/>
        </font>
        <numFmt numFmtId="167" formatCode="0.0%"/>
        <alignment horizontal="center" readingOrder="0"/>
        <border outline="0">
          <left style="dotted">
            <color indexed="64"/>
          </left>
          <right style="dotted">
            <color indexed="64"/>
          </right>
          <top style="thin">
            <color indexed="64"/>
          </top>
        </border>
      </ndxf>
    </rcc>
    <rfmt sheetId="5" sqref="S242" start="0" length="0">
      <dxf>
        <font>
          <sz val="10"/>
          <color auto="1"/>
          <name val="Arial"/>
          <scheme val="none"/>
        </font>
        <alignment horizontal="center" vertical="top" readingOrder="0"/>
        <border outline="0">
          <left style="thin">
            <color indexed="64"/>
          </left>
        </border>
      </dxf>
    </rfmt>
    <rfmt sheetId="5" sqref="T242" start="0" length="0">
      <dxf>
        <font>
          <sz val="10"/>
          <color auto="1"/>
          <name val="Arial"/>
          <scheme val="none"/>
        </font>
        <alignment horizontal="center" vertical="top" readingOrder="0"/>
      </dxf>
    </rfmt>
    <rfmt sheetId="5" sqref="U242" start="0" length="0">
      <dxf>
        <font>
          <sz val="10"/>
          <color auto="1"/>
          <name val="Arial"/>
          <scheme val="none"/>
        </font>
        <alignment horizontal="center" vertical="top" readingOrder="0"/>
      </dxf>
    </rfmt>
    <rfmt sheetId="5" sqref="V242" start="0" length="0">
      <dxf>
        <font>
          <sz val="10"/>
          <color auto="1"/>
          <name val="Arial"/>
          <scheme val="none"/>
        </font>
        <alignment horizontal="center" vertical="top" readingOrder="0"/>
      </dxf>
    </rfmt>
    <rfmt sheetId="5" sqref="W242" start="0" length="0">
      <dxf>
        <font>
          <sz val="10"/>
          <color auto="1"/>
          <name val="Arial"/>
          <scheme val="none"/>
        </font>
        <alignment horizontal="center" vertical="top" readingOrder="0"/>
      </dxf>
    </rfmt>
    <rfmt sheetId="5" sqref="X242" start="0" length="0">
      <dxf>
        <font>
          <sz val="10"/>
          <color auto="1"/>
          <name val="Arial"/>
          <scheme val="none"/>
        </font>
        <alignment horizontal="center" vertical="top" readingOrder="0"/>
      </dxf>
    </rfmt>
    <rfmt sheetId="5" sqref="Y242" start="0" length="0">
      <dxf>
        <font>
          <sz val="10"/>
          <color auto="1"/>
          <name val="Arial"/>
          <scheme val="none"/>
        </font>
        <alignment horizontal="center" vertical="top" readingOrder="0"/>
      </dxf>
    </rfmt>
    <rfmt sheetId="5" sqref="Z242" start="0" length="0">
      <dxf>
        <font>
          <sz val="10"/>
          <color auto="1"/>
          <name val="Arial"/>
          <scheme val="none"/>
        </font>
        <alignment horizontal="center" vertical="top" readingOrder="0"/>
      </dxf>
    </rfmt>
    <rfmt sheetId="5" sqref="AA242" start="0" length="0">
      <dxf>
        <font>
          <sz val="10"/>
          <color auto="1"/>
          <name val="Arial"/>
          <scheme val="none"/>
        </font>
        <alignment horizontal="center" vertical="top" readingOrder="0"/>
      </dxf>
    </rfmt>
    <rfmt sheetId="5" sqref="AB242" start="0" length="0">
      <dxf>
        <font>
          <sz val="10"/>
          <color auto="1"/>
          <name val="Arial"/>
          <scheme val="none"/>
        </font>
        <alignment horizontal="center" vertical="top" readingOrder="0"/>
        <border outline="0">
          <right style="thin">
            <color indexed="64"/>
          </right>
        </border>
      </dxf>
    </rfmt>
    <rfmt sheetId="5" sqref="AC242"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242" start="0" length="0">
      <dxf>
        <font>
          <sz val="10"/>
          <color auto="1"/>
          <name val="Arial"/>
          <scheme val="none"/>
        </font>
        <numFmt numFmtId="30" formatCode="@"/>
        <fill>
          <patternFill patternType="solid">
            <bgColor theme="0"/>
          </patternFill>
        </fill>
        <alignment vertical="top" readingOrder="0"/>
      </dxf>
    </rfmt>
    <rfmt sheetId="5" sqref="AE242" start="0" length="0">
      <dxf>
        <font>
          <sz val="10"/>
          <color auto="1"/>
          <name val="Arial"/>
          <scheme val="none"/>
        </font>
        <numFmt numFmtId="30" formatCode="@"/>
        <fill>
          <patternFill patternType="solid">
            <bgColor theme="0"/>
          </patternFill>
        </fill>
        <alignment vertical="top" readingOrder="0"/>
      </dxf>
    </rfmt>
    <rfmt sheetId="5" sqref="AF242" start="0" length="0">
      <dxf>
        <font>
          <sz val="10"/>
          <color auto="1"/>
          <name val="Arial"/>
          <scheme val="none"/>
        </font>
        <numFmt numFmtId="30" formatCode="@"/>
        <fill>
          <patternFill patternType="solid">
            <bgColor theme="0"/>
          </patternFill>
        </fill>
        <alignment vertical="top" readingOrder="0"/>
      </dxf>
    </rfmt>
    <rfmt sheetId="5" sqref="AG242" start="0" length="0">
      <dxf>
        <font>
          <sz val="10"/>
          <color auto="1"/>
          <name val="Arial"/>
          <scheme val="none"/>
        </font>
        <numFmt numFmtId="30" formatCode="@"/>
        <fill>
          <patternFill patternType="solid">
            <bgColor theme="0"/>
          </patternFill>
        </fill>
        <alignment vertical="top" readingOrder="0"/>
      </dxf>
    </rfmt>
    <rfmt sheetId="5" sqref="AH242" start="0" length="0">
      <dxf>
        <font>
          <sz val="10"/>
          <color auto="1"/>
          <name val="Arial"/>
          <scheme val="none"/>
        </font>
        <numFmt numFmtId="30" formatCode="@"/>
        <fill>
          <patternFill patternType="solid">
            <bgColor theme="0"/>
          </patternFill>
        </fill>
        <alignment vertical="top" readingOrder="0"/>
      </dxf>
    </rfmt>
    <rfmt sheetId="5" sqref="AI242" start="0" length="0">
      <dxf>
        <font>
          <sz val="10"/>
          <color auto="1"/>
          <name val="Arial"/>
          <scheme val="none"/>
        </font>
        <numFmt numFmtId="30" formatCode="@"/>
        <fill>
          <patternFill patternType="solid">
            <bgColor theme="0"/>
          </patternFill>
        </fill>
        <alignment vertical="top" readingOrder="0"/>
      </dxf>
    </rfmt>
    <rcc rId="0" sId="5" dxf="1">
      <nc r="AJ242">
        <f>INDIRECT(ADDRESS(ROW()-1,COLUMN()))</f>
      </nc>
      <ndxf>
        <font>
          <sz val="10"/>
          <color auto="1"/>
          <name val="Arial"/>
          <scheme val="none"/>
        </font>
        <fill>
          <patternFill patternType="solid">
            <bgColor theme="0"/>
          </patternFill>
        </fill>
        <alignment horizontal="right" vertical="top" readingOrder="0"/>
      </ndxf>
    </rcc>
    <rcc rId="0" sId="5" dxf="1">
      <nc r="AK242">
        <f>INDIRECT(ADDRESS(ROW()-1,COLUMN()))</f>
      </nc>
      <ndxf>
        <font>
          <sz val="10"/>
          <color auto="1"/>
          <name val="Arial"/>
          <scheme val="none"/>
        </font>
        <fill>
          <patternFill patternType="solid">
            <bgColor theme="0"/>
          </patternFill>
        </fill>
        <alignment horizontal="right" vertical="top" readingOrder="0"/>
      </ndxf>
    </rcc>
    <rfmt sheetId="5" sqref="AL242" start="0" length="0">
      <dxf>
        <font>
          <sz val="10"/>
          <color auto="1"/>
          <name val="Arial"/>
          <scheme val="none"/>
        </font>
        <fill>
          <patternFill patternType="solid">
            <bgColor theme="0"/>
          </patternFill>
        </fill>
        <alignment horizontal="right" vertical="top" readingOrder="0"/>
      </dxf>
    </rfmt>
    <rcc rId="0" sId="5" dxf="1">
      <nc r="AM242">
        <f>INDIRECT(ADDRESS(ROW()-1,COLUMN()))</f>
      </nc>
      <ndxf>
        <fill>
          <patternFill patternType="solid">
            <bgColor theme="0"/>
          </patternFill>
        </fill>
        <alignment horizontal="general" readingOrder="0"/>
      </ndxf>
    </rcc>
    <rfmt sheetId="5" sqref="AN242" start="0" length="0">
      <dxf>
        <numFmt numFmtId="30" formatCode="@"/>
        <fill>
          <patternFill patternType="solid">
            <bgColor theme="0"/>
          </patternFill>
        </fill>
        <alignment vertical="top" readingOrder="0"/>
      </dxf>
    </rfmt>
    <rfmt sheetId="5" sqref="AO242" start="0" length="0">
      <dxf>
        <numFmt numFmtId="30" formatCode="@"/>
        <fill>
          <patternFill patternType="solid">
            <bgColor theme="0"/>
          </patternFill>
        </fill>
        <alignment vertical="top" readingOrder="0"/>
      </dxf>
    </rfmt>
    <rfmt sheetId="5" sqref="AP242" start="0" length="0">
      <dxf>
        <font>
          <sz val="10"/>
          <color auto="1"/>
          <name val="Arial"/>
          <scheme val="none"/>
        </font>
        <numFmt numFmtId="30" formatCode="@"/>
        <fill>
          <patternFill patternType="solid">
            <bgColor theme="0"/>
          </patternFill>
        </fill>
        <alignment vertical="top" readingOrder="0"/>
      </dxf>
    </rfmt>
    <rfmt sheetId="5" sqref="AQ242" start="0" length="0">
      <dxf>
        <font>
          <sz val="10"/>
          <color auto="1"/>
          <name val="Arial"/>
          <scheme val="none"/>
        </font>
        <numFmt numFmtId="30" formatCode="@"/>
        <fill>
          <patternFill patternType="solid">
            <bgColor theme="0"/>
          </patternFill>
        </fill>
        <alignment vertical="top" readingOrder="0"/>
      </dxf>
    </rfmt>
    <rfmt sheetId="5" sqref="AR242" start="0" length="0">
      <dxf>
        <font>
          <sz val="10"/>
          <color auto="1"/>
          <name val="Arial"/>
          <scheme val="none"/>
        </font>
        <numFmt numFmtId="30" formatCode="@"/>
        <fill>
          <patternFill patternType="solid">
            <bgColor theme="0"/>
          </patternFill>
        </fill>
        <alignment vertical="top" readingOrder="0"/>
      </dxf>
    </rfmt>
    <rfmt sheetId="5" sqref="AS242" start="0" length="0">
      <dxf>
        <font>
          <sz val="10"/>
          <color auto="1"/>
          <name val="Arial"/>
          <scheme val="none"/>
        </font>
        <numFmt numFmtId="30" formatCode="@"/>
        <fill>
          <patternFill patternType="solid">
            <bgColor theme="0"/>
          </patternFill>
        </fill>
        <alignment vertical="top" readingOrder="0"/>
      </dxf>
    </rfmt>
    <rfmt sheetId="5" sqref="AT242" start="0" length="0">
      <dxf>
        <font>
          <sz val="10"/>
          <color auto="1"/>
          <name val="Arial"/>
          <scheme val="none"/>
        </font>
        <numFmt numFmtId="30" formatCode="@"/>
        <fill>
          <patternFill patternType="solid">
            <bgColor theme="0"/>
          </patternFill>
        </fill>
        <alignment vertical="top" readingOrder="0"/>
      </dxf>
    </rfmt>
    <rfmt sheetId="5" sqref="AU242" start="0" length="0">
      <dxf>
        <font>
          <sz val="10"/>
          <color auto="1"/>
          <name val="Arial"/>
          <scheme val="none"/>
        </font>
        <numFmt numFmtId="30" formatCode="@"/>
        <fill>
          <patternFill patternType="solid">
            <bgColor theme="0"/>
          </patternFill>
        </fill>
        <alignment vertical="top" readingOrder="0"/>
      </dxf>
    </rfmt>
    <rfmt sheetId="5" sqref="AV242" start="0" length="0">
      <dxf>
        <font>
          <sz val="10"/>
          <color auto="1"/>
          <name val="Arial"/>
          <scheme val="none"/>
        </font>
        <numFmt numFmtId="30" formatCode="@"/>
        <fill>
          <patternFill patternType="solid">
            <bgColor theme="0"/>
          </patternFill>
        </fill>
        <alignment vertical="top" readingOrder="0"/>
      </dxf>
    </rfmt>
    <rfmt sheetId="5" sqref="AW242" start="0" length="0">
      <dxf>
        <fill>
          <patternFill patternType="solid">
            <bgColor theme="0"/>
          </patternFill>
        </fill>
      </dxf>
    </rfmt>
    <rfmt sheetId="5" sqref="AX242" start="0" length="0">
      <dxf>
        <fill>
          <patternFill patternType="solid">
            <bgColor theme="0"/>
          </patternFill>
        </fill>
      </dxf>
    </rfmt>
    <rfmt sheetId="5" sqref="AY242" start="0" length="0">
      <dxf>
        <fill>
          <patternFill patternType="solid">
            <bgColor theme="0"/>
          </patternFill>
        </fill>
      </dxf>
    </rfmt>
    <rfmt sheetId="5" sqref="AZ242" start="0" length="0">
      <dxf>
        <fill>
          <patternFill patternType="solid">
            <bgColor theme="0"/>
          </patternFill>
        </fill>
      </dxf>
    </rfmt>
    <rfmt sheetId="5" sqref="BA242" start="0" length="0">
      <dxf>
        <fill>
          <patternFill patternType="solid">
            <bgColor theme="0"/>
          </patternFill>
        </fill>
      </dxf>
    </rfmt>
    <rfmt sheetId="5" sqref="BB242" start="0" length="0">
      <dxf>
        <fill>
          <patternFill patternType="solid">
            <bgColor theme="0"/>
          </patternFill>
        </fill>
      </dxf>
    </rfmt>
    <rfmt sheetId="5" sqref="BC242" start="0" length="0">
      <dxf>
        <fill>
          <patternFill patternType="solid">
            <bgColor theme="0"/>
          </patternFill>
        </fill>
      </dxf>
    </rfmt>
  </rrc>
  <rrc rId="108" sId="5" ref="A242:XFD242"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42:XFD242" start="0" length="0">
      <dxf>
        <font>
          <sz val="12"/>
        </font>
        <alignment horizontal="left" vertical="center" wrapText="1" readingOrder="0"/>
        <protection locked="0"/>
      </dxf>
    </rfmt>
    <rfmt sheetId="5" sqref="A242" start="0" length="0">
      <dxf>
        <font>
          <sz val="10"/>
          <color auto="1"/>
          <name val="Arial"/>
          <scheme val="none"/>
        </font>
        <border outline="0">
          <left style="thin">
            <color indexed="64"/>
          </left>
          <right style="dashed">
            <color indexed="64"/>
          </right>
          <bottom style="thin">
            <color indexed="64"/>
          </bottom>
        </border>
        <protection locked="1"/>
      </dxf>
    </rfmt>
    <rfmt sheetId="5" sqref="B242" start="0" length="0">
      <dxf>
        <font>
          <sz val="10"/>
          <color auto="1"/>
          <name val="Arial"/>
          <scheme val="none"/>
        </font>
        <border outline="0">
          <left style="dashed">
            <color indexed="64"/>
          </left>
          <right style="dashed">
            <color indexed="64"/>
          </right>
          <bottom style="thin">
            <color indexed="64"/>
          </bottom>
        </border>
        <protection locked="1"/>
      </dxf>
    </rfmt>
    <rfmt sheetId="5" sqref="C242" start="0" length="0">
      <dxf>
        <font>
          <sz val="10"/>
          <color auto="1"/>
          <name val="Arial"/>
          <scheme val="none"/>
        </font>
        <border outline="0">
          <left style="dashed">
            <color indexed="64"/>
          </left>
          <right style="dashed">
            <color indexed="64"/>
          </right>
          <bottom style="thin">
            <color indexed="64"/>
          </bottom>
        </border>
        <protection locked="1"/>
      </dxf>
    </rfmt>
    <rfmt sheetId="5" sqref="D242" start="0" length="0">
      <dxf>
        <font>
          <sz val="10"/>
          <color auto="1"/>
          <name val="Arial"/>
          <scheme val="none"/>
        </font>
        <alignment horizontal="center" readingOrder="0"/>
        <border outline="0">
          <left style="dashed">
            <color indexed="64"/>
          </left>
          <right style="dashed">
            <color indexed="64"/>
          </right>
          <bottom style="thin">
            <color indexed="64"/>
          </bottom>
        </border>
        <protection locked="1"/>
      </dxf>
    </rfmt>
    <rfmt sheetId="5" sqref="E242" start="0" length="0">
      <dxf>
        <font>
          <sz val="10"/>
          <color auto="1"/>
          <name val="Arial"/>
          <scheme val="none"/>
        </font>
        <alignment horizontal="center" readingOrder="0"/>
        <border outline="0">
          <left style="dashed">
            <color indexed="64"/>
          </left>
          <right style="dashed">
            <color indexed="64"/>
          </right>
          <bottom style="thin">
            <color indexed="64"/>
          </bottom>
        </border>
        <protection locked="1"/>
      </dxf>
    </rfmt>
    <rfmt sheetId="5" sqref="F242" start="0" length="0">
      <dxf>
        <font>
          <sz val="10"/>
          <color auto="1"/>
          <name val="Arial"/>
          <scheme val="none"/>
        </font>
        <alignment horizontal="center" readingOrder="0"/>
        <border outline="0">
          <left style="dashed">
            <color indexed="64"/>
          </left>
          <right style="dotted">
            <color indexed="64"/>
          </right>
          <bottom style="thin">
            <color indexed="64"/>
          </bottom>
        </border>
        <protection locked="1"/>
      </dxf>
    </rfmt>
    <rfmt sheetId="5" sqref="G242" start="0" length="0">
      <dxf>
        <font>
          <sz val="10"/>
          <color auto="1"/>
          <name val="Arial"/>
          <scheme val="none"/>
        </font>
        <alignment horizontal="center" readingOrder="0"/>
        <border outline="0">
          <left style="dotted">
            <color indexed="64"/>
          </left>
          <right style="dotted">
            <color indexed="64"/>
          </right>
          <bottom style="thin">
            <color indexed="64"/>
          </bottom>
        </border>
      </dxf>
    </rfmt>
    <rfmt sheetId="5" s="1" sqref="H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1" sqref="I242" start="0" length="0">
      <dxf>
        <font>
          <sz val="10"/>
          <color auto="1"/>
          <name val="Arial"/>
          <scheme val="none"/>
        </font>
        <numFmt numFmtId="1" formatCode="0"/>
        <alignment horizontal="center" readingOrder="0"/>
        <border outline="0">
          <left style="dotted">
            <color indexed="64"/>
          </left>
          <right style="dotted">
            <color indexed="64"/>
          </right>
          <bottom style="thin">
            <color indexed="64"/>
          </bottom>
        </border>
      </dxf>
    </rfmt>
    <rfmt sheetId="5" sqref="J242" start="0" length="0">
      <dxf>
        <font>
          <sz val="10"/>
          <color auto="1"/>
          <name val="Arial"/>
          <scheme val="none"/>
        </font>
        <alignment horizontal="center" readingOrder="0"/>
        <border outline="0">
          <left style="dotted">
            <color indexed="64"/>
          </left>
          <right style="dotted">
            <color indexed="64"/>
          </right>
          <bottom style="thin">
            <color indexed="64"/>
          </bottom>
        </border>
        <protection locked="1"/>
      </dxf>
    </rfmt>
    <rfmt sheetId="5" sqref="K242" start="0" length="0">
      <dxf>
        <font>
          <sz val="10"/>
          <color auto="1"/>
          <name val="Arial"/>
          <scheme val="none"/>
        </font>
        <fill>
          <patternFill patternType="solid">
            <bgColor theme="8" tint="0.79998168889431442"/>
          </patternFill>
        </fill>
        <alignment horizontal="center" readingOrder="0"/>
        <border outline="0">
          <left style="dotted">
            <color indexed="64"/>
          </left>
          <bottom style="thin">
            <color indexed="64"/>
          </bottom>
        </border>
        <protection locked="1"/>
      </dxf>
    </rfmt>
    <rfmt sheetId="5" sqref="L242" start="0" length="0">
      <dxf>
        <font>
          <sz val="10"/>
          <color auto="1"/>
          <name val="Arial"/>
          <scheme val="none"/>
        </font>
        <fill>
          <patternFill patternType="solid">
            <bgColor theme="8" tint="0.79998168889431442"/>
          </patternFill>
        </fill>
        <alignment horizontal="center" readingOrder="0"/>
        <border outline="0">
          <right style="dotted">
            <color indexed="64"/>
          </right>
          <bottom style="thin">
            <color indexed="64"/>
          </bottom>
        </border>
        <protection locked="1"/>
      </dxf>
    </rfmt>
    <rfmt sheetId="5" sqref="M242" start="0" length="0">
      <dxf>
        <font>
          <sz val="10"/>
          <color auto="1"/>
          <name val="Arial"/>
          <scheme val="none"/>
        </font>
        <numFmt numFmtId="3" formatCode="#,##0"/>
        <alignment horizontal="center" readingOrder="0"/>
        <border outline="0">
          <right style="dotted">
            <color indexed="64"/>
          </right>
          <top style="dotted">
            <color indexed="64"/>
          </top>
          <bottom style="thin">
            <color indexed="64"/>
          </bottom>
        </border>
      </dxf>
    </rfmt>
    <rfmt sheetId="5" s="1" sqref="N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O242"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P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Q242" start="0" length="0">
      <dxf>
        <font>
          <sz val="10"/>
          <color auto="1"/>
          <name val="Arial"/>
          <scheme val="none"/>
        </font>
        <numFmt numFmtId="3" formatCode="#,##0"/>
        <alignment horizontal="center" readingOrder="0"/>
        <border outline="0">
          <left style="dotted">
            <color indexed="64"/>
          </left>
          <right style="dotted">
            <color indexed="64"/>
          </right>
          <top style="dotted">
            <color indexed="64"/>
          </top>
          <bottom style="thin">
            <color indexed="64"/>
          </bottom>
        </border>
      </dxf>
    </rfmt>
    <rfmt sheetId="5" s="1" sqref="R242" start="0" length="0">
      <dxf>
        <font>
          <sz val="10"/>
          <color auto="1"/>
          <name val="Arial"/>
          <scheme val="none"/>
        </font>
        <numFmt numFmtId="167" formatCode="0.0%"/>
        <alignment horizontal="center" readingOrder="0"/>
        <border outline="0">
          <left style="dotted">
            <color indexed="64"/>
          </left>
          <right style="dotted">
            <color indexed="64"/>
          </right>
          <bottom style="thin">
            <color indexed="64"/>
          </bottom>
        </border>
      </dxf>
    </rfmt>
    <rfmt sheetId="5" sqref="S242" start="0" length="0">
      <dxf>
        <font>
          <sz val="10"/>
          <color auto="1"/>
          <name val="Arial"/>
          <scheme val="none"/>
        </font>
        <alignment horizontal="center" vertical="top" readingOrder="0"/>
        <border outline="0">
          <left style="thin">
            <color indexed="64"/>
          </left>
          <bottom style="thin">
            <color indexed="64"/>
          </bottom>
        </border>
      </dxf>
    </rfmt>
    <rfmt sheetId="5" sqref="T242" start="0" length="0">
      <dxf>
        <font>
          <sz val="10"/>
          <color auto="1"/>
          <name val="Arial"/>
          <scheme val="none"/>
        </font>
        <alignment horizontal="center" vertical="top" readingOrder="0"/>
        <border outline="0">
          <bottom style="thin">
            <color indexed="64"/>
          </bottom>
        </border>
      </dxf>
    </rfmt>
    <rfmt sheetId="5" sqref="U242" start="0" length="0">
      <dxf>
        <font>
          <sz val="10"/>
          <color auto="1"/>
          <name val="Arial"/>
          <scheme val="none"/>
        </font>
        <alignment horizontal="center" vertical="top" readingOrder="0"/>
        <border outline="0">
          <bottom style="thin">
            <color indexed="64"/>
          </bottom>
        </border>
      </dxf>
    </rfmt>
    <rfmt sheetId="5" sqref="V242" start="0" length="0">
      <dxf>
        <font>
          <sz val="10"/>
          <color auto="1"/>
          <name val="Arial"/>
          <scheme val="none"/>
        </font>
        <alignment horizontal="center" vertical="top" readingOrder="0"/>
        <border outline="0">
          <bottom style="thin">
            <color indexed="64"/>
          </bottom>
        </border>
      </dxf>
    </rfmt>
    <rfmt sheetId="5" sqref="W242" start="0" length="0">
      <dxf>
        <font>
          <sz val="10"/>
          <color auto="1"/>
          <name val="Arial"/>
          <scheme val="none"/>
        </font>
        <alignment horizontal="center" vertical="top" readingOrder="0"/>
        <border outline="0">
          <bottom style="thin">
            <color indexed="64"/>
          </bottom>
        </border>
      </dxf>
    </rfmt>
    <rfmt sheetId="5" sqref="X242" start="0" length="0">
      <dxf>
        <font>
          <sz val="10"/>
          <color auto="1"/>
          <name val="Arial"/>
          <scheme val="none"/>
        </font>
        <alignment horizontal="center" vertical="top" readingOrder="0"/>
        <border outline="0">
          <bottom style="thin">
            <color indexed="64"/>
          </bottom>
        </border>
      </dxf>
    </rfmt>
    <rfmt sheetId="5" sqref="Y242" start="0" length="0">
      <dxf>
        <font>
          <sz val="10"/>
          <color auto="1"/>
          <name val="Arial"/>
          <scheme val="none"/>
        </font>
        <alignment horizontal="center" vertical="top" readingOrder="0"/>
        <border outline="0">
          <bottom style="thin">
            <color indexed="64"/>
          </bottom>
        </border>
      </dxf>
    </rfmt>
    <rfmt sheetId="5" sqref="Z242" start="0" length="0">
      <dxf>
        <font>
          <sz val="10"/>
          <color auto="1"/>
          <name val="Arial"/>
          <scheme val="none"/>
        </font>
        <alignment horizontal="center" vertical="top" readingOrder="0"/>
        <border outline="0">
          <bottom style="thin">
            <color indexed="64"/>
          </bottom>
        </border>
      </dxf>
    </rfmt>
    <rfmt sheetId="5" sqref="AA242" start="0" length="0">
      <dxf>
        <font>
          <sz val="10"/>
          <color auto="1"/>
          <name val="Arial"/>
          <scheme val="none"/>
        </font>
        <alignment horizontal="center" vertical="top" readingOrder="0"/>
        <border outline="0">
          <bottom style="thin">
            <color indexed="64"/>
          </bottom>
        </border>
      </dxf>
    </rfmt>
    <rfmt sheetId="5" sqref="AB242" start="0" length="0">
      <dxf>
        <font>
          <sz val="10"/>
          <color auto="1"/>
          <name val="Arial"/>
          <scheme val="none"/>
        </font>
        <alignment horizontal="center" vertical="top" readingOrder="0"/>
        <border outline="0">
          <right style="thin">
            <color indexed="64"/>
          </right>
          <bottom style="thin">
            <color indexed="64"/>
          </bottom>
        </border>
      </dxf>
    </rfmt>
    <rfmt sheetId="5" sqref="AC242" start="0" length="0">
      <dxf>
        <font>
          <sz val="10"/>
          <color auto="1"/>
          <name val="Arial"/>
          <scheme val="none"/>
        </font>
        <numFmt numFmtId="30" formatCode="@"/>
        <fill>
          <patternFill patternType="solid">
            <bgColor theme="0"/>
          </patternFill>
        </fill>
        <alignment vertical="top" readingOrder="0"/>
        <border outline="0">
          <left style="thin">
            <color indexed="64"/>
          </left>
        </border>
      </dxf>
    </rfmt>
    <rfmt sheetId="5" sqref="AD242" start="0" length="0">
      <dxf>
        <font>
          <sz val="10"/>
          <color auto="1"/>
          <name val="Arial"/>
          <scheme val="none"/>
        </font>
        <numFmt numFmtId="30" formatCode="@"/>
        <fill>
          <patternFill patternType="solid">
            <bgColor theme="0"/>
          </patternFill>
        </fill>
        <alignment vertical="top" readingOrder="0"/>
      </dxf>
    </rfmt>
    <rfmt sheetId="5" sqref="AE242" start="0" length="0">
      <dxf>
        <font>
          <sz val="10"/>
          <color auto="1"/>
          <name val="Arial"/>
          <scheme val="none"/>
        </font>
        <numFmt numFmtId="30" formatCode="@"/>
        <fill>
          <patternFill patternType="solid">
            <bgColor theme="0"/>
          </patternFill>
        </fill>
        <alignment vertical="top" readingOrder="0"/>
      </dxf>
    </rfmt>
    <rfmt sheetId="5" sqref="AF242" start="0" length="0">
      <dxf>
        <font>
          <sz val="10"/>
          <color auto="1"/>
          <name val="Arial"/>
          <scheme val="none"/>
        </font>
        <numFmt numFmtId="30" formatCode="@"/>
        <fill>
          <patternFill patternType="solid">
            <bgColor theme="0"/>
          </patternFill>
        </fill>
        <alignment vertical="top" readingOrder="0"/>
      </dxf>
    </rfmt>
    <rfmt sheetId="5" sqref="AG242" start="0" length="0">
      <dxf>
        <font>
          <sz val="10"/>
          <color auto="1"/>
          <name val="Arial"/>
          <scheme val="none"/>
        </font>
        <numFmt numFmtId="30" formatCode="@"/>
        <fill>
          <patternFill patternType="solid">
            <bgColor theme="0"/>
          </patternFill>
        </fill>
        <alignment vertical="top" readingOrder="0"/>
      </dxf>
    </rfmt>
    <rfmt sheetId="5" sqref="AH242" start="0" length="0">
      <dxf>
        <font>
          <sz val="10"/>
          <color auto="1"/>
          <name val="Arial"/>
          <scheme val="none"/>
        </font>
        <numFmt numFmtId="30" formatCode="@"/>
        <fill>
          <patternFill patternType="solid">
            <bgColor theme="0"/>
          </patternFill>
        </fill>
        <alignment vertical="top" readingOrder="0"/>
      </dxf>
    </rfmt>
    <rfmt sheetId="5" sqref="AI242" start="0" length="0">
      <dxf>
        <font>
          <sz val="10"/>
          <color auto="1"/>
          <name val="Arial"/>
          <scheme val="none"/>
        </font>
        <numFmt numFmtId="30" formatCode="@"/>
        <fill>
          <patternFill patternType="solid">
            <bgColor theme="0"/>
          </patternFill>
        </fill>
        <alignment vertical="top" readingOrder="0"/>
      </dxf>
    </rfmt>
    <rcc rId="0" sId="5" dxf="1">
      <nc r="AJ242">
        <f>INDIRECT(ADDRESS(ROW()-1,COLUMN()))</f>
      </nc>
      <ndxf>
        <font>
          <sz val="10"/>
          <color auto="1"/>
          <name val="Arial"/>
          <scheme val="none"/>
        </font>
        <fill>
          <patternFill patternType="solid">
            <bgColor theme="0"/>
          </patternFill>
        </fill>
        <alignment horizontal="right" vertical="top" readingOrder="0"/>
      </ndxf>
    </rcc>
    <rcc rId="0" sId="5" dxf="1">
      <nc r="AK242">
        <f>INDIRECT(ADDRESS(ROW()-1,COLUMN()))</f>
      </nc>
      <ndxf>
        <font>
          <sz val="10"/>
          <color auto="1"/>
          <name val="Arial"/>
          <scheme val="none"/>
        </font>
        <fill>
          <patternFill patternType="solid">
            <bgColor theme="0"/>
          </patternFill>
        </fill>
        <alignment horizontal="right" vertical="top" readingOrder="0"/>
      </ndxf>
    </rcc>
    <rfmt sheetId="5" sqref="AL242" start="0" length="0">
      <dxf>
        <font>
          <sz val="10"/>
          <color auto="1"/>
          <name val="Arial"/>
          <scheme val="none"/>
        </font>
        <fill>
          <patternFill patternType="solid">
            <bgColor theme="0"/>
          </patternFill>
        </fill>
        <alignment horizontal="right" vertical="top" readingOrder="0"/>
      </dxf>
    </rfmt>
    <rcc rId="0" sId="5" dxf="1">
      <nc r="AM242">
        <f>INDIRECT(ADDRESS(ROW()-1,COLUMN()))</f>
      </nc>
      <ndxf>
        <fill>
          <patternFill patternType="solid">
            <bgColor theme="0"/>
          </patternFill>
        </fill>
        <alignment horizontal="general" readingOrder="0"/>
      </ndxf>
    </rcc>
    <rfmt sheetId="5" sqref="AN242" start="0" length="0">
      <dxf>
        <numFmt numFmtId="30" formatCode="@"/>
        <fill>
          <patternFill patternType="solid">
            <bgColor theme="0"/>
          </patternFill>
        </fill>
        <alignment vertical="top" readingOrder="0"/>
      </dxf>
    </rfmt>
    <rfmt sheetId="5" sqref="AO242" start="0" length="0">
      <dxf>
        <numFmt numFmtId="30" formatCode="@"/>
        <fill>
          <patternFill patternType="solid">
            <bgColor theme="0"/>
          </patternFill>
        </fill>
        <alignment vertical="top" readingOrder="0"/>
      </dxf>
    </rfmt>
    <rfmt sheetId="5" sqref="AP242" start="0" length="0">
      <dxf>
        <font>
          <sz val="10"/>
          <color auto="1"/>
          <name val="Arial"/>
          <scheme val="none"/>
        </font>
        <numFmt numFmtId="30" formatCode="@"/>
        <fill>
          <patternFill patternType="solid">
            <bgColor theme="0"/>
          </patternFill>
        </fill>
        <alignment vertical="top" readingOrder="0"/>
      </dxf>
    </rfmt>
    <rfmt sheetId="5" sqref="AQ242" start="0" length="0">
      <dxf>
        <font>
          <sz val="10"/>
          <color auto="1"/>
          <name val="Arial"/>
          <scheme val="none"/>
        </font>
        <numFmt numFmtId="30" formatCode="@"/>
        <fill>
          <patternFill patternType="solid">
            <bgColor theme="0"/>
          </patternFill>
        </fill>
        <alignment vertical="top" readingOrder="0"/>
      </dxf>
    </rfmt>
    <rfmt sheetId="5" sqref="AR242" start="0" length="0">
      <dxf>
        <font>
          <sz val="10"/>
          <color auto="1"/>
          <name val="Arial"/>
          <scheme val="none"/>
        </font>
        <numFmt numFmtId="30" formatCode="@"/>
        <fill>
          <patternFill patternType="solid">
            <bgColor theme="0"/>
          </patternFill>
        </fill>
        <alignment vertical="top" readingOrder="0"/>
      </dxf>
    </rfmt>
    <rfmt sheetId="5" sqref="AS242" start="0" length="0">
      <dxf>
        <font>
          <sz val="10"/>
          <color auto="1"/>
          <name val="Arial"/>
          <scheme val="none"/>
        </font>
        <numFmt numFmtId="30" formatCode="@"/>
        <fill>
          <patternFill patternType="solid">
            <bgColor theme="0"/>
          </patternFill>
        </fill>
        <alignment vertical="top" readingOrder="0"/>
      </dxf>
    </rfmt>
    <rfmt sheetId="5" sqref="AT242" start="0" length="0">
      <dxf>
        <font>
          <sz val="10"/>
          <color auto="1"/>
          <name val="Arial"/>
          <scheme val="none"/>
        </font>
        <numFmt numFmtId="30" formatCode="@"/>
        <fill>
          <patternFill patternType="solid">
            <bgColor theme="0"/>
          </patternFill>
        </fill>
        <alignment vertical="top" readingOrder="0"/>
      </dxf>
    </rfmt>
    <rfmt sheetId="5" sqref="AU242" start="0" length="0">
      <dxf>
        <font>
          <sz val="10"/>
          <color auto="1"/>
          <name val="Arial"/>
          <scheme val="none"/>
        </font>
        <numFmt numFmtId="30" formatCode="@"/>
        <fill>
          <patternFill patternType="solid">
            <bgColor theme="0"/>
          </patternFill>
        </fill>
        <alignment vertical="top" readingOrder="0"/>
      </dxf>
    </rfmt>
    <rfmt sheetId="5" sqref="AV242" start="0" length="0">
      <dxf>
        <font>
          <sz val="10"/>
          <color auto="1"/>
          <name val="Arial"/>
          <scheme val="none"/>
        </font>
        <numFmt numFmtId="30" formatCode="@"/>
        <fill>
          <patternFill patternType="solid">
            <bgColor theme="0"/>
          </patternFill>
        </fill>
        <alignment vertical="top" readingOrder="0"/>
      </dxf>
    </rfmt>
    <rfmt sheetId="5" sqref="AW242" start="0" length="0">
      <dxf>
        <fill>
          <patternFill patternType="solid">
            <bgColor theme="0"/>
          </patternFill>
        </fill>
      </dxf>
    </rfmt>
    <rfmt sheetId="5" sqref="AX242" start="0" length="0">
      <dxf>
        <fill>
          <patternFill patternType="solid">
            <bgColor theme="0"/>
          </patternFill>
        </fill>
      </dxf>
    </rfmt>
    <rfmt sheetId="5" sqref="AY242" start="0" length="0">
      <dxf>
        <fill>
          <patternFill patternType="solid">
            <bgColor theme="0"/>
          </patternFill>
        </fill>
      </dxf>
    </rfmt>
    <rfmt sheetId="5" sqref="AZ242" start="0" length="0">
      <dxf>
        <fill>
          <patternFill patternType="solid">
            <bgColor theme="0"/>
          </patternFill>
        </fill>
      </dxf>
    </rfmt>
    <rfmt sheetId="5" sqref="BA242" start="0" length="0">
      <dxf>
        <fill>
          <patternFill patternType="solid">
            <bgColor theme="0"/>
          </patternFill>
        </fill>
      </dxf>
    </rfmt>
    <rfmt sheetId="5" sqref="BB242" start="0" length="0">
      <dxf>
        <fill>
          <patternFill patternType="solid">
            <bgColor theme="0"/>
          </patternFill>
        </fill>
      </dxf>
    </rfmt>
    <rfmt sheetId="5" sqref="BC242" start="0" length="0">
      <dxf>
        <fill>
          <patternFill patternType="solid">
            <bgColor theme="0"/>
          </patternFill>
        </fill>
      </dxf>
    </rfmt>
  </rrc>
  <rrc rId="109" sId="5" ref="A229:XFD229"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29:XFD229" start="0" length="0">
      <dxf>
        <fill>
          <patternFill patternType="solid">
            <bgColor theme="0"/>
          </patternFill>
        </fill>
        <alignment horizontal="left" vertical="center" wrapText="1" readingOrder="0"/>
      </dxf>
    </rfmt>
    <rfmt sheetId="5" sqref="A229" start="0" length="0">
      <dxf>
        <alignment horizontal="center" vertical="top" readingOrder="0"/>
        <border outline="0">
          <left style="thin">
            <color indexed="64"/>
          </left>
          <right style="dashed">
            <color indexed="64"/>
          </right>
        </border>
      </dxf>
    </rfmt>
    <rfmt sheetId="5" sqref="B229" start="0" length="0">
      <dxf>
        <alignment horizontal="center" vertical="top" readingOrder="0"/>
        <border outline="0">
          <left style="dashed">
            <color indexed="64"/>
          </left>
          <right style="dashed">
            <color indexed="64"/>
          </right>
        </border>
      </dxf>
    </rfmt>
    <rfmt sheetId="5" sqref="C229" start="0" length="0">
      <dxf>
        <alignment horizontal="center" vertical="top" readingOrder="0"/>
        <border outline="0">
          <left style="dashed">
            <color indexed="64"/>
          </left>
          <right style="dashed">
            <color indexed="64"/>
          </right>
        </border>
      </dxf>
    </rfmt>
    <rfmt sheetId="5" sqref="D229" start="0" length="0">
      <dxf>
        <alignment vertical="top" readingOrder="0"/>
        <border outline="0">
          <left style="dashed">
            <color indexed="64"/>
          </left>
          <right style="dashed">
            <color indexed="64"/>
          </right>
        </border>
      </dxf>
    </rfmt>
    <rfmt sheetId="5" sqref="E229" start="0" length="0">
      <dxf>
        <alignment vertical="top" readingOrder="0"/>
        <border outline="0">
          <left style="dashed">
            <color indexed="64"/>
          </left>
          <right style="dashed">
            <color indexed="64"/>
          </right>
        </border>
      </dxf>
    </rfmt>
    <rfmt sheetId="5" sqref="F229" start="0" length="0">
      <dxf>
        <alignment vertical="top" readingOrder="0"/>
        <border outline="0">
          <left style="dashed">
            <color indexed="64"/>
          </left>
          <right style="dashed">
            <color indexed="64"/>
          </right>
        </border>
      </dxf>
    </rfmt>
    <rfmt sheetId="5" sqref="G229" start="0" length="0">
      <dxf>
        <alignment vertical="top" readingOrder="0"/>
        <border outline="0">
          <left style="dashed">
            <color indexed="64"/>
          </left>
          <right style="dashed">
            <color indexed="64"/>
          </right>
        </border>
      </dxf>
    </rfmt>
    <rfmt sheetId="5" sqref="H229" start="0" length="0">
      <dxf>
        <alignment vertical="top" readingOrder="0"/>
        <border outline="0">
          <left style="dashed">
            <color indexed="64"/>
          </left>
          <right style="dashed">
            <color indexed="64"/>
          </right>
        </border>
      </dxf>
    </rfmt>
    <rfmt sheetId="5" sqref="I229" start="0" length="0">
      <dxf>
        <alignment vertical="top" readingOrder="0"/>
        <border outline="0">
          <left style="dashed">
            <color indexed="64"/>
          </left>
          <right style="dashed">
            <color indexed="64"/>
          </right>
        </border>
      </dxf>
    </rfmt>
    <rfmt sheetId="5" sqref="J229" start="0" length="0">
      <dxf>
        <font>
          <b/>
          <sz val="10"/>
          <color auto="1"/>
          <name val="Arial"/>
          <scheme val="none"/>
        </font>
        <alignment horizontal="center" readingOrder="0"/>
        <border outline="0">
          <left style="dashed">
            <color indexed="64"/>
          </left>
          <right style="dashed">
            <color indexed="64"/>
          </right>
          <top style="thin">
            <color indexed="64"/>
          </top>
        </border>
      </dxf>
    </rfmt>
    <rcc rId="0" sId="5" dxf="1">
      <nc r="K229">
        <f>'C:\ERIC CAMACHO\GF NFM Application Documents\CN Draft\[Module for TB.HIV_25June.xlsx]Translations'!$A$78</f>
      </nc>
      <ndxf>
        <fill>
          <patternFill>
            <bgColor theme="8" tint="0.79998168889431442"/>
          </patternFill>
        </fill>
        <alignment horizontal="center" readingOrder="0"/>
        <border outline="0">
          <left style="dashed">
            <color indexed="64"/>
          </left>
          <right style="dashed">
            <color indexed="64"/>
          </right>
          <top style="thin">
            <color indexed="64"/>
          </top>
          <bottom style="dotted">
            <color indexed="64"/>
          </bottom>
        </border>
      </ndxf>
    </rcc>
    <rfmt sheetId="5" sqref="L229" start="0" length="0">
      <dxf>
        <fill>
          <patternFill>
            <bgColor theme="8" tint="0.79998168889431442"/>
          </patternFill>
        </fill>
        <alignment horizontal="center" readingOrder="0"/>
        <border outline="0">
          <left style="dashed">
            <color indexed="64"/>
          </left>
          <right style="dashed">
            <color indexed="64"/>
          </right>
          <top style="thin">
            <color indexed="64"/>
          </top>
          <bottom style="dotted">
            <color indexed="64"/>
          </bottom>
        </border>
      </dxf>
    </rfmt>
    <rfmt sheetId="5" sqref="M229" start="0" length="0">
      <dxf>
        <numFmt numFmtId="3" formatCode="#,##0"/>
        <alignment horizontal="right" readingOrder="0"/>
        <border outline="0">
          <left style="dashed">
            <color indexed="64"/>
          </left>
          <right style="dashed">
            <color indexed="64"/>
          </right>
          <top style="thin">
            <color indexed="64"/>
          </top>
          <bottom style="dotted">
            <color indexed="64"/>
          </bottom>
        </border>
      </dxf>
    </rfmt>
    <rfmt sheetId="5" sqref="N229" start="0" length="0">
      <dxf>
        <numFmt numFmtId="3" formatCode="#,##0"/>
        <alignment horizontal="right" readingOrder="0"/>
        <border outline="0">
          <left style="dashed">
            <color indexed="64"/>
          </left>
          <right style="dashed">
            <color indexed="64"/>
          </right>
          <top style="thin">
            <color indexed="64"/>
          </top>
          <bottom style="dotted">
            <color indexed="64"/>
          </bottom>
        </border>
      </dxf>
    </rfmt>
    <rfmt sheetId="5" s="1" sqref="O229"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P229"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Q229"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R229"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qref="S229" start="0" length="0">
      <dxf>
        <alignment horizontal="center" readingOrder="0"/>
        <border outline="0">
          <left style="dashed">
            <color indexed="64"/>
          </left>
          <right style="dashed">
            <color indexed="64"/>
          </right>
          <top style="thin">
            <color indexed="64"/>
          </top>
          <bottom style="thin">
            <color indexed="64"/>
          </bottom>
        </border>
      </dxf>
    </rfmt>
    <rfmt sheetId="5" sqref="T229" start="0" length="0">
      <dxf>
        <alignment horizontal="center" readingOrder="0"/>
        <border outline="0">
          <left style="dashed">
            <color indexed="64"/>
          </left>
          <right style="dashed">
            <color indexed="64"/>
          </right>
          <top style="thin">
            <color indexed="64"/>
          </top>
          <bottom style="thin">
            <color indexed="64"/>
          </bottom>
        </border>
      </dxf>
    </rfmt>
    <rfmt sheetId="5" sqref="U229" start="0" length="0">
      <dxf>
        <alignment horizontal="center" readingOrder="0"/>
        <border outline="0">
          <left style="dashed">
            <color indexed="64"/>
          </left>
          <right style="dashed">
            <color indexed="64"/>
          </right>
          <top style="thin">
            <color indexed="64"/>
          </top>
          <bottom style="thin">
            <color indexed="64"/>
          </bottom>
        </border>
      </dxf>
    </rfmt>
    <rfmt sheetId="5" sqref="V229" start="0" length="0">
      <dxf>
        <alignment horizontal="center" readingOrder="0"/>
        <border outline="0">
          <left style="dashed">
            <color indexed="64"/>
          </left>
          <right style="dashed">
            <color indexed="64"/>
          </right>
          <top style="thin">
            <color indexed="64"/>
          </top>
          <bottom style="thin">
            <color indexed="64"/>
          </bottom>
        </border>
      </dxf>
    </rfmt>
    <rfmt sheetId="5" sqref="W229" start="0" length="0">
      <dxf>
        <alignment horizontal="center" readingOrder="0"/>
        <border outline="0">
          <left style="dashed">
            <color indexed="64"/>
          </left>
          <right style="dashed">
            <color indexed="64"/>
          </right>
          <top style="thin">
            <color indexed="64"/>
          </top>
          <bottom style="thin">
            <color indexed="64"/>
          </bottom>
        </border>
      </dxf>
    </rfmt>
    <rfmt sheetId="5" sqref="X229" start="0" length="0">
      <dxf>
        <alignment horizontal="center" readingOrder="0"/>
        <border outline="0">
          <left style="dashed">
            <color indexed="64"/>
          </left>
          <right style="dashed">
            <color indexed="64"/>
          </right>
          <top style="thin">
            <color indexed="64"/>
          </top>
          <bottom style="thin">
            <color indexed="64"/>
          </bottom>
        </border>
      </dxf>
    </rfmt>
    <rfmt sheetId="5" sqref="Y229" start="0" length="0">
      <dxf>
        <alignment horizontal="center" readingOrder="0"/>
        <border outline="0">
          <left style="dashed">
            <color indexed="64"/>
          </left>
          <right style="dashed">
            <color indexed="64"/>
          </right>
          <top style="thin">
            <color indexed="64"/>
          </top>
          <bottom style="thin">
            <color indexed="64"/>
          </bottom>
        </border>
      </dxf>
    </rfmt>
    <rfmt sheetId="5" sqref="Z229" start="0" length="0">
      <dxf>
        <alignment horizontal="center" readingOrder="0"/>
        <border outline="0">
          <left style="dashed">
            <color indexed="64"/>
          </left>
          <right style="dashed">
            <color indexed="64"/>
          </right>
          <top style="thin">
            <color indexed="64"/>
          </top>
        </border>
      </dxf>
    </rfmt>
    <rfmt sheetId="5" sqref="AA229" start="0" length="0">
      <dxf>
        <alignment horizontal="center" readingOrder="0"/>
        <border outline="0">
          <left style="dashed">
            <color indexed="64"/>
          </left>
          <right style="dashed">
            <color indexed="64"/>
          </right>
          <top style="thin">
            <color indexed="64"/>
          </top>
        </border>
      </dxf>
    </rfmt>
    <rfmt sheetId="5" sqref="AB229" start="0" length="0">
      <dxf>
        <alignment horizontal="center" readingOrder="0"/>
        <border outline="0">
          <left style="dashed">
            <color indexed="64"/>
          </left>
          <right style="thin">
            <color indexed="64"/>
          </right>
          <top style="thin">
            <color indexed="64"/>
          </top>
        </border>
      </dxf>
    </rfmt>
    <rfmt sheetId="5" sqref="AC229" start="0" length="0">
      <dxf>
        <font>
          <b/>
          <sz val="10"/>
          <color rgb="FFFF0000"/>
          <name val="Arial"/>
          <scheme val="none"/>
        </font>
        <alignment horizontal="center" readingOrder="0"/>
        <protection locked="0"/>
      </dxf>
    </rfmt>
    <rfmt sheetId="5" sqref="AD229" start="0" length="0">
      <dxf>
        <font>
          <b/>
          <sz val="10"/>
          <color rgb="FFFF0000"/>
          <name val="Arial"/>
          <scheme val="none"/>
        </font>
        <alignment horizontal="center" readingOrder="0"/>
        <protection locked="0"/>
      </dxf>
    </rfmt>
    <rfmt sheetId="5" sqref="AE229" start="0" length="0">
      <dxf>
        <font>
          <b/>
          <sz val="10"/>
          <color rgb="FFFF0000"/>
          <name val="Arial"/>
          <scheme val="none"/>
        </font>
        <alignment horizontal="center" readingOrder="0"/>
        <protection locked="0"/>
      </dxf>
    </rfmt>
    <rfmt sheetId="5" sqref="AF229" start="0" length="0">
      <dxf>
        <font>
          <b/>
          <sz val="10"/>
          <color auto="1"/>
          <name val="Arial"/>
          <scheme val="none"/>
        </font>
        <alignment horizontal="general" readingOrder="0"/>
        <protection locked="0"/>
      </dxf>
    </rfmt>
    <rfmt sheetId="5" sqref="AG229" start="0" length="0">
      <dxf>
        <font>
          <b/>
          <sz val="10"/>
          <color auto="1"/>
          <name val="Arial"/>
          <scheme val="none"/>
        </font>
        <alignment horizontal="general" readingOrder="0"/>
        <protection locked="0"/>
      </dxf>
    </rfmt>
    <rfmt sheetId="5" sqref="AH229" start="0" length="0">
      <dxf>
        <font>
          <b/>
          <sz val="10"/>
          <color auto="1"/>
          <name val="Arial"/>
          <scheme val="none"/>
        </font>
        <alignment horizontal="general" readingOrder="0"/>
        <protection locked="0"/>
      </dxf>
    </rfmt>
    <rfmt sheetId="5" sqref="AI229" start="0" length="0">
      <dxf>
        <font>
          <b/>
          <sz val="10"/>
          <color auto="1"/>
          <name val="Arial"/>
          <scheme val="none"/>
        </font>
        <alignment horizontal="general" readingOrder="0"/>
        <protection locked="0"/>
      </dxf>
    </rfmt>
    <rfmt sheetId="5" sqref="AJ229" start="0" length="0">
      <dxf>
        <font>
          <b/>
          <sz val="10"/>
          <color auto="1"/>
          <name val="Arial"/>
          <scheme val="none"/>
        </font>
        <alignment horizontal="general" readingOrder="0"/>
        <protection locked="0"/>
      </dxf>
    </rfmt>
    <rfmt sheetId="5" sqref="AK229" start="0" length="0">
      <dxf>
        <font>
          <b/>
          <sz val="10"/>
          <color auto="1"/>
          <name val="Arial"/>
          <scheme val="none"/>
        </font>
        <alignment horizontal="general" readingOrder="0"/>
        <protection locked="0"/>
      </dxf>
    </rfmt>
    <rfmt sheetId="5" sqref="AL229" start="0" length="0">
      <dxf>
        <font>
          <b/>
          <sz val="10"/>
          <color auto="1"/>
          <name val="Arial"/>
          <scheme val="none"/>
        </font>
        <alignment horizontal="right" readingOrder="0"/>
        <protection locked="0"/>
      </dxf>
    </rfmt>
    <rfmt sheetId="5" sqref="AM229" start="0" length="0">
      <dxf>
        <font>
          <b/>
          <sz val="10"/>
          <color auto="1"/>
          <name val="Arial"/>
          <scheme val="none"/>
        </font>
        <alignment horizontal="general" readingOrder="0"/>
        <protection locked="0"/>
      </dxf>
    </rfmt>
    <rfmt sheetId="5" sqref="AN229" start="0" length="0">
      <dxf>
        <font>
          <b/>
          <sz val="12"/>
          <color auto="1"/>
          <name val="Arial"/>
          <scheme val="none"/>
        </font>
        <alignment horizontal="general" readingOrder="0"/>
        <protection locked="0"/>
      </dxf>
    </rfmt>
    <rfmt sheetId="5" sqref="AO229" start="0" length="0">
      <dxf>
        <font>
          <b/>
          <sz val="12"/>
          <color auto="1"/>
          <name val="Arial"/>
          <scheme val="none"/>
        </font>
        <alignment horizontal="general" readingOrder="0"/>
        <protection locked="0"/>
      </dxf>
    </rfmt>
    <rfmt sheetId="5" sqref="AP229" start="0" length="0">
      <dxf>
        <font>
          <b/>
          <sz val="10"/>
          <color auto="1"/>
          <name val="Arial"/>
          <scheme val="none"/>
        </font>
        <alignment horizontal="general" readingOrder="0"/>
        <protection locked="0"/>
      </dxf>
    </rfmt>
    <rfmt sheetId="5" sqref="AQ229" start="0" length="0">
      <dxf>
        <font>
          <b/>
          <sz val="10"/>
          <color auto="1"/>
          <name val="Arial"/>
          <scheme val="none"/>
        </font>
        <alignment horizontal="general" readingOrder="0"/>
        <protection locked="0"/>
      </dxf>
    </rfmt>
    <rfmt sheetId="5" sqref="AR229" start="0" length="0">
      <dxf>
        <font>
          <b/>
          <sz val="10"/>
          <color auto="1"/>
          <name val="Arial"/>
          <scheme val="none"/>
        </font>
        <alignment horizontal="general" readingOrder="0"/>
        <protection locked="0"/>
      </dxf>
    </rfmt>
    <rfmt sheetId="5" sqref="AS229" start="0" length="0">
      <dxf>
        <font>
          <b/>
          <sz val="10"/>
          <color auto="1"/>
          <name val="Arial"/>
          <scheme val="none"/>
        </font>
        <alignment horizontal="general" readingOrder="0"/>
        <protection locked="0"/>
      </dxf>
    </rfmt>
    <rfmt sheetId="5" sqref="AT229" start="0" length="0">
      <dxf>
        <font>
          <b/>
          <sz val="10"/>
          <color auto="1"/>
          <name val="Arial"/>
          <scheme val="none"/>
        </font>
        <alignment horizontal="general" readingOrder="0"/>
        <protection locked="0"/>
      </dxf>
    </rfmt>
    <rfmt sheetId="5" sqref="AU229" start="0" length="0">
      <dxf>
        <font>
          <b/>
          <sz val="10"/>
          <color auto="1"/>
          <name val="Arial"/>
          <scheme val="none"/>
        </font>
        <alignment horizontal="general" readingOrder="0"/>
        <protection locked="0"/>
      </dxf>
    </rfmt>
    <rfmt sheetId="5" sqref="AV229" start="0" length="0">
      <dxf>
        <font>
          <b/>
          <sz val="10"/>
          <color auto="1"/>
          <name val="Arial"/>
          <scheme val="none"/>
        </font>
        <alignment horizontal="general" readingOrder="0"/>
        <protection locked="0"/>
      </dxf>
    </rfmt>
    <rfmt sheetId="5" sqref="AW229" start="0" length="0">
      <dxf>
        <font>
          <b/>
          <sz val="10"/>
          <color auto="1"/>
          <name val="Arial"/>
          <scheme val="none"/>
        </font>
        <alignment horizontal="general" readingOrder="0"/>
        <protection locked="0"/>
      </dxf>
    </rfmt>
    <rfmt sheetId="5" sqref="AX229" start="0" length="0">
      <dxf>
        <protection locked="0"/>
      </dxf>
    </rfmt>
    <rfmt sheetId="5" sqref="AY229" start="0" length="0">
      <dxf>
        <protection locked="0"/>
      </dxf>
    </rfmt>
    <rfmt sheetId="5" sqref="AZ229" start="0" length="0">
      <dxf>
        <protection locked="0"/>
      </dxf>
    </rfmt>
    <rfmt sheetId="5" sqref="BA229" start="0" length="0">
      <dxf>
        <protection locked="0"/>
      </dxf>
    </rfmt>
    <rfmt sheetId="5" sqref="BB229" start="0" length="0">
      <dxf>
        <protection locked="0"/>
      </dxf>
    </rfmt>
    <rfmt sheetId="5" sqref="BC229" start="0" length="0">
      <dxf>
        <protection locked="0"/>
      </dxf>
    </rfmt>
    <rfmt sheetId="5" sqref="BD229" start="0" length="0">
      <dxf>
        <protection locked="0"/>
      </dxf>
    </rfmt>
    <rfmt sheetId="5" sqref="BE229" start="0" length="0">
      <dxf>
        <protection locked="0"/>
      </dxf>
    </rfmt>
    <rfmt sheetId="5" sqref="BF229" start="0" length="0">
      <dxf>
        <protection locked="0"/>
      </dxf>
    </rfmt>
    <rfmt sheetId="5" sqref="BG229" start="0" length="0">
      <dxf>
        <protection locked="0"/>
      </dxf>
    </rfmt>
    <rfmt sheetId="5" sqref="BH229" start="0" length="0">
      <dxf>
        <protection locked="0"/>
      </dxf>
    </rfmt>
    <rfmt sheetId="5" sqref="BI229" start="0" length="0">
      <dxf>
        <protection locked="0"/>
      </dxf>
    </rfmt>
    <rfmt sheetId="5" sqref="BJ229" start="0" length="0">
      <dxf>
        <protection locked="0"/>
      </dxf>
    </rfmt>
    <rfmt sheetId="5" sqref="BK229" start="0" length="0">
      <dxf>
        <protection locked="0"/>
      </dxf>
    </rfmt>
    <rfmt sheetId="5" sqref="BL229" start="0" length="0">
      <dxf>
        <protection locked="0"/>
      </dxf>
    </rfmt>
    <rfmt sheetId="5" sqref="BM229" start="0" length="0">
      <dxf>
        <protection locked="0"/>
      </dxf>
    </rfmt>
    <rfmt sheetId="5" sqref="BN229" start="0" length="0">
      <dxf>
        <protection locked="0"/>
      </dxf>
    </rfmt>
    <rfmt sheetId="5" sqref="BO229" start="0" length="0">
      <dxf>
        <protection locked="0"/>
      </dxf>
    </rfmt>
    <rfmt sheetId="5" sqref="BP229" start="0" length="0">
      <dxf>
        <protection locked="0"/>
      </dxf>
    </rfmt>
    <rfmt sheetId="5" sqref="BQ229" start="0" length="0">
      <dxf>
        <protection locked="0"/>
      </dxf>
    </rfmt>
    <rfmt sheetId="5" sqref="BR229" start="0" length="0">
      <dxf>
        <protection locked="0"/>
      </dxf>
    </rfmt>
    <rfmt sheetId="5" sqref="BS229" start="0" length="0">
      <dxf>
        <protection locked="0"/>
      </dxf>
    </rfmt>
    <rfmt sheetId="5" sqref="BT229" start="0" length="0">
      <dxf>
        <protection locked="0"/>
      </dxf>
    </rfmt>
    <rfmt sheetId="5" sqref="BU229" start="0" length="0">
      <dxf>
        <protection locked="0"/>
      </dxf>
    </rfmt>
    <rfmt sheetId="5" sqref="BV229" start="0" length="0">
      <dxf>
        <protection locked="0"/>
      </dxf>
    </rfmt>
    <rfmt sheetId="5" sqref="BW229" start="0" length="0">
      <dxf>
        <protection locked="0"/>
      </dxf>
    </rfmt>
  </rrc>
  <rrc rId="110" sId="5" ref="A229:XFD229"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11" exp="area" dr="$Q199:$Q229" r="Q196" sId="5"/>
    <undo index="9" exp="area" dr="$K199:$K229" r="Q196" sId="5"/>
    <undo index="6" exp="area" dr="$O199:$O229" r="Q196" sId="5"/>
    <undo index="4" exp="area" dr="$K199:$K229" r="Q196" sId="5"/>
    <undo index="2" exp="area" dr="$M199:$M229" r="Q196" sId="5"/>
    <undo index="0" exp="area" dr="$K199:$K229" r="Q196" sId="5"/>
    <undo index="11" exp="area" dr="$Q199:$Q229" r="F196" sId="5"/>
    <undo index="9" exp="area" dr="$K199:$K229" r="F196" sId="5"/>
    <undo index="6" exp="area" dr="$O199:$O229" r="F196" sId="5"/>
    <undo index="4" exp="area" dr="$K199:$K229" r="F196" sId="5"/>
    <undo index="2" exp="area" dr="$M199:$M229" r="F196" sId="5"/>
    <undo index="0" exp="area" dr="$K199:$K229" r="F196" sId="5"/>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29:XFD229" start="0" length="0">
      <dxf>
        <fill>
          <patternFill patternType="solid">
            <bgColor theme="0"/>
          </patternFill>
        </fill>
        <alignment horizontal="left" vertical="center" wrapText="1" readingOrder="0"/>
      </dxf>
    </rfmt>
    <rfmt sheetId="5" sqref="A229" start="0" length="0">
      <dxf>
        <alignment horizontal="center" vertical="top" readingOrder="0"/>
        <border outline="0">
          <left style="thin">
            <color indexed="64"/>
          </left>
          <right style="dashed">
            <color indexed="64"/>
          </right>
          <bottom style="thin">
            <color indexed="64"/>
          </bottom>
        </border>
      </dxf>
    </rfmt>
    <rfmt sheetId="5" sqref="B229" start="0" length="0">
      <dxf>
        <alignment horizontal="center" vertical="top" readingOrder="0"/>
        <border outline="0">
          <left style="dashed">
            <color indexed="64"/>
          </left>
          <right style="dashed">
            <color indexed="64"/>
          </right>
          <bottom style="thin">
            <color indexed="64"/>
          </bottom>
        </border>
      </dxf>
    </rfmt>
    <rfmt sheetId="5" sqref="C229" start="0" length="0">
      <dxf>
        <alignment horizontal="center" vertical="top" readingOrder="0"/>
        <border outline="0">
          <left style="dashed">
            <color indexed="64"/>
          </left>
          <right style="dashed">
            <color indexed="64"/>
          </right>
          <bottom style="thin">
            <color indexed="64"/>
          </bottom>
        </border>
      </dxf>
    </rfmt>
    <rfmt sheetId="5" sqref="D229" start="0" length="0">
      <dxf>
        <alignment vertical="top" readingOrder="0"/>
        <border outline="0">
          <left style="dashed">
            <color indexed="64"/>
          </left>
          <right style="dashed">
            <color indexed="64"/>
          </right>
          <bottom style="thin">
            <color indexed="64"/>
          </bottom>
        </border>
      </dxf>
    </rfmt>
    <rfmt sheetId="5" sqref="E229" start="0" length="0">
      <dxf>
        <alignment vertical="top" readingOrder="0"/>
        <border outline="0">
          <left style="dashed">
            <color indexed="64"/>
          </left>
          <right style="dashed">
            <color indexed="64"/>
          </right>
          <bottom style="thin">
            <color indexed="64"/>
          </bottom>
        </border>
      </dxf>
    </rfmt>
    <rfmt sheetId="5" sqref="F229" start="0" length="0">
      <dxf>
        <alignment vertical="top" readingOrder="0"/>
        <border outline="0">
          <left style="dashed">
            <color indexed="64"/>
          </left>
          <right style="dashed">
            <color indexed="64"/>
          </right>
          <bottom style="thin">
            <color indexed="64"/>
          </bottom>
        </border>
      </dxf>
    </rfmt>
    <rfmt sheetId="5" sqref="G229" start="0" length="0">
      <dxf>
        <alignment vertical="top" readingOrder="0"/>
        <border outline="0">
          <left style="dashed">
            <color indexed="64"/>
          </left>
          <right style="dashed">
            <color indexed="64"/>
          </right>
          <bottom style="thin">
            <color indexed="64"/>
          </bottom>
        </border>
      </dxf>
    </rfmt>
    <rfmt sheetId="5" sqref="H229" start="0" length="0">
      <dxf>
        <alignment vertical="top" readingOrder="0"/>
        <border outline="0">
          <left style="dashed">
            <color indexed="64"/>
          </left>
          <right style="dashed">
            <color indexed="64"/>
          </right>
          <bottom style="thin">
            <color indexed="64"/>
          </bottom>
        </border>
      </dxf>
    </rfmt>
    <rfmt sheetId="5" sqref="I229" start="0" length="0">
      <dxf>
        <alignment vertical="top" readingOrder="0"/>
        <border outline="0">
          <left style="dashed">
            <color indexed="64"/>
          </left>
          <right style="dashed">
            <color indexed="64"/>
          </right>
          <bottom style="thin">
            <color indexed="64"/>
          </bottom>
        </border>
      </dxf>
    </rfmt>
    <rfmt sheetId="5" sqref="J229" start="0" length="0">
      <dxf>
        <font>
          <b/>
          <sz val="10"/>
          <color auto="1"/>
          <name val="Arial"/>
          <scheme val="none"/>
        </font>
        <alignment horizontal="center" readingOrder="0"/>
        <border outline="0">
          <left style="dashed">
            <color indexed="64"/>
          </left>
          <right style="dashed">
            <color indexed="64"/>
          </right>
          <bottom style="thin">
            <color indexed="64"/>
          </bottom>
        </border>
      </dxf>
    </rfmt>
    <rcc rId="0" sId="5" dxf="1">
      <nc r="K229">
        <f>'C:\ERIC CAMACHO\GF NFM Application Documents\CN Draft\[Module for TB.HIV_25June.xlsx]Translations'!$A$79</f>
      </nc>
      <ndxf>
        <fill>
          <patternFill>
            <bgColor theme="8" tint="0.79998168889431442"/>
          </patternFill>
        </fill>
        <alignment horizontal="center" readingOrder="0"/>
        <border outline="0">
          <left style="dashed">
            <color indexed="64"/>
          </left>
          <right style="dashed">
            <color indexed="64"/>
          </right>
          <top style="dotted">
            <color indexed="64"/>
          </top>
          <bottom style="thin">
            <color indexed="64"/>
          </bottom>
        </border>
      </ndxf>
    </rcc>
    <rfmt sheetId="5" sqref="L229" start="0" length="0">
      <dxf>
        <fill>
          <patternFill>
            <bgColor theme="8" tint="0.79998168889431442"/>
          </patternFill>
        </fill>
        <alignment horizontal="center" readingOrder="0"/>
        <border outline="0">
          <left style="dashed">
            <color indexed="64"/>
          </left>
          <right style="dashed">
            <color indexed="64"/>
          </right>
          <top style="dotted">
            <color indexed="64"/>
          </top>
          <bottom style="thin">
            <color indexed="64"/>
          </bottom>
        </border>
      </dxf>
    </rfmt>
    <rfmt sheetId="5" s="1" sqref="M229"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N229"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O229"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P229"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Q229"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R229"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qref="S229" start="0" length="0">
      <dxf>
        <alignment horizontal="center" readingOrder="0"/>
        <border outline="0">
          <left style="dashed">
            <color indexed="64"/>
          </left>
          <right style="dashed">
            <color indexed="64"/>
          </right>
          <top style="thin">
            <color indexed="64"/>
          </top>
          <bottom style="thin">
            <color indexed="64"/>
          </bottom>
        </border>
      </dxf>
    </rfmt>
    <rfmt sheetId="5" sqref="T229" start="0" length="0">
      <dxf>
        <alignment horizontal="center" readingOrder="0"/>
        <border outline="0">
          <left style="dashed">
            <color indexed="64"/>
          </left>
          <right style="dashed">
            <color indexed="64"/>
          </right>
          <top style="thin">
            <color indexed="64"/>
          </top>
          <bottom style="thin">
            <color indexed="64"/>
          </bottom>
        </border>
      </dxf>
    </rfmt>
    <rfmt sheetId="5" sqref="U229" start="0" length="0">
      <dxf>
        <alignment horizontal="center" readingOrder="0"/>
        <border outline="0">
          <left style="dashed">
            <color indexed="64"/>
          </left>
          <right style="dashed">
            <color indexed="64"/>
          </right>
          <top style="thin">
            <color indexed="64"/>
          </top>
          <bottom style="thin">
            <color indexed="64"/>
          </bottom>
        </border>
      </dxf>
    </rfmt>
    <rfmt sheetId="5" sqref="V229" start="0" length="0">
      <dxf>
        <alignment horizontal="center" readingOrder="0"/>
        <border outline="0">
          <left style="dashed">
            <color indexed="64"/>
          </left>
          <right style="dashed">
            <color indexed="64"/>
          </right>
          <top style="thin">
            <color indexed="64"/>
          </top>
          <bottom style="thin">
            <color indexed="64"/>
          </bottom>
        </border>
      </dxf>
    </rfmt>
    <rfmt sheetId="5" sqref="W229" start="0" length="0">
      <dxf>
        <alignment horizontal="center" readingOrder="0"/>
        <border outline="0">
          <left style="dashed">
            <color indexed="64"/>
          </left>
          <right style="dashed">
            <color indexed="64"/>
          </right>
          <top style="thin">
            <color indexed="64"/>
          </top>
          <bottom style="thin">
            <color indexed="64"/>
          </bottom>
        </border>
      </dxf>
    </rfmt>
    <rfmt sheetId="5" sqref="X229" start="0" length="0">
      <dxf>
        <alignment horizontal="center" readingOrder="0"/>
        <border outline="0">
          <left style="dashed">
            <color indexed="64"/>
          </left>
          <right style="dashed">
            <color indexed="64"/>
          </right>
          <top style="thin">
            <color indexed="64"/>
          </top>
          <bottom style="thin">
            <color indexed="64"/>
          </bottom>
        </border>
      </dxf>
    </rfmt>
    <rfmt sheetId="5" sqref="Y229" start="0" length="0">
      <dxf>
        <alignment horizontal="center" readingOrder="0"/>
        <border outline="0">
          <left style="dashed">
            <color indexed="64"/>
          </left>
          <right style="dashed">
            <color indexed="64"/>
          </right>
          <top style="thin">
            <color indexed="64"/>
          </top>
          <bottom style="thin">
            <color indexed="64"/>
          </bottom>
        </border>
      </dxf>
    </rfmt>
    <rfmt sheetId="5" sqref="Z229" start="0" length="0">
      <dxf>
        <alignment horizontal="center" readingOrder="0"/>
        <border outline="0">
          <left style="dashed">
            <color indexed="64"/>
          </left>
          <right style="dashed">
            <color indexed="64"/>
          </right>
          <bottom style="thin">
            <color indexed="64"/>
          </bottom>
        </border>
      </dxf>
    </rfmt>
    <rfmt sheetId="5" sqref="AA229" start="0" length="0">
      <dxf>
        <alignment horizontal="center" readingOrder="0"/>
        <border outline="0">
          <left style="dashed">
            <color indexed="64"/>
          </left>
          <right style="dashed">
            <color indexed="64"/>
          </right>
          <bottom style="thin">
            <color indexed="64"/>
          </bottom>
        </border>
      </dxf>
    </rfmt>
    <rfmt sheetId="5" sqref="AB229" start="0" length="0">
      <dxf>
        <alignment horizontal="center" readingOrder="0"/>
        <border outline="0">
          <left style="dashed">
            <color indexed="64"/>
          </left>
          <right style="thin">
            <color indexed="64"/>
          </right>
          <bottom style="thin">
            <color indexed="64"/>
          </bottom>
        </border>
      </dxf>
    </rfmt>
    <rfmt sheetId="5" sqref="AC229" start="0" length="0">
      <dxf>
        <font>
          <b/>
          <sz val="10"/>
          <color auto="1"/>
          <name val="Arial"/>
          <scheme val="none"/>
        </font>
        <alignment horizontal="general" readingOrder="0"/>
        <protection locked="0"/>
      </dxf>
    </rfmt>
    <rfmt sheetId="5" sqref="AD229" start="0" length="0">
      <dxf>
        <font>
          <b/>
          <sz val="10"/>
          <color auto="1"/>
          <name val="Arial"/>
          <scheme val="none"/>
        </font>
        <alignment horizontal="general" readingOrder="0"/>
        <protection locked="0"/>
      </dxf>
    </rfmt>
    <rfmt sheetId="5" sqref="AE229" start="0" length="0">
      <dxf>
        <font>
          <b/>
          <sz val="10"/>
          <color auto="1"/>
          <name val="Arial"/>
          <scheme val="none"/>
        </font>
        <alignment horizontal="general" readingOrder="0"/>
        <protection locked="0"/>
      </dxf>
    </rfmt>
    <rfmt sheetId="5" sqref="AF229" start="0" length="0">
      <dxf>
        <font>
          <b/>
          <sz val="10"/>
          <color auto="1"/>
          <name val="Arial"/>
          <scheme val="none"/>
        </font>
        <alignment horizontal="general" readingOrder="0"/>
        <protection locked="0"/>
      </dxf>
    </rfmt>
    <rfmt sheetId="5" sqref="AG229" start="0" length="0">
      <dxf>
        <font>
          <b/>
          <sz val="10"/>
          <color auto="1"/>
          <name val="Arial"/>
          <scheme val="none"/>
        </font>
        <alignment horizontal="general" readingOrder="0"/>
        <protection locked="0"/>
      </dxf>
    </rfmt>
    <rfmt sheetId="5" sqref="AH229" start="0" length="0">
      <dxf>
        <font>
          <b/>
          <sz val="10"/>
          <color auto="1"/>
          <name val="Arial"/>
          <scheme val="none"/>
        </font>
        <alignment horizontal="general" readingOrder="0"/>
        <protection locked="0"/>
      </dxf>
    </rfmt>
    <rfmt sheetId="5" sqref="AI229" start="0" length="0">
      <dxf>
        <font>
          <b/>
          <sz val="10"/>
          <color auto="1"/>
          <name val="Arial"/>
          <scheme val="none"/>
        </font>
        <alignment horizontal="general" readingOrder="0"/>
        <protection locked="0"/>
      </dxf>
    </rfmt>
    <rfmt sheetId="5" sqref="AJ229" start="0" length="0">
      <dxf>
        <font>
          <b/>
          <sz val="10"/>
          <color auto="1"/>
          <name val="Arial"/>
          <scheme val="none"/>
        </font>
        <alignment horizontal="general" readingOrder="0"/>
        <protection locked="0"/>
      </dxf>
    </rfmt>
    <rfmt sheetId="5" sqref="AK229" start="0" length="0">
      <dxf>
        <font>
          <b/>
          <sz val="10"/>
          <color auto="1"/>
          <name val="Arial"/>
          <scheme val="none"/>
        </font>
        <alignment horizontal="general" readingOrder="0"/>
        <protection locked="0"/>
      </dxf>
    </rfmt>
    <rfmt sheetId="5" sqref="AL229" start="0" length="0">
      <dxf>
        <font>
          <b/>
          <sz val="10"/>
          <color auto="1"/>
          <name val="Arial"/>
          <scheme val="none"/>
        </font>
        <alignment horizontal="right" readingOrder="0"/>
        <protection locked="0"/>
      </dxf>
    </rfmt>
    <rfmt sheetId="5" sqref="AM229" start="0" length="0">
      <dxf>
        <font>
          <b/>
          <sz val="10"/>
          <color auto="1"/>
          <name val="Arial"/>
          <scheme val="none"/>
        </font>
        <alignment horizontal="general" readingOrder="0"/>
        <protection locked="0"/>
      </dxf>
    </rfmt>
    <rfmt sheetId="5" sqref="AN229" start="0" length="0">
      <dxf>
        <font>
          <b/>
          <sz val="12"/>
          <color auto="1"/>
          <name val="Arial"/>
          <scheme val="none"/>
        </font>
        <alignment horizontal="general" readingOrder="0"/>
        <protection locked="0"/>
      </dxf>
    </rfmt>
    <rfmt sheetId="5" sqref="AO229" start="0" length="0">
      <dxf>
        <font>
          <b/>
          <sz val="12"/>
          <color auto="1"/>
          <name val="Arial"/>
          <scheme val="none"/>
        </font>
        <alignment horizontal="general" readingOrder="0"/>
        <protection locked="0"/>
      </dxf>
    </rfmt>
    <rfmt sheetId="5" sqref="AP229" start="0" length="0">
      <dxf>
        <font>
          <b/>
          <sz val="10"/>
          <color auto="1"/>
          <name val="Arial"/>
          <scheme val="none"/>
        </font>
        <alignment horizontal="general" readingOrder="0"/>
        <protection locked="0"/>
      </dxf>
    </rfmt>
    <rfmt sheetId="5" sqref="AQ229" start="0" length="0">
      <dxf>
        <font>
          <b/>
          <sz val="10"/>
          <color auto="1"/>
          <name val="Arial"/>
          <scheme val="none"/>
        </font>
        <alignment horizontal="general" readingOrder="0"/>
        <protection locked="0"/>
      </dxf>
    </rfmt>
    <rfmt sheetId="5" sqref="AR229" start="0" length="0">
      <dxf>
        <font>
          <b/>
          <sz val="10"/>
          <color auto="1"/>
          <name val="Arial"/>
          <scheme val="none"/>
        </font>
        <alignment horizontal="general" readingOrder="0"/>
        <protection locked="0"/>
      </dxf>
    </rfmt>
    <rfmt sheetId="5" sqref="AS229" start="0" length="0">
      <dxf>
        <font>
          <b/>
          <sz val="10"/>
          <color auto="1"/>
          <name val="Arial"/>
          <scheme val="none"/>
        </font>
        <alignment horizontal="general" readingOrder="0"/>
        <protection locked="0"/>
      </dxf>
    </rfmt>
    <rfmt sheetId="5" sqref="AT229" start="0" length="0">
      <dxf>
        <font>
          <b/>
          <sz val="10"/>
          <color auto="1"/>
          <name val="Arial"/>
          <scheme val="none"/>
        </font>
        <alignment horizontal="general" readingOrder="0"/>
        <protection locked="0"/>
      </dxf>
    </rfmt>
    <rfmt sheetId="5" sqref="AU229" start="0" length="0">
      <dxf>
        <font>
          <b/>
          <sz val="10"/>
          <color auto="1"/>
          <name val="Arial"/>
          <scheme val="none"/>
        </font>
        <alignment horizontal="general" readingOrder="0"/>
        <protection locked="0"/>
      </dxf>
    </rfmt>
    <rfmt sheetId="5" sqref="AV229" start="0" length="0">
      <dxf>
        <font>
          <b/>
          <sz val="10"/>
          <color auto="1"/>
          <name val="Arial"/>
          <scheme val="none"/>
        </font>
        <alignment horizontal="general" readingOrder="0"/>
        <protection locked="0"/>
      </dxf>
    </rfmt>
    <rfmt sheetId="5" sqref="AW229" start="0" length="0">
      <dxf>
        <font>
          <b/>
          <sz val="10"/>
          <color auto="1"/>
          <name val="Arial"/>
          <scheme val="none"/>
        </font>
        <alignment horizontal="general" readingOrder="0"/>
        <protection locked="0"/>
      </dxf>
    </rfmt>
    <rfmt sheetId="5" sqref="AX229" start="0" length="0">
      <dxf>
        <protection locked="0"/>
      </dxf>
    </rfmt>
    <rfmt sheetId="5" sqref="AY229" start="0" length="0">
      <dxf>
        <protection locked="0"/>
      </dxf>
    </rfmt>
    <rfmt sheetId="5" sqref="AZ229" start="0" length="0">
      <dxf>
        <protection locked="0"/>
      </dxf>
    </rfmt>
    <rfmt sheetId="5" sqref="BA229" start="0" length="0">
      <dxf>
        <protection locked="0"/>
      </dxf>
    </rfmt>
    <rfmt sheetId="5" sqref="BB229" start="0" length="0">
      <dxf>
        <protection locked="0"/>
      </dxf>
    </rfmt>
    <rfmt sheetId="5" sqref="BC229" start="0" length="0">
      <dxf>
        <protection locked="0"/>
      </dxf>
    </rfmt>
    <rfmt sheetId="5" sqref="BD229" start="0" length="0">
      <dxf>
        <protection locked="0"/>
      </dxf>
    </rfmt>
    <rfmt sheetId="5" sqref="BE229" start="0" length="0">
      <dxf>
        <protection locked="0"/>
      </dxf>
    </rfmt>
    <rfmt sheetId="5" sqref="BF229" start="0" length="0">
      <dxf>
        <protection locked="0"/>
      </dxf>
    </rfmt>
    <rfmt sheetId="5" sqref="BG229" start="0" length="0">
      <dxf>
        <protection locked="0"/>
      </dxf>
    </rfmt>
    <rfmt sheetId="5" sqref="BH229" start="0" length="0">
      <dxf>
        <protection locked="0"/>
      </dxf>
    </rfmt>
    <rfmt sheetId="5" sqref="BI229" start="0" length="0">
      <dxf>
        <protection locked="0"/>
      </dxf>
    </rfmt>
    <rfmt sheetId="5" sqref="BJ229" start="0" length="0">
      <dxf>
        <protection locked="0"/>
      </dxf>
    </rfmt>
    <rfmt sheetId="5" sqref="BK229" start="0" length="0">
      <dxf>
        <protection locked="0"/>
      </dxf>
    </rfmt>
    <rfmt sheetId="5" sqref="BL229" start="0" length="0">
      <dxf>
        <protection locked="0"/>
      </dxf>
    </rfmt>
    <rfmt sheetId="5" sqref="BM229" start="0" length="0">
      <dxf>
        <protection locked="0"/>
      </dxf>
    </rfmt>
    <rfmt sheetId="5" sqref="BN229" start="0" length="0">
      <dxf>
        <protection locked="0"/>
      </dxf>
    </rfmt>
    <rfmt sheetId="5" sqref="BO229" start="0" length="0">
      <dxf>
        <protection locked="0"/>
      </dxf>
    </rfmt>
    <rfmt sheetId="5" sqref="BP229" start="0" length="0">
      <dxf>
        <protection locked="0"/>
      </dxf>
    </rfmt>
    <rfmt sheetId="5" sqref="BQ229" start="0" length="0">
      <dxf>
        <protection locked="0"/>
      </dxf>
    </rfmt>
    <rfmt sheetId="5" sqref="BR229" start="0" length="0">
      <dxf>
        <protection locked="0"/>
      </dxf>
    </rfmt>
    <rfmt sheetId="5" sqref="BS229" start="0" length="0">
      <dxf>
        <protection locked="0"/>
      </dxf>
    </rfmt>
    <rfmt sheetId="5" sqref="BT229" start="0" length="0">
      <dxf>
        <protection locked="0"/>
      </dxf>
    </rfmt>
    <rfmt sheetId="5" sqref="BU229" start="0" length="0">
      <dxf>
        <protection locked="0"/>
      </dxf>
    </rfmt>
    <rfmt sheetId="5" sqref="BV229" start="0" length="0">
      <dxf>
        <protection locked="0"/>
      </dxf>
    </rfmt>
    <rfmt sheetId="5" sqref="BW229" start="0" length="0">
      <dxf>
        <protection locked="0"/>
      </dxf>
    </rfmt>
  </rrc>
  <rcv guid="{721132AF-EF29-4C83-8A4A-F17ABB4BD7C0}" action="delete"/>
  <rdn rId="0" localSheetId="5" customView="1" name="Z_721132AF_EF29_4C83_8A4A_F17ABB4BD7C0_.wvu.PrintArea" hidden="1" oldHidden="1">
    <formula>'Concept Note'!$A$1:$AB$260</formula>
    <oldFormula>'Concept Note'!$A$1:$AB$260</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Z94:AB95">
    <dxf>
      <alignment vertical="top" readingOrder="0"/>
    </dxf>
  </rfmt>
  <rfmt sheetId="5" sqref="D98:I101">
    <dxf>
      <alignment vertical="top" readingOrder="0"/>
    </dxf>
  </rfmt>
  <rfmt sheetId="5" sqref="A129:I132">
    <dxf>
      <alignment vertical="top" readingOrder="0"/>
    </dxf>
  </rfmt>
  <rfmt sheetId="5" sqref="Z172:AB173">
    <dxf>
      <alignment vertical="top" readingOrder="0"/>
    </dxf>
  </rfmt>
  <rcmt sheetId="5" cell="S203" guid="{00000000-0000-0000-0000-000000000000}" action="delete" alwaysShow="1" author="Qi Cui"/>
  <rcc rId="114" sId="5">
    <oc r="S215" t="inlineStr">
      <is>
        <t>This includes all routine (programmatic/financial) monitoring and reporting done by the PR and its 4 SRs  in prepration of progress updates for the GF. It also includes budget for studies and researches to be done under the NFM to support project implementation.</t>
      </is>
    </oc>
    <nc r="S215" t="inlineStr">
      <is>
        <t>This includes all routine (programmatic/financial) monitoring and reporting done by the PR and its 4 SRs  in prepration of progress updates for the GF. Full cost details is in Annex 4.3D - PR and SR M&amp;E sections</t>
      </is>
    </nc>
  </rcc>
  <rcc rId="115" sId="5">
    <oc r="Z219" t="inlineStr">
      <is>
        <t>The DOH-IMS will procure computers for all RHUs for use in DOH IS, inclduing the IT IS.</t>
      </is>
    </oc>
    <nc r="Z219" t="inlineStr">
      <is>
        <t>The DOH-IMS will procure computers for all RHUs for use in DOH IS, inclduing the IT IS. Cost for IT IS training will be via NTP and USAID/IMPACT (in their project sites)</t>
      </is>
    </nc>
  </rcc>
  <rcc rId="116" sId="5">
    <oc r="S227" t="inlineStr">
      <is>
        <t>This pertains to the cost of the operations researches to be conducted under the TB-HIV module which will be subcontracted thorugh competitive bidding. The usual cost parameters wil be 20-30% for professional fees, 50-60% for operating expenses on the research and 10-20% for reproduction and dissemination of findings.
Full cost details in Annex 4.3 C</t>
      </is>
    </oc>
    <nc r="S227" t="inlineStr">
      <is>
        <t>This pertains to the cost of the operations researches to be conducted under the TB-HIV module which will be subcontracted thorugh competitive bidding. The usual cost parameters will be 20-30% for professional fees, 50-60% for operating expenses on the research and 10-20% for reproduction and dissemination of findings.
Full cost details in Annex 4.3 C</t>
      </is>
    </nc>
  </rcc>
  <rcc rId="117" sId="5">
    <oc r="S244" t="inlineStr">
      <is>
        <t>4. PM Planning Coordination and Management. For the PR, costs included herein are (1) Technical Management Assistance budget for the NTP (on Org development, Logistics Management, Preparation for the National Prevalence Survey 2017, and Operations research) , SRs (on organizational systems strengthening based on results of SR assessment and audit) , NTRL (Laboratory Management). This is usually engagement of short term consultants with rates ranging from USD 100 – 240/day; (2) Cost of training for SRs (on PDIME, Risk Management, use of e-TRAMS, and Financial Management) PR staff development trainings related to function and limited international trainings for specialists; (3) Production of project collaterals like annual project reports, documentation of best practices and support to NTP communication activities; (4) Monthly SR financial and programmatic monitoring &amp; contract compliance monitoring, semi-annual internal audit reviews, OSDV costs and semi-annual project implementation reviews; (5) Commissioning of PR and SR annual external audit: (6) Conduct of special studies on sustainability and project technical needs;  (7) Planning and administration costs to include SR selection and orientation, annual project operations planning, bi-monthly operations meetings, quarterly PR-SR meetings, annual fixed assets registry monitoring &amp; updating, and other related expenses (Office supplies, gasoline and related transportation fees, legal, bank charges, etc.) and (8) overheads (internet and communication, freight and messenerial, office rental fees, reproduction costs, vehicle insurances, security and maintenance). All cost units herein are based on actual cost. For the SRs, its essentially number 7 and 8. FULL details can be seen in Annex 4.3D – PR &amp; SR Costs.</t>
      </is>
    </oc>
    <nc r="S244" t="inlineStr">
      <is>
        <t>4. For the PR, costs included herein are (1) Technical Management Assistance budget for the NTP (on Org development, Logistics Management, Preparation for the National Prevalence Survey 2017, and Operations research) , SRs (on organizational systems strengthening based on results of SR assessment and audit) , NTRL (Laboratory Management). This is usually engagement of short term consultants with rates ranging from USD 100 – 240/day; (2) Cost of training for SRs (on PDIME, Risk Management, use of e-TRAMS, and Financial Management) PR staff development trainings related to function and limited international trainings for specialists; (3) Production of project collaterals like annual project reports, documentation of best practices and support to NTP communication activities; (4) Monthly SR financial and programmatic monitoring &amp; contract compliance monitoring, semi-annual internal audit reviews, OSDV costs and semi-annual project implementation reviews; (5) Commissioning of PR and SR annual external audit: (6) Conduct of special studies on sustainability and project technical needs;  (7) Planning and administration costs to include SR selection and orientation, annual project operations planning, bi-monthly operations meetings, quarterly PR-SR meetings, annual fixed assets registry monitoring &amp; updating, and other related expenses (Office supplies, gasoline and related transportation fees, legal, bank charges, etc.) and (8) overheads (internet and communication, freight and messenerial, office rental fees, reproduction costs, vehicle insurances, security and maintenance). All cost units herein are based on actual cost. For the SRs, its essentially number 7 and 8. FULL details can be seen in Annex 4.3D – PR &amp; SR Costs.</t>
      </is>
    </nc>
  </rcc>
  <rcc rId="118" sId="5">
    <oc r="S248"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number of technical staff and HR staff is slightly higher than the current grant due to the direct management of the 300 AIDERS. The PR also beefed up its finance and audit team due to the huge budget and expected transaction load and the need to ensure proper grant fund management. The PR will also support 23 core personnel of PBSP but will be compensated based on Level of Effort. The PR will also serve as fiduciary agent and will second personnel to LCP (4), IDO (8) and CHDs (17) to augment government personnel due to the scale-up operations of the NTP nationwide, particularly for PMDT and the deployment of 300 AIDERS.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t>
      </is>
    </oc>
    <nc r="S248"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staffing is 38 more than the PR manning in the current grant. This is due to the NGM implementation arrangement, whereby the PR will fucntion as fiduciary agent for IDO-NTP, IMS and LCP to facilitate efficient fund management. This is also beause PR will facilitate hiring and management of the 300 AIDERS to be deployed nationwide. This also reflects PR beefing up its finance and audit team for improved financial management and accounting . The NFM will also support 23 core personnel of PBSP ( 19 under the current grant) and will still be compensated based on Level of Effort.  The PR will also engage and second technical personnel to LCP (4), IDO (8) and CHDs (17) to augment manpower to guarantee smooth NTP management and supervision as the direction of the NTP in the next 3 years is intensifying (DOTS) and scaling-up (PMDT).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t>
      </is>
    </nc>
  </rcc>
  <rrc rId="119" sId="5" ref="A256:XFD256"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56:XFD256" start="0" length="0">
      <dxf>
        <fill>
          <patternFill patternType="solid">
            <bgColor theme="0"/>
          </patternFill>
        </fill>
        <alignment horizontal="left" vertical="center" wrapText="1" readingOrder="0"/>
      </dxf>
    </rfmt>
    <rcc rId="0" sId="5" dxf="1">
      <nc r="A256">
        <f>Translations!$A$72</f>
      </nc>
      <ndxf>
        <alignment horizontal="center" readingOrder="0"/>
        <border outline="0">
          <left style="thin">
            <color indexed="64"/>
          </left>
          <right style="dashed">
            <color indexed="64"/>
          </right>
          <top style="thin">
            <color indexed="64"/>
          </top>
        </border>
      </ndxf>
    </rcc>
    <rfmt sheetId="5" sqref="B256" start="0" length="0">
      <dxf>
        <alignment horizontal="center" readingOrder="0"/>
        <border outline="0">
          <left style="dashed">
            <color indexed="64"/>
          </left>
          <right style="dashed">
            <color indexed="64"/>
          </right>
          <top style="thin">
            <color indexed="64"/>
          </top>
        </border>
      </dxf>
    </rfmt>
    <rfmt sheetId="5" sqref="C256" start="0" length="0">
      <dxf>
        <alignment horizontal="center" readingOrder="0"/>
        <border outline="0">
          <left style="dashed">
            <color indexed="64"/>
          </left>
          <right style="dashed">
            <color indexed="64"/>
          </right>
          <top style="thin">
            <color indexed="64"/>
          </top>
        </border>
      </dxf>
    </rfmt>
    <rfmt sheetId="5" sqref="D256" start="0" length="0">
      <dxf>
        <font>
          <b/>
          <sz val="10"/>
          <color auto="1"/>
          <name val="Arial"/>
          <scheme val="none"/>
        </font>
        <alignment horizontal="general" readingOrder="0"/>
        <border outline="0">
          <left style="dashed">
            <color indexed="64"/>
          </left>
          <right style="dashed">
            <color indexed="64"/>
          </right>
          <top style="thin">
            <color indexed="64"/>
          </top>
        </border>
      </dxf>
    </rfmt>
    <rfmt sheetId="5" sqref="E256" start="0" length="0">
      <dxf>
        <font>
          <b/>
          <sz val="10"/>
          <color auto="1"/>
          <name val="Arial"/>
          <scheme val="none"/>
        </font>
        <alignment horizontal="general" readingOrder="0"/>
        <border outline="0">
          <left style="dashed">
            <color indexed="64"/>
          </left>
          <right style="dashed">
            <color indexed="64"/>
          </right>
          <top style="thin">
            <color indexed="64"/>
          </top>
        </border>
      </dxf>
    </rfmt>
    <rfmt sheetId="5" sqref="F256" start="0" length="0">
      <dxf>
        <font>
          <b/>
          <sz val="10"/>
          <color auto="1"/>
          <name val="Arial"/>
          <scheme val="none"/>
        </font>
        <alignment horizontal="general" readingOrder="0"/>
        <border outline="0">
          <left style="dashed">
            <color indexed="64"/>
          </left>
          <right style="dashed">
            <color indexed="64"/>
          </right>
          <top style="thin">
            <color indexed="64"/>
          </top>
        </border>
      </dxf>
    </rfmt>
    <rfmt sheetId="5" sqref="G256" start="0" length="0">
      <dxf>
        <font>
          <b/>
          <sz val="10"/>
          <color auto="1"/>
          <name val="Arial"/>
          <scheme val="none"/>
        </font>
        <alignment horizontal="general" readingOrder="0"/>
        <border outline="0">
          <left style="dashed">
            <color indexed="64"/>
          </left>
          <right style="dashed">
            <color indexed="64"/>
          </right>
          <top style="thin">
            <color indexed="64"/>
          </top>
        </border>
      </dxf>
    </rfmt>
    <rfmt sheetId="5" sqref="H256" start="0" length="0">
      <dxf>
        <font>
          <b/>
          <sz val="10"/>
          <color auto="1"/>
          <name val="Arial"/>
          <scheme val="none"/>
        </font>
        <alignment horizontal="general" readingOrder="0"/>
        <border outline="0">
          <left style="dashed">
            <color indexed="64"/>
          </left>
          <right style="dashed">
            <color indexed="64"/>
          </right>
          <top style="thin">
            <color indexed="64"/>
          </top>
        </border>
      </dxf>
    </rfmt>
    <rfmt sheetId="5" sqref="I256" start="0" length="0">
      <dxf>
        <font>
          <b/>
          <sz val="10"/>
          <color auto="1"/>
          <name val="Arial"/>
          <scheme val="none"/>
        </font>
        <alignment horizontal="general" readingOrder="0"/>
        <border outline="0">
          <left style="dashed">
            <color indexed="64"/>
          </left>
          <right style="dashed">
            <color indexed="64"/>
          </right>
          <top style="thin">
            <color indexed="64"/>
          </top>
        </border>
      </dxf>
    </rfmt>
    <rfmt sheetId="5" sqref="J256" start="0" length="0">
      <dxf>
        <font>
          <b/>
          <sz val="10"/>
          <color auto="1"/>
          <name val="Arial"/>
          <scheme val="none"/>
        </font>
        <alignment horizontal="general" readingOrder="0"/>
        <border outline="0">
          <left style="dashed">
            <color indexed="64"/>
          </left>
          <right style="dashed">
            <color indexed="64"/>
          </right>
          <top style="thin">
            <color indexed="64"/>
          </top>
        </border>
      </dxf>
    </rfmt>
    <rcc rId="0" sId="5" dxf="1">
      <nc r="K256">
        <f>Translations!$A$78</f>
      </nc>
      <ndxf>
        <fill>
          <patternFill>
            <bgColor theme="8" tint="0.79998168889431442"/>
          </patternFill>
        </fill>
        <alignment horizontal="center" readingOrder="0"/>
        <border outline="0">
          <left style="dashed">
            <color indexed="64"/>
          </left>
          <right style="dashed">
            <color indexed="64"/>
          </right>
          <top style="thin">
            <color indexed="64"/>
          </top>
          <bottom style="dotted">
            <color indexed="64"/>
          </bottom>
        </border>
      </ndxf>
    </rcc>
    <rfmt sheetId="5" sqref="L256" start="0" length="0">
      <dxf>
        <fill>
          <patternFill>
            <bgColor theme="8" tint="0.79998168889431442"/>
          </patternFill>
        </fill>
        <alignment horizontal="center" readingOrder="0"/>
        <border outline="0">
          <left style="dashed">
            <color indexed="64"/>
          </left>
          <right style="dashed">
            <color indexed="64"/>
          </right>
          <top style="thin">
            <color indexed="64"/>
          </top>
          <bottom style="dotted">
            <color indexed="64"/>
          </bottom>
        </border>
      </dxf>
    </rfmt>
    <rfmt sheetId="5" sqref="M256" start="0" length="0">
      <dxf>
        <numFmt numFmtId="3" formatCode="#,##0"/>
        <alignment horizontal="right" readingOrder="0"/>
        <border outline="0">
          <left style="dashed">
            <color indexed="64"/>
          </left>
          <right style="dashed">
            <color indexed="64"/>
          </right>
          <top style="thin">
            <color indexed="64"/>
          </top>
          <bottom style="dotted">
            <color indexed="64"/>
          </bottom>
        </border>
      </dxf>
    </rfmt>
    <rfmt sheetId="5" sqref="N256" start="0" length="0">
      <dxf>
        <numFmt numFmtId="3" formatCode="#,##0"/>
        <alignment horizontal="right" readingOrder="0"/>
        <border outline="0">
          <left style="dashed">
            <color indexed="64"/>
          </left>
          <right style="dashed">
            <color indexed="64"/>
          </right>
          <top style="thin">
            <color indexed="64"/>
          </top>
          <bottom style="dotted">
            <color indexed="64"/>
          </bottom>
        </border>
      </dxf>
    </rfmt>
    <rfmt sheetId="5" s="1" sqref="O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P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Q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R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qref="S256" start="0" length="0">
      <dxf>
        <alignment horizontal="center" readingOrder="0"/>
        <border outline="0">
          <left style="dashed">
            <color indexed="64"/>
          </left>
          <right style="dashed">
            <color indexed="64"/>
          </right>
          <top style="thin">
            <color indexed="64"/>
          </top>
          <bottom style="thin">
            <color indexed="64"/>
          </bottom>
        </border>
      </dxf>
    </rfmt>
    <rfmt sheetId="5" sqref="T256" start="0" length="0">
      <dxf>
        <alignment horizontal="center" readingOrder="0"/>
        <border outline="0">
          <left style="dashed">
            <color indexed="64"/>
          </left>
          <right style="dashed">
            <color indexed="64"/>
          </right>
          <top style="thin">
            <color indexed="64"/>
          </top>
          <bottom style="thin">
            <color indexed="64"/>
          </bottom>
        </border>
      </dxf>
    </rfmt>
    <rfmt sheetId="5" sqref="U256" start="0" length="0">
      <dxf>
        <alignment horizontal="center" readingOrder="0"/>
        <border outline="0">
          <left style="dashed">
            <color indexed="64"/>
          </left>
          <right style="dashed">
            <color indexed="64"/>
          </right>
          <top style="thin">
            <color indexed="64"/>
          </top>
          <bottom style="thin">
            <color indexed="64"/>
          </bottom>
        </border>
      </dxf>
    </rfmt>
    <rfmt sheetId="5" sqref="V256" start="0" length="0">
      <dxf>
        <alignment horizontal="center" readingOrder="0"/>
        <border outline="0">
          <left style="dashed">
            <color indexed="64"/>
          </left>
          <right style="dashed">
            <color indexed="64"/>
          </right>
          <top style="thin">
            <color indexed="64"/>
          </top>
          <bottom style="thin">
            <color indexed="64"/>
          </bottom>
        </border>
      </dxf>
    </rfmt>
    <rfmt sheetId="5" sqref="W256" start="0" length="0">
      <dxf>
        <alignment horizontal="center" readingOrder="0"/>
        <border outline="0">
          <left style="dashed">
            <color indexed="64"/>
          </left>
          <right style="dashed">
            <color indexed="64"/>
          </right>
          <top style="thin">
            <color indexed="64"/>
          </top>
          <bottom style="thin">
            <color indexed="64"/>
          </bottom>
        </border>
      </dxf>
    </rfmt>
    <rfmt sheetId="5" sqref="X256" start="0" length="0">
      <dxf>
        <alignment horizontal="center" readingOrder="0"/>
        <border outline="0">
          <left style="dashed">
            <color indexed="64"/>
          </left>
          <right style="dashed">
            <color indexed="64"/>
          </right>
          <top style="thin">
            <color indexed="64"/>
          </top>
          <bottom style="thin">
            <color indexed="64"/>
          </bottom>
        </border>
      </dxf>
    </rfmt>
    <rfmt sheetId="5" sqref="Y256" start="0" length="0">
      <dxf>
        <alignment horizontal="center" readingOrder="0"/>
        <border outline="0">
          <left style="dashed">
            <color indexed="64"/>
          </left>
          <right style="dashed">
            <color indexed="64"/>
          </right>
          <top style="thin">
            <color indexed="64"/>
          </top>
          <bottom style="thin">
            <color indexed="64"/>
          </bottom>
        </border>
      </dxf>
    </rfmt>
    <rfmt sheetId="5" sqref="Z256" start="0" length="0">
      <dxf>
        <alignment horizontal="center" readingOrder="0"/>
        <border outline="0">
          <left style="dashed">
            <color indexed="64"/>
          </left>
          <right style="dashed">
            <color indexed="64"/>
          </right>
          <top style="thin">
            <color indexed="64"/>
          </top>
        </border>
      </dxf>
    </rfmt>
    <rfmt sheetId="5" sqref="AA256" start="0" length="0">
      <dxf>
        <alignment horizontal="center" readingOrder="0"/>
        <border outline="0">
          <left style="dashed">
            <color indexed="64"/>
          </left>
          <right style="dashed">
            <color indexed="64"/>
          </right>
          <top style="thin">
            <color indexed="64"/>
          </top>
        </border>
      </dxf>
    </rfmt>
    <rfmt sheetId="5" sqref="AB256" start="0" length="0">
      <dxf>
        <alignment horizontal="center" readingOrder="0"/>
        <border outline="0">
          <left style="dashed">
            <color indexed="64"/>
          </left>
          <right style="thin">
            <color indexed="64"/>
          </right>
          <top style="thin">
            <color indexed="64"/>
          </top>
        </border>
      </dxf>
    </rfmt>
    <rfmt sheetId="5" sqref="AC256" start="0" length="0">
      <dxf>
        <font>
          <b/>
          <sz val="10"/>
          <color auto="1"/>
          <name val="Arial"/>
          <scheme val="none"/>
        </font>
        <alignment horizontal="general" readingOrder="0"/>
        <protection locked="0"/>
      </dxf>
    </rfmt>
    <rfmt sheetId="5" sqref="AD256" start="0" length="0">
      <dxf>
        <font>
          <b/>
          <sz val="10"/>
          <color auto="1"/>
          <name val="Arial"/>
          <scheme val="none"/>
        </font>
        <alignment horizontal="general" readingOrder="0"/>
        <protection locked="0"/>
      </dxf>
    </rfmt>
    <rfmt sheetId="5" sqref="AE256" start="0" length="0">
      <dxf>
        <font>
          <b/>
          <sz val="10"/>
          <color auto="1"/>
          <name val="Arial"/>
          <scheme val="none"/>
        </font>
        <alignment horizontal="general" readingOrder="0"/>
        <protection locked="0"/>
      </dxf>
    </rfmt>
    <rfmt sheetId="5" sqref="AF256" start="0" length="0">
      <dxf>
        <font>
          <b/>
          <sz val="10"/>
          <color auto="1"/>
          <name val="Arial"/>
          <scheme val="none"/>
        </font>
        <alignment horizontal="general" readingOrder="0"/>
        <protection locked="0"/>
      </dxf>
    </rfmt>
    <rfmt sheetId="5" sqref="AG256" start="0" length="0">
      <dxf>
        <font>
          <b/>
          <sz val="10"/>
          <color auto="1"/>
          <name val="Arial"/>
          <scheme val="none"/>
        </font>
        <alignment horizontal="general" readingOrder="0"/>
        <protection locked="0"/>
      </dxf>
    </rfmt>
    <rfmt sheetId="5" sqref="AH256" start="0" length="0">
      <dxf>
        <font>
          <b/>
          <sz val="10"/>
          <color auto="1"/>
          <name val="Arial"/>
          <scheme val="none"/>
        </font>
        <alignment horizontal="general" readingOrder="0"/>
        <protection locked="0"/>
      </dxf>
    </rfmt>
    <rfmt sheetId="5" sqref="AI256" start="0" length="0">
      <dxf>
        <font>
          <b/>
          <sz val="10"/>
          <color auto="1"/>
          <name val="Arial"/>
          <scheme val="none"/>
        </font>
        <alignment horizontal="general" readingOrder="0"/>
        <protection locked="0"/>
      </dxf>
    </rfmt>
    <rfmt sheetId="5" sqref="AJ256" start="0" length="0">
      <dxf>
        <font>
          <b/>
          <sz val="10"/>
          <color auto="1"/>
          <name val="Arial"/>
          <scheme val="none"/>
        </font>
        <alignment horizontal="general" readingOrder="0"/>
        <protection locked="0"/>
      </dxf>
    </rfmt>
    <rfmt sheetId="5" sqref="AK256" start="0" length="0">
      <dxf>
        <font>
          <b/>
          <sz val="10"/>
          <color auto="1"/>
          <name val="Arial"/>
          <scheme val="none"/>
        </font>
        <alignment horizontal="general" readingOrder="0"/>
        <protection locked="0"/>
      </dxf>
    </rfmt>
    <rfmt sheetId="5" sqref="AL256" start="0" length="0">
      <dxf>
        <font>
          <b/>
          <sz val="10"/>
          <color auto="1"/>
          <name val="Arial"/>
          <scheme val="none"/>
        </font>
        <alignment horizontal="right" readingOrder="0"/>
        <protection locked="0"/>
      </dxf>
    </rfmt>
    <rfmt sheetId="5" sqref="AM256" start="0" length="0">
      <dxf>
        <font>
          <b/>
          <sz val="10"/>
          <color auto="1"/>
          <name val="Arial"/>
          <scheme val="none"/>
        </font>
        <alignment horizontal="general" readingOrder="0"/>
        <protection locked="0"/>
      </dxf>
    </rfmt>
    <rfmt sheetId="5" sqref="AN256" start="0" length="0">
      <dxf>
        <font>
          <b/>
          <sz val="12"/>
          <color auto="1"/>
          <name val="Arial"/>
          <scheme val="none"/>
        </font>
        <alignment horizontal="general" readingOrder="0"/>
        <protection locked="0"/>
      </dxf>
    </rfmt>
    <rfmt sheetId="5" sqref="AO256" start="0" length="0">
      <dxf>
        <font>
          <b/>
          <sz val="12"/>
          <color auto="1"/>
          <name val="Arial"/>
          <scheme val="none"/>
        </font>
        <alignment horizontal="general" readingOrder="0"/>
        <protection locked="0"/>
      </dxf>
    </rfmt>
    <rfmt sheetId="5" sqref="AP256" start="0" length="0">
      <dxf>
        <font>
          <b/>
          <sz val="10"/>
          <color auto="1"/>
          <name val="Arial"/>
          <scheme val="none"/>
        </font>
        <alignment horizontal="general" readingOrder="0"/>
        <protection locked="0"/>
      </dxf>
    </rfmt>
    <rfmt sheetId="5" sqref="AQ256" start="0" length="0">
      <dxf>
        <font>
          <b/>
          <sz val="10"/>
          <color auto="1"/>
          <name val="Arial"/>
          <scheme val="none"/>
        </font>
        <alignment horizontal="general" readingOrder="0"/>
        <protection locked="0"/>
      </dxf>
    </rfmt>
    <rfmt sheetId="5" sqref="AR256" start="0" length="0">
      <dxf>
        <font>
          <b/>
          <sz val="10"/>
          <color auto="1"/>
          <name val="Arial"/>
          <scheme val="none"/>
        </font>
        <alignment horizontal="general" readingOrder="0"/>
        <protection locked="0"/>
      </dxf>
    </rfmt>
    <rfmt sheetId="5" sqref="AS256" start="0" length="0">
      <dxf>
        <font>
          <b/>
          <sz val="10"/>
          <color auto="1"/>
          <name val="Arial"/>
          <scheme val="none"/>
        </font>
        <alignment horizontal="general" readingOrder="0"/>
        <protection locked="0"/>
      </dxf>
    </rfmt>
    <rfmt sheetId="5" sqref="AT256" start="0" length="0">
      <dxf>
        <font>
          <b/>
          <sz val="10"/>
          <color auto="1"/>
          <name val="Arial"/>
          <scheme val="none"/>
        </font>
        <alignment horizontal="general" readingOrder="0"/>
        <protection locked="0"/>
      </dxf>
    </rfmt>
    <rfmt sheetId="5" sqref="AU256" start="0" length="0">
      <dxf>
        <font>
          <b/>
          <sz val="10"/>
          <color auto="1"/>
          <name val="Arial"/>
          <scheme val="none"/>
        </font>
        <alignment horizontal="general" readingOrder="0"/>
        <protection locked="0"/>
      </dxf>
    </rfmt>
    <rfmt sheetId="5" sqref="AV256" start="0" length="0">
      <dxf>
        <font>
          <b/>
          <sz val="10"/>
          <color auto="1"/>
          <name val="Arial"/>
          <scheme val="none"/>
        </font>
        <alignment horizontal="general" readingOrder="0"/>
        <protection locked="0"/>
      </dxf>
    </rfmt>
    <rfmt sheetId="5" sqref="AW256" start="0" length="0">
      <dxf>
        <font>
          <b/>
          <sz val="10"/>
          <color auto="1"/>
          <name val="Arial"/>
          <scheme val="none"/>
        </font>
        <alignment horizontal="general" readingOrder="0"/>
        <protection locked="0"/>
      </dxf>
    </rfmt>
    <rfmt sheetId="5" sqref="AX256" start="0" length="0">
      <dxf>
        <protection locked="0"/>
      </dxf>
    </rfmt>
    <rfmt sheetId="5" sqref="AY256" start="0" length="0">
      <dxf>
        <protection locked="0"/>
      </dxf>
    </rfmt>
    <rfmt sheetId="5" sqref="AZ256" start="0" length="0">
      <dxf>
        <protection locked="0"/>
      </dxf>
    </rfmt>
    <rfmt sheetId="5" sqref="BA256" start="0" length="0">
      <dxf>
        <protection locked="0"/>
      </dxf>
    </rfmt>
    <rfmt sheetId="5" sqref="BB256" start="0" length="0">
      <dxf>
        <protection locked="0"/>
      </dxf>
    </rfmt>
    <rfmt sheetId="5" sqref="BC256" start="0" length="0">
      <dxf>
        <protection locked="0"/>
      </dxf>
    </rfmt>
    <rfmt sheetId="5" sqref="BD256" start="0" length="0">
      <dxf>
        <protection locked="0"/>
      </dxf>
    </rfmt>
    <rfmt sheetId="5" sqref="BE256" start="0" length="0">
      <dxf>
        <protection locked="0"/>
      </dxf>
    </rfmt>
    <rfmt sheetId="5" sqref="BF256" start="0" length="0">
      <dxf>
        <protection locked="0"/>
      </dxf>
    </rfmt>
    <rfmt sheetId="5" sqref="BG256" start="0" length="0">
      <dxf>
        <protection locked="0"/>
      </dxf>
    </rfmt>
    <rfmt sheetId="5" sqref="BH256" start="0" length="0">
      <dxf>
        <protection locked="0"/>
      </dxf>
    </rfmt>
    <rfmt sheetId="5" sqref="BI256" start="0" length="0">
      <dxf>
        <protection locked="0"/>
      </dxf>
    </rfmt>
    <rfmt sheetId="5" sqref="BJ256" start="0" length="0">
      <dxf>
        <protection locked="0"/>
      </dxf>
    </rfmt>
    <rfmt sheetId="5" sqref="BK256" start="0" length="0">
      <dxf>
        <protection locked="0"/>
      </dxf>
    </rfmt>
    <rfmt sheetId="5" sqref="BL256" start="0" length="0">
      <dxf>
        <protection locked="0"/>
      </dxf>
    </rfmt>
    <rfmt sheetId="5" sqref="BM256" start="0" length="0">
      <dxf>
        <protection locked="0"/>
      </dxf>
    </rfmt>
    <rfmt sheetId="5" sqref="BN256" start="0" length="0">
      <dxf>
        <protection locked="0"/>
      </dxf>
    </rfmt>
    <rfmt sheetId="5" sqref="BO256" start="0" length="0">
      <dxf>
        <protection locked="0"/>
      </dxf>
    </rfmt>
    <rfmt sheetId="5" sqref="BP256" start="0" length="0">
      <dxf>
        <protection locked="0"/>
      </dxf>
    </rfmt>
    <rfmt sheetId="5" sqref="BQ256" start="0" length="0">
      <dxf>
        <protection locked="0"/>
      </dxf>
    </rfmt>
    <rfmt sheetId="5" sqref="BR256" start="0" length="0">
      <dxf>
        <protection locked="0"/>
      </dxf>
    </rfmt>
    <rfmt sheetId="5" sqref="BS256" start="0" length="0">
      <dxf>
        <protection locked="0"/>
      </dxf>
    </rfmt>
    <rfmt sheetId="5" sqref="BT256" start="0" length="0">
      <dxf>
        <protection locked="0"/>
      </dxf>
    </rfmt>
    <rfmt sheetId="5" sqref="BU256" start="0" length="0">
      <dxf>
        <protection locked="0"/>
      </dxf>
    </rfmt>
    <rfmt sheetId="5" sqref="BV256" start="0" length="0">
      <dxf>
        <protection locked="0"/>
      </dxf>
    </rfmt>
    <rfmt sheetId="5" sqref="BW256" start="0" length="0">
      <dxf>
        <protection locked="0"/>
      </dxf>
    </rfmt>
  </rrc>
  <rrc rId="120" sId="5" ref="A256:XFD256"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56:XFD256" start="0" length="0">
      <dxf>
        <fill>
          <patternFill patternType="solid">
            <bgColor theme="0"/>
          </patternFill>
        </fill>
        <alignment horizontal="left" vertical="center" wrapText="1" readingOrder="0"/>
      </dxf>
    </rfmt>
    <rfmt sheetId="5" sqref="A256" start="0" length="0">
      <dxf>
        <alignment horizontal="center" readingOrder="0"/>
        <border outline="0">
          <left style="thin">
            <color indexed="64"/>
          </left>
          <right style="dashed">
            <color indexed="64"/>
          </right>
        </border>
      </dxf>
    </rfmt>
    <rfmt sheetId="5" sqref="B256" start="0" length="0">
      <dxf>
        <alignment horizontal="center" readingOrder="0"/>
        <border outline="0">
          <left style="dashed">
            <color indexed="64"/>
          </left>
          <right style="dashed">
            <color indexed="64"/>
          </right>
        </border>
      </dxf>
    </rfmt>
    <rfmt sheetId="5" sqref="C256" start="0" length="0">
      <dxf>
        <alignment horizontal="center" readingOrder="0"/>
        <border outline="0">
          <left style="dashed">
            <color indexed="64"/>
          </left>
          <right style="dashed">
            <color indexed="64"/>
          </right>
        </border>
      </dxf>
    </rfmt>
    <rfmt sheetId="5" sqref="D256" start="0" length="0">
      <dxf>
        <font>
          <b/>
          <sz val="10"/>
          <color auto="1"/>
          <name val="Arial"/>
          <scheme val="none"/>
        </font>
        <alignment horizontal="general" readingOrder="0"/>
        <border outline="0">
          <left style="dashed">
            <color indexed="64"/>
          </left>
          <right style="dashed">
            <color indexed="64"/>
          </right>
        </border>
      </dxf>
    </rfmt>
    <rfmt sheetId="5" sqref="E256" start="0" length="0">
      <dxf>
        <font>
          <b/>
          <sz val="10"/>
          <color auto="1"/>
          <name val="Arial"/>
          <scheme val="none"/>
        </font>
        <alignment horizontal="general" readingOrder="0"/>
        <border outline="0">
          <left style="dashed">
            <color indexed="64"/>
          </left>
          <right style="dashed">
            <color indexed="64"/>
          </right>
        </border>
      </dxf>
    </rfmt>
    <rfmt sheetId="5" sqref="F256" start="0" length="0">
      <dxf>
        <font>
          <b/>
          <sz val="10"/>
          <color auto="1"/>
          <name val="Arial"/>
          <scheme val="none"/>
        </font>
        <alignment horizontal="general" readingOrder="0"/>
        <border outline="0">
          <left style="dashed">
            <color indexed="64"/>
          </left>
          <right style="dashed">
            <color indexed="64"/>
          </right>
        </border>
      </dxf>
    </rfmt>
    <rfmt sheetId="5" sqref="G256" start="0" length="0">
      <dxf>
        <font>
          <b/>
          <sz val="10"/>
          <color auto="1"/>
          <name val="Arial"/>
          <scheme val="none"/>
        </font>
        <alignment horizontal="general" readingOrder="0"/>
        <border outline="0">
          <left style="dashed">
            <color indexed="64"/>
          </left>
          <right style="dashed">
            <color indexed="64"/>
          </right>
        </border>
      </dxf>
    </rfmt>
    <rfmt sheetId="5" sqref="H256" start="0" length="0">
      <dxf>
        <font>
          <b/>
          <sz val="10"/>
          <color auto="1"/>
          <name val="Arial"/>
          <scheme val="none"/>
        </font>
        <alignment horizontal="general" readingOrder="0"/>
        <border outline="0">
          <left style="dashed">
            <color indexed="64"/>
          </left>
          <right style="dashed">
            <color indexed="64"/>
          </right>
        </border>
      </dxf>
    </rfmt>
    <rfmt sheetId="5" sqref="I256" start="0" length="0">
      <dxf>
        <font>
          <b/>
          <sz val="10"/>
          <color auto="1"/>
          <name val="Arial"/>
          <scheme val="none"/>
        </font>
        <alignment horizontal="general" readingOrder="0"/>
        <border outline="0">
          <left style="dashed">
            <color indexed="64"/>
          </left>
          <right style="dashed">
            <color indexed="64"/>
          </right>
        </border>
      </dxf>
    </rfmt>
    <rfmt sheetId="5" sqref="J256" start="0" length="0">
      <dxf>
        <font>
          <b/>
          <sz val="10"/>
          <color auto="1"/>
          <name val="Arial"/>
          <scheme val="none"/>
        </font>
        <alignment horizontal="general" readingOrder="0"/>
        <border outline="0">
          <left style="dashed">
            <color indexed="64"/>
          </left>
          <right style="dashed">
            <color indexed="64"/>
          </right>
          <bottom style="thin">
            <color indexed="64"/>
          </bottom>
        </border>
      </dxf>
    </rfmt>
    <rcc rId="0" sId="5" dxf="1">
      <nc r="K256">
        <f>Translations!$A$79</f>
      </nc>
      <ndxf>
        <fill>
          <patternFill>
            <bgColor theme="8" tint="0.79998168889431442"/>
          </patternFill>
        </fill>
        <alignment horizontal="center" readingOrder="0"/>
        <border outline="0">
          <left style="dashed">
            <color indexed="64"/>
          </left>
          <right style="dashed">
            <color indexed="64"/>
          </right>
          <top style="dotted">
            <color indexed="64"/>
          </top>
          <bottom style="thin">
            <color indexed="64"/>
          </bottom>
        </border>
      </ndxf>
    </rcc>
    <rfmt sheetId="5" sqref="L256" start="0" length="0">
      <dxf>
        <fill>
          <patternFill>
            <bgColor theme="8" tint="0.79998168889431442"/>
          </patternFill>
        </fill>
        <alignment horizontal="center" readingOrder="0"/>
        <border outline="0">
          <left style="dashed">
            <color indexed="64"/>
          </left>
          <right style="dashed">
            <color indexed="64"/>
          </right>
          <top style="dotted">
            <color indexed="64"/>
          </top>
          <bottom style="thin">
            <color indexed="64"/>
          </bottom>
        </border>
      </dxf>
    </rfmt>
    <rfmt sheetId="5" s="1" sqref="M256" start="0" length="0">
      <dxf>
        <font>
          <sz val="10"/>
          <color auto="1"/>
          <name val="Arial"/>
          <scheme val="none"/>
        </font>
        <numFmt numFmtId="3" formatCode="#,##0"/>
        <alignment horizontal="right" readingOrder="0"/>
        <border outline="0">
          <left style="dashed">
            <color indexed="64"/>
          </left>
          <right style="dashed">
            <color indexed="64"/>
          </right>
          <bottom style="dotted">
            <color indexed="64"/>
          </bottom>
        </border>
      </dxf>
    </rfmt>
    <rfmt sheetId="5" s="1" sqref="N256" start="0" length="0">
      <dxf>
        <font>
          <sz val="10"/>
          <color auto="1"/>
          <name val="Arial"/>
          <scheme val="none"/>
        </font>
        <numFmt numFmtId="3" formatCode="#,##0"/>
        <alignment horizontal="right" readingOrder="0"/>
        <border outline="0">
          <left style="dashed">
            <color indexed="64"/>
          </left>
          <right style="dashed">
            <color indexed="64"/>
          </right>
          <bottom style="dotted">
            <color indexed="64"/>
          </bottom>
        </border>
      </dxf>
    </rfmt>
    <rfmt sheetId="5" s="1" sqref="O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P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Q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rder>
      </dxf>
    </rfmt>
    <rfmt sheetId="5" s="1" sqref="R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rder>
      </dxf>
    </rfmt>
    <rfmt sheetId="5" sqref="S256" start="0" length="0">
      <dxf>
        <alignment horizontal="center" readingOrder="0"/>
        <border outline="0">
          <left style="dashed">
            <color indexed="64"/>
          </left>
          <right style="dashed">
            <color indexed="64"/>
          </right>
          <top style="thin">
            <color indexed="64"/>
          </top>
          <bottom style="thin">
            <color indexed="64"/>
          </bottom>
        </border>
      </dxf>
    </rfmt>
    <rfmt sheetId="5" sqref="T256" start="0" length="0">
      <dxf>
        <alignment horizontal="center" readingOrder="0"/>
        <border outline="0">
          <left style="dashed">
            <color indexed="64"/>
          </left>
          <right style="dashed">
            <color indexed="64"/>
          </right>
          <top style="thin">
            <color indexed="64"/>
          </top>
          <bottom style="thin">
            <color indexed="64"/>
          </bottom>
        </border>
      </dxf>
    </rfmt>
    <rfmt sheetId="5" sqref="U256" start="0" length="0">
      <dxf>
        <alignment horizontal="center" readingOrder="0"/>
        <border outline="0">
          <left style="dashed">
            <color indexed="64"/>
          </left>
          <right style="dashed">
            <color indexed="64"/>
          </right>
          <top style="thin">
            <color indexed="64"/>
          </top>
          <bottom style="thin">
            <color indexed="64"/>
          </bottom>
        </border>
      </dxf>
    </rfmt>
    <rfmt sheetId="5" sqref="V256" start="0" length="0">
      <dxf>
        <alignment horizontal="center" readingOrder="0"/>
        <border outline="0">
          <left style="dashed">
            <color indexed="64"/>
          </left>
          <right style="dashed">
            <color indexed="64"/>
          </right>
          <top style="thin">
            <color indexed="64"/>
          </top>
          <bottom style="thin">
            <color indexed="64"/>
          </bottom>
        </border>
      </dxf>
    </rfmt>
    <rfmt sheetId="5" sqref="W256" start="0" length="0">
      <dxf>
        <alignment horizontal="center" readingOrder="0"/>
        <border outline="0">
          <left style="dashed">
            <color indexed="64"/>
          </left>
          <right style="dashed">
            <color indexed="64"/>
          </right>
          <top style="thin">
            <color indexed="64"/>
          </top>
          <bottom style="thin">
            <color indexed="64"/>
          </bottom>
        </border>
      </dxf>
    </rfmt>
    <rfmt sheetId="5" sqref="X256" start="0" length="0">
      <dxf>
        <alignment horizontal="center" readingOrder="0"/>
        <border outline="0">
          <left style="dashed">
            <color indexed="64"/>
          </left>
          <right style="dashed">
            <color indexed="64"/>
          </right>
          <top style="thin">
            <color indexed="64"/>
          </top>
          <bottom style="thin">
            <color indexed="64"/>
          </bottom>
        </border>
      </dxf>
    </rfmt>
    <rfmt sheetId="5" sqref="Y256" start="0" length="0">
      <dxf>
        <alignment horizontal="center" readingOrder="0"/>
        <border outline="0">
          <left style="dashed">
            <color indexed="64"/>
          </left>
          <right style="dashed">
            <color indexed="64"/>
          </right>
          <top style="thin">
            <color indexed="64"/>
          </top>
          <bottom style="thin">
            <color indexed="64"/>
          </bottom>
        </border>
      </dxf>
    </rfmt>
    <rfmt sheetId="5" sqref="Z256" start="0" length="0">
      <dxf>
        <alignment horizontal="center" readingOrder="0"/>
        <border outline="0">
          <left style="dashed">
            <color indexed="64"/>
          </left>
          <right style="dashed">
            <color indexed="64"/>
          </right>
          <bottom style="thin">
            <color indexed="64"/>
          </bottom>
        </border>
      </dxf>
    </rfmt>
    <rfmt sheetId="5" sqref="AA256" start="0" length="0">
      <dxf>
        <alignment horizontal="center" readingOrder="0"/>
        <border outline="0">
          <left style="dashed">
            <color indexed="64"/>
          </left>
          <right style="dashed">
            <color indexed="64"/>
          </right>
          <bottom style="thin">
            <color indexed="64"/>
          </bottom>
        </border>
      </dxf>
    </rfmt>
    <rfmt sheetId="5" sqref="AB256" start="0" length="0">
      <dxf>
        <alignment horizontal="center" readingOrder="0"/>
        <border outline="0">
          <left style="dashed">
            <color indexed="64"/>
          </left>
          <right style="thin">
            <color indexed="64"/>
          </right>
          <bottom style="thin">
            <color indexed="64"/>
          </bottom>
        </border>
      </dxf>
    </rfmt>
    <rfmt sheetId="5" sqref="AC256" start="0" length="0">
      <dxf>
        <font>
          <b/>
          <sz val="10"/>
          <color auto="1"/>
          <name val="Arial"/>
          <scheme val="none"/>
        </font>
        <alignment horizontal="general" readingOrder="0"/>
        <protection locked="0"/>
      </dxf>
    </rfmt>
    <rfmt sheetId="5" sqref="AD256" start="0" length="0">
      <dxf>
        <font>
          <b/>
          <sz val="10"/>
          <color auto="1"/>
          <name val="Arial"/>
          <scheme val="none"/>
        </font>
        <alignment horizontal="general" readingOrder="0"/>
        <protection locked="0"/>
      </dxf>
    </rfmt>
    <rfmt sheetId="5" sqref="AE256" start="0" length="0">
      <dxf>
        <font>
          <b/>
          <sz val="10"/>
          <color auto="1"/>
          <name val="Arial"/>
          <scheme val="none"/>
        </font>
        <alignment horizontal="general" readingOrder="0"/>
        <protection locked="0"/>
      </dxf>
    </rfmt>
    <rfmt sheetId="5" sqref="AF256" start="0" length="0">
      <dxf>
        <font>
          <b/>
          <sz val="10"/>
          <color auto="1"/>
          <name val="Arial"/>
          <scheme val="none"/>
        </font>
        <alignment horizontal="general" readingOrder="0"/>
        <protection locked="0"/>
      </dxf>
    </rfmt>
    <rfmt sheetId="5" sqref="AG256" start="0" length="0">
      <dxf>
        <font>
          <b/>
          <sz val="10"/>
          <color auto="1"/>
          <name val="Arial"/>
          <scheme val="none"/>
        </font>
        <alignment horizontal="general" readingOrder="0"/>
        <protection locked="0"/>
      </dxf>
    </rfmt>
    <rfmt sheetId="5" sqref="AH256" start="0" length="0">
      <dxf>
        <font>
          <b/>
          <sz val="10"/>
          <color auto="1"/>
          <name val="Arial"/>
          <scheme val="none"/>
        </font>
        <alignment horizontal="general" readingOrder="0"/>
        <protection locked="0"/>
      </dxf>
    </rfmt>
    <rfmt sheetId="5" sqref="AI256" start="0" length="0">
      <dxf>
        <font>
          <b/>
          <sz val="10"/>
          <color auto="1"/>
          <name val="Arial"/>
          <scheme val="none"/>
        </font>
        <alignment horizontal="general" readingOrder="0"/>
        <protection locked="0"/>
      </dxf>
    </rfmt>
    <rfmt sheetId="5" sqref="AJ256" start="0" length="0">
      <dxf>
        <font>
          <b/>
          <sz val="10"/>
          <color auto="1"/>
          <name val="Arial"/>
          <scheme val="none"/>
        </font>
        <alignment horizontal="general" readingOrder="0"/>
        <protection locked="0"/>
      </dxf>
    </rfmt>
    <rfmt sheetId="5" sqref="AK256" start="0" length="0">
      <dxf>
        <font>
          <b/>
          <sz val="10"/>
          <color auto="1"/>
          <name val="Arial"/>
          <scheme val="none"/>
        </font>
        <alignment horizontal="general" readingOrder="0"/>
        <protection locked="0"/>
      </dxf>
    </rfmt>
    <rfmt sheetId="5" sqref="AL256" start="0" length="0">
      <dxf>
        <font>
          <b/>
          <sz val="10"/>
          <color auto="1"/>
          <name val="Arial"/>
          <scheme val="none"/>
        </font>
        <alignment horizontal="right" readingOrder="0"/>
        <protection locked="0"/>
      </dxf>
    </rfmt>
    <rfmt sheetId="5" sqref="AM256" start="0" length="0">
      <dxf>
        <font>
          <b/>
          <sz val="10"/>
          <color auto="1"/>
          <name val="Arial"/>
          <scheme val="none"/>
        </font>
        <alignment horizontal="general" readingOrder="0"/>
        <protection locked="0"/>
      </dxf>
    </rfmt>
    <rfmt sheetId="5" sqref="AN256" start="0" length="0">
      <dxf>
        <font>
          <b/>
          <sz val="12"/>
          <color auto="1"/>
          <name val="Arial"/>
          <scheme val="none"/>
        </font>
        <alignment horizontal="general" readingOrder="0"/>
        <protection locked="0"/>
      </dxf>
    </rfmt>
    <rfmt sheetId="5" sqref="AO256" start="0" length="0">
      <dxf>
        <font>
          <b/>
          <sz val="12"/>
          <color auto="1"/>
          <name val="Arial"/>
          <scheme val="none"/>
        </font>
        <alignment horizontal="general" readingOrder="0"/>
        <protection locked="0"/>
      </dxf>
    </rfmt>
    <rfmt sheetId="5" sqref="AP256" start="0" length="0">
      <dxf>
        <font>
          <b/>
          <sz val="10"/>
          <color auto="1"/>
          <name val="Arial"/>
          <scheme val="none"/>
        </font>
        <alignment horizontal="general" readingOrder="0"/>
        <protection locked="0"/>
      </dxf>
    </rfmt>
    <rfmt sheetId="5" sqref="AQ256" start="0" length="0">
      <dxf>
        <font>
          <b/>
          <sz val="10"/>
          <color auto="1"/>
          <name val="Arial"/>
          <scheme val="none"/>
        </font>
        <alignment horizontal="general" readingOrder="0"/>
        <protection locked="0"/>
      </dxf>
    </rfmt>
    <rfmt sheetId="5" sqref="AR256" start="0" length="0">
      <dxf>
        <font>
          <b/>
          <sz val="10"/>
          <color auto="1"/>
          <name val="Arial"/>
          <scheme val="none"/>
        </font>
        <alignment horizontal="general" readingOrder="0"/>
        <protection locked="0"/>
      </dxf>
    </rfmt>
    <rfmt sheetId="5" sqref="AS256" start="0" length="0">
      <dxf>
        <font>
          <b/>
          <sz val="10"/>
          <color auto="1"/>
          <name val="Arial"/>
          <scheme val="none"/>
        </font>
        <alignment horizontal="general" readingOrder="0"/>
        <protection locked="0"/>
      </dxf>
    </rfmt>
    <rfmt sheetId="5" sqref="AT256" start="0" length="0">
      <dxf>
        <font>
          <b/>
          <sz val="10"/>
          <color auto="1"/>
          <name val="Arial"/>
          <scheme val="none"/>
        </font>
        <alignment horizontal="general" readingOrder="0"/>
        <protection locked="0"/>
      </dxf>
    </rfmt>
    <rfmt sheetId="5" sqref="AU256" start="0" length="0">
      <dxf>
        <font>
          <b/>
          <sz val="10"/>
          <color auto="1"/>
          <name val="Arial"/>
          <scheme val="none"/>
        </font>
        <alignment horizontal="general" readingOrder="0"/>
        <protection locked="0"/>
      </dxf>
    </rfmt>
    <rfmt sheetId="5" sqref="AV256" start="0" length="0">
      <dxf>
        <font>
          <b/>
          <sz val="10"/>
          <color auto="1"/>
          <name val="Arial"/>
          <scheme val="none"/>
        </font>
        <alignment horizontal="general" readingOrder="0"/>
        <protection locked="0"/>
      </dxf>
    </rfmt>
    <rfmt sheetId="5" sqref="AW256" start="0" length="0">
      <dxf>
        <font>
          <b/>
          <sz val="10"/>
          <color auto="1"/>
          <name val="Arial"/>
          <scheme val="none"/>
        </font>
        <alignment horizontal="general" readingOrder="0"/>
        <protection locked="0"/>
      </dxf>
    </rfmt>
    <rfmt sheetId="5" sqref="AX256" start="0" length="0">
      <dxf>
        <protection locked="0"/>
      </dxf>
    </rfmt>
    <rfmt sheetId="5" sqref="AY256" start="0" length="0">
      <dxf>
        <protection locked="0"/>
      </dxf>
    </rfmt>
    <rfmt sheetId="5" sqref="AZ256" start="0" length="0">
      <dxf>
        <protection locked="0"/>
      </dxf>
    </rfmt>
    <rfmt sheetId="5" sqref="BA256" start="0" length="0">
      <dxf>
        <protection locked="0"/>
      </dxf>
    </rfmt>
    <rfmt sheetId="5" sqref="BB256" start="0" length="0">
      <dxf>
        <protection locked="0"/>
      </dxf>
    </rfmt>
    <rfmt sheetId="5" sqref="BC256" start="0" length="0">
      <dxf>
        <protection locked="0"/>
      </dxf>
    </rfmt>
    <rfmt sheetId="5" sqref="BD256" start="0" length="0">
      <dxf>
        <protection locked="0"/>
      </dxf>
    </rfmt>
    <rfmt sheetId="5" sqref="BE256" start="0" length="0">
      <dxf>
        <protection locked="0"/>
      </dxf>
    </rfmt>
    <rfmt sheetId="5" sqref="BF256" start="0" length="0">
      <dxf>
        <protection locked="0"/>
      </dxf>
    </rfmt>
    <rfmt sheetId="5" sqref="BG256" start="0" length="0">
      <dxf>
        <protection locked="0"/>
      </dxf>
    </rfmt>
    <rfmt sheetId="5" sqref="BH256" start="0" length="0">
      <dxf>
        <protection locked="0"/>
      </dxf>
    </rfmt>
    <rfmt sheetId="5" sqref="BI256" start="0" length="0">
      <dxf>
        <protection locked="0"/>
      </dxf>
    </rfmt>
    <rfmt sheetId="5" sqref="BJ256" start="0" length="0">
      <dxf>
        <protection locked="0"/>
      </dxf>
    </rfmt>
    <rfmt sheetId="5" sqref="BK256" start="0" length="0">
      <dxf>
        <protection locked="0"/>
      </dxf>
    </rfmt>
    <rfmt sheetId="5" sqref="BL256" start="0" length="0">
      <dxf>
        <protection locked="0"/>
      </dxf>
    </rfmt>
    <rfmt sheetId="5" sqref="BM256" start="0" length="0">
      <dxf>
        <protection locked="0"/>
      </dxf>
    </rfmt>
    <rfmt sheetId="5" sqref="BN256" start="0" length="0">
      <dxf>
        <protection locked="0"/>
      </dxf>
    </rfmt>
    <rfmt sheetId="5" sqref="BO256" start="0" length="0">
      <dxf>
        <protection locked="0"/>
      </dxf>
    </rfmt>
    <rfmt sheetId="5" sqref="BP256" start="0" length="0">
      <dxf>
        <protection locked="0"/>
      </dxf>
    </rfmt>
    <rfmt sheetId="5" sqref="BQ256" start="0" length="0">
      <dxf>
        <protection locked="0"/>
      </dxf>
    </rfmt>
    <rfmt sheetId="5" sqref="BR256" start="0" length="0">
      <dxf>
        <protection locked="0"/>
      </dxf>
    </rfmt>
    <rfmt sheetId="5" sqref="BS256" start="0" length="0">
      <dxf>
        <protection locked="0"/>
      </dxf>
    </rfmt>
    <rfmt sheetId="5" sqref="BT256" start="0" length="0">
      <dxf>
        <protection locked="0"/>
      </dxf>
    </rfmt>
    <rfmt sheetId="5" sqref="BU256" start="0" length="0">
      <dxf>
        <protection locked="0"/>
      </dxf>
    </rfmt>
    <rfmt sheetId="5" sqref="BV256" start="0" length="0">
      <dxf>
        <protection locked="0"/>
      </dxf>
    </rfmt>
    <rfmt sheetId="5" sqref="BW256" start="0" length="0">
      <dxf>
        <protection locked="0"/>
      </dxf>
    </rfmt>
  </rrc>
  <rrc rId="121" sId="5" ref="A256:XFD256"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56:XFD256" start="0" length="0">
      <dxf>
        <fill>
          <patternFill patternType="solid">
            <bgColor theme="0"/>
          </patternFill>
        </fill>
        <alignment horizontal="left" vertical="center" wrapText="1" readingOrder="0"/>
      </dxf>
    </rfmt>
    <rfmt sheetId="5" sqref="A256" start="0" length="0">
      <dxf>
        <alignment horizontal="center" readingOrder="0"/>
        <border outline="0">
          <left style="thin">
            <color indexed="64"/>
          </left>
          <right style="dashed">
            <color indexed="64"/>
          </right>
        </border>
      </dxf>
    </rfmt>
    <rfmt sheetId="5" sqref="B256" start="0" length="0">
      <dxf>
        <alignment horizontal="center" readingOrder="0"/>
        <border outline="0">
          <left style="dashed">
            <color indexed="64"/>
          </left>
          <right style="dashed">
            <color indexed="64"/>
          </right>
        </border>
      </dxf>
    </rfmt>
    <rfmt sheetId="5" sqref="C256" start="0" length="0">
      <dxf>
        <alignment horizontal="center" readingOrder="0"/>
        <border outline="0">
          <left style="dashed">
            <color indexed="64"/>
          </left>
          <right style="dashed">
            <color indexed="64"/>
          </right>
        </border>
      </dxf>
    </rfmt>
    <rfmt sheetId="5" sqref="D256" start="0" length="0">
      <dxf>
        <font>
          <b/>
          <sz val="10"/>
          <color auto="1"/>
          <name val="Arial"/>
          <scheme val="none"/>
        </font>
        <alignment horizontal="general" readingOrder="0"/>
        <border outline="0">
          <left style="dashed">
            <color indexed="64"/>
          </left>
          <right style="dashed">
            <color indexed="64"/>
          </right>
        </border>
      </dxf>
    </rfmt>
    <rfmt sheetId="5" sqref="E256" start="0" length="0">
      <dxf>
        <font>
          <b/>
          <sz val="10"/>
          <color auto="1"/>
          <name val="Arial"/>
          <scheme val="none"/>
        </font>
        <alignment horizontal="general" readingOrder="0"/>
        <border outline="0">
          <left style="dashed">
            <color indexed="64"/>
          </left>
          <right style="dashed">
            <color indexed="64"/>
          </right>
        </border>
      </dxf>
    </rfmt>
    <rfmt sheetId="5" sqref="F256" start="0" length="0">
      <dxf>
        <font>
          <b/>
          <sz val="10"/>
          <color auto="1"/>
          <name val="Arial"/>
          <scheme val="none"/>
        </font>
        <alignment horizontal="general" readingOrder="0"/>
        <border outline="0">
          <left style="dashed">
            <color indexed="64"/>
          </left>
          <right style="dashed">
            <color indexed="64"/>
          </right>
        </border>
      </dxf>
    </rfmt>
    <rfmt sheetId="5" sqref="G256" start="0" length="0">
      <dxf>
        <font>
          <b/>
          <sz val="10"/>
          <color auto="1"/>
          <name val="Arial"/>
          <scheme val="none"/>
        </font>
        <alignment horizontal="general" readingOrder="0"/>
        <border outline="0">
          <left style="dashed">
            <color indexed="64"/>
          </left>
          <right style="dashed">
            <color indexed="64"/>
          </right>
        </border>
      </dxf>
    </rfmt>
    <rfmt sheetId="5" sqref="H256" start="0" length="0">
      <dxf>
        <font>
          <b/>
          <sz val="10"/>
          <color auto="1"/>
          <name val="Arial"/>
          <scheme val="none"/>
        </font>
        <alignment horizontal="general" readingOrder="0"/>
        <border outline="0">
          <left style="dashed">
            <color indexed="64"/>
          </left>
          <right style="dashed">
            <color indexed="64"/>
          </right>
        </border>
      </dxf>
    </rfmt>
    <rfmt sheetId="5" sqref="I256" start="0" length="0">
      <dxf>
        <font>
          <b/>
          <sz val="10"/>
          <color auto="1"/>
          <name val="Arial"/>
          <scheme val="none"/>
        </font>
        <alignment horizontal="general" readingOrder="0"/>
        <border outline="0">
          <left style="dashed">
            <color indexed="64"/>
          </left>
          <right style="dashed">
            <color indexed="64"/>
          </right>
        </border>
      </dxf>
    </rfmt>
    <rfmt sheetId="5" sqref="J256" start="0" length="0">
      <dxf>
        <font>
          <b/>
          <sz val="10"/>
          <color auto="1"/>
          <name val="Arial"/>
          <scheme val="none"/>
        </font>
        <alignment horizontal="center" readingOrder="0"/>
        <border outline="0">
          <left style="dashed">
            <color indexed="64"/>
          </left>
          <right style="dashed">
            <color indexed="64"/>
          </right>
          <top style="thin">
            <color indexed="64"/>
          </top>
        </border>
      </dxf>
    </rfmt>
    <rcc rId="0" sId="5" dxf="1">
      <nc r="K256">
        <f>Translations!$A$78</f>
      </nc>
      <ndxf>
        <fill>
          <patternFill>
            <bgColor theme="8" tint="0.79998168889431442"/>
          </patternFill>
        </fill>
        <alignment horizontal="center" readingOrder="0"/>
        <border outline="0">
          <left style="dashed">
            <color indexed="64"/>
          </left>
          <right style="dashed">
            <color indexed="64"/>
          </right>
          <top style="thin">
            <color indexed="64"/>
          </top>
          <bottom style="dotted">
            <color indexed="64"/>
          </bottom>
        </border>
      </ndxf>
    </rcc>
    <rfmt sheetId="5" sqref="L256" start="0" length="0">
      <dxf>
        <fill>
          <patternFill>
            <bgColor theme="8" tint="0.79998168889431442"/>
          </patternFill>
        </fill>
        <alignment horizontal="center" readingOrder="0"/>
        <border outline="0">
          <left style="dashed">
            <color indexed="64"/>
          </left>
          <right style="dashed">
            <color indexed="64"/>
          </right>
          <top style="thin">
            <color indexed="64"/>
          </top>
          <bottom style="dotted">
            <color indexed="64"/>
          </bottom>
        </border>
      </dxf>
    </rfmt>
    <rfmt sheetId="5" sqref="M256" start="0" length="0">
      <dxf>
        <numFmt numFmtId="3" formatCode="#,##0"/>
        <alignment horizontal="right" readingOrder="0"/>
        <border outline="0">
          <left style="dashed">
            <color indexed="64"/>
          </left>
          <right style="dashed">
            <color indexed="64"/>
          </right>
          <top style="thin">
            <color indexed="64"/>
          </top>
          <bottom style="dotted">
            <color indexed="64"/>
          </bottom>
        </border>
      </dxf>
    </rfmt>
    <rfmt sheetId="5" sqref="N256" start="0" length="0">
      <dxf>
        <numFmt numFmtId="3" formatCode="#,##0"/>
        <alignment horizontal="right" readingOrder="0"/>
        <border outline="0">
          <left style="dashed">
            <color indexed="64"/>
          </left>
          <right style="dashed">
            <color indexed="64"/>
          </right>
          <top style="thin">
            <color indexed="64"/>
          </top>
          <bottom style="dotted">
            <color indexed="64"/>
          </bottom>
        </border>
      </dxf>
    </rfmt>
    <rfmt sheetId="5" s="1" sqref="O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P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Q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1" sqref="R256" start="0" length="0">
      <dxf>
        <font>
          <sz val="10"/>
          <color auto="1"/>
          <name val="Arial"/>
          <scheme val="none"/>
        </font>
        <numFmt numFmtId="3" formatCode="#,##0"/>
        <alignment horizontal="right" readingOrder="0"/>
        <border outline="0">
          <left style="dashed">
            <color indexed="64"/>
          </left>
          <right style="dashed">
            <color indexed="64"/>
          </right>
          <top style="thin">
            <color indexed="64"/>
          </top>
          <bottom style="dotted">
            <color indexed="64"/>
          </bottom>
        </border>
      </dxf>
    </rfmt>
    <rfmt sheetId="5" sqref="S256" start="0" length="0">
      <dxf>
        <alignment horizontal="center" readingOrder="0"/>
        <border outline="0">
          <left style="dashed">
            <color indexed="64"/>
          </left>
          <right style="dashed">
            <color indexed="64"/>
          </right>
          <top style="thin">
            <color indexed="64"/>
          </top>
          <bottom style="thin">
            <color indexed="64"/>
          </bottom>
        </border>
      </dxf>
    </rfmt>
    <rfmt sheetId="5" sqref="T256" start="0" length="0">
      <dxf>
        <alignment horizontal="center" readingOrder="0"/>
        <border outline="0">
          <left style="dashed">
            <color indexed="64"/>
          </left>
          <right style="dashed">
            <color indexed="64"/>
          </right>
          <top style="thin">
            <color indexed="64"/>
          </top>
          <bottom style="thin">
            <color indexed="64"/>
          </bottom>
        </border>
      </dxf>
    </rfmt>
    <rfmt sheetId="5" sqref="U256" start="0" length="0">
      <dxf>
        <alignment horizontal="center" readingOrder="0"/>
        <border outline="0">
          <left style="dashed">
            <color indexed="64"/>
          </left>
          <right style="dashed">
            <color indexed="64"/>
          </right>
          <top style="thin">
            <color indexed="64"/>
          </top>
          <bottom style="thin">
            <color indexed="64"/>
          </bottom>
        </border>
      </dxf>
    </rfmt>
    <rfmt sheetId="5" sqref="V256" start="0" length="0">
      <dxf>
        <alignment horizontal="center" readingOrder="0"/>
        <border outline="0">
          <left style="dashed">
            <color indexed="64"/>
          </left>
          <right style="dashed">
            <color indexed="64"/>
          </right>
          <top style="thin">
            <color indexed="64"/>
          </top>
          <bottom style="thin">
            <color indexed="64"/>
          </bottom>
        </border>
      </dxf>
    </rfmt>
    <rfmt sheetId="5" sqref="W256" start="0" length="0">
      <dxf>
        <alignment horizontal="center" readingOrder="0"/>
        <border outline="0">
          <left style="dashed">
            <color indexed="64"/>
          </left>
          <right style="dashed">
            <color indexed="64"/>
          </right>
          <top style="thin">
            <color indexed="64"/>
          </top>
          <bottom style="thin">
            <color indexed="64"/>
          </bottom>
        </border>
      </dxf>
    </rfmt>
    <rfmt sheetId="5" sqref="X256" start="0" length="0">
      <dxf>
        <alignment horizontal="center" readingOrder="0"/>
        <border outline="0">
          <left style="dashed">
            <color indexed="64"/>
          </left>
          <right style="dashed">
            <color indexed="64"/>
          </right>
          <top style="thin">
            <color indexed="64"/>
          </top>
          <bottom style="thin">
            <color indexed="64"/>
          </bottom>
        </border>
      </dxf>
    </rfmt>
    <rfmt sheetId="5" sqref="Y256" start="0" length="0">
      <dxf>
        <alignment horizontal="center" readingOrder="0"/>
        <border outline="0">
          <left style="dashed">
            <color indexed="64"/>
          </left>
          <right style="dashed">
            <color indexed="64"/>
          </right>
          <top style="thin">
            <color indexed="64"/>
          </top>
          <bottom style="thin">
            <color indexed="64"/>
          </bottom>
        </border>
      </dxf>
    </rfmt>
    <rfmt sheetId="5" sqref="Z256" start="0" length="0">
      <dxf>
        <alignment horizontal="center" readingOrder="0"/>
        <border outline="0">
          <left style="dashed">
            <color indexed="64"/>
          </left>
          <right style="dashed">
            <color indexed="64"/>
          </right>
          <top style="thin">
            <color indexed="64"/>
          </top>
        </border>
      </dxf>
    </rfmt>
    <rfmt sheetId="5" sqref="AA256" start="0" length="0">
      <dxf>
        <alignment horizontal="center" readingOrder="0"/>
        <border outline="0">
          <left style="dashed">
            <color indexed="64"/>
          </left>
          <right style="dashed">
            <color indexed="64"/>
          </right>
          <top style="thin">
            <color indexed="64"/>
          </top>
        </border>
      </dxf>
    </rfmt>
    <rfmt sheetId="5" sqref="AB256" start="0" length="0">
      <dxf>
        <alignment horizontal="center" readingOrder="0"/>
        <border outline="0">
          <left style="dashed">
            <color indexed="64"/>
          </left>
          <right style="thin">
            <color indexed="64"/>
          </right>
          <top style="thin">
            <color indexed="64"/>
          </top>
        </border>
      </dxf>
    </rfmt>
    <rfmt sheetId="5" sqref="AC256" start="0" length="0">
      <dxf>
        <font>
          <b/>
          <sz val="10"/>
          <color rgb="FFFF0000"/>
          <name val="Arial"/>
          <scheme val="none"/>
        </font>
        <alignment horizontal="center" readingOrder="0"/>
        <protection locked="0"/>
      </dxf>
    </rfmt>
    <rfmt sheetId="5" sqref="AD256" start="0" length="0">
      <dxf>
        <font>
          <b/>
          <sz val="10"/>
          <color rgb="FFFF0000"/>
          <name val="Arial"/>
          <scheme val="none"/>
        </font>
        <alignment horizontal="center" readingOrder="0"/>
        <protection locked="0"/>
      </dxf>
    </rfmt>
    <rfmt sheetId="5" sqref="AE256" start="0" length="0">
      <dxf>
        <font>
          <b/>
          <sz val="10"/>
          <color rgb="FFFF0000"/>
          <name val="Arial"/>
          <scheme val="none"/>
        </font>
        <alignment horizontal="center" readingOrder="0"/>
        <protection locked="0"/>
      </dxf>
    </rfmt>
    <rfmt sheetId="5" sqref="AF256" start="0" length="0">
      <dxf>
        <font>
          <b/>
          <sz val="10"/>
          <color auto="1"/>
          <name val="Arial"/>
          <scheme val="none"/>
        </font>
        <alignment horizontal="general" readingOrder="0"/>
        <protection locked="0"/>
      </dxf>
    </rfmt>
    <rfmt sheetId="5" sqref="AG256" start="0" length="0">
      <dxf>
        <font>
          <b/>
          <sz val="10"/>
          <color auto="1"/>
          <name val="Arial"/>
          <scheme val="none"/>
        </font>
        <alignment horizontal="general" readingOrder="0"/>
        <protection locked="0"/>
      </dxf>
    </rfmt>
    <rfmt sheetId="5" sqref="AH256" start="0" length="0">
      <dxf>
        <font>
          <b/>
          <sz val="10"/>
          <color auto="1"/>
          <name val="Arial"/>
          <scheme val="none"/>
        </font>
        <alignment horizontal="general" readingOrder="0"/>
        <protection locked="0"/>
      </dxf>
    </rfmt>
    <rfmt sheetId="5" sqref="AI256" start="0" length="0">
      <dxf>
        <font>
          <b/>
          <sz val="10"/>
          <color auto="1"/>
          <name val="Arial"/>
          <scheme val="none"/>
        </font>
        <alignment horizontal="general" readingOrder="0"/>
        <protection locked="0"/>
      </dxf>
    </rfmt>
    <rfmt sheetId="5" sqref="AJ256" start="0" length="0">
      <dxf>
        <font>
          <b/>
          <sz val="10"/>
          <color auto="1"/>
          <name val="Arial"/>
          <scheme val="none"/>
        </font>
        <alignment horizontal="general" readingOrder="0"/>
        <protection locked="0"/>
      </dxf>
    </rfmt>
    <rfmt sheetId="5" sqref="AK256" start="0" length="0">
      <dxf>
        <font>
          <b/>
          <sz val="10"/>
          <color auto="1"/>
          <name val="Arial"/>
          <scheme val="none"/>
        </font>
        <alignment horizontal="general" readingOrder="0"/>
        <protection locked="0"/>
      </dxf>
    </rfmt>
    <rfmt sheetId="5" sqref="AL256" start="0" length="0">
      <dxf>
        <font>
          <b/>
          <sz val="10"/>
          <color auto="1"/>
          <name val="Arial"/>
          <scheme val="none"/>
        </font>
        <alignment horizontal="right" readingOrder="0"/>
        <protection locked="0"/>
      </dxf>
    </rfmt>
    <rfmt sheetId="5" sqref="AM256" start="0" length="0">
      <dxf>
        <font>
          <b/>
          <sz val="10"/>
          <color auto="1"/>
          <name val="Arial"/>
          <scheme val="none"/>
        </font>
        <alignment horizontal="general" readingOrder="0"/>
        <protection locked="0"/>
      </dxf>
    </rfmt>
    <rfmt sheetId="5" sqref="AN256" start="0" length="0">
      <dxf>
        <font>
          <b/>
          <sz val="12"/>
          <color auto="1"/>
          <name val="Arial"/>
          <scheme val="none"/>
        </font>
        <alignment horizontal="general" readingOrder="0"/>
        <protection locked="0"/>
      </dxf>
    </rfmt>
    <rfmt sheetId="5" sqref="AO256" start="0" length="0">
      <dxf>
        <font>
          <b/>
          <sz val="12"/>
          <color auto="1"/>
          <name val="Arial"/>
          <scheme val="none"/>
        </font>
        <alignment horizontal="general" readingOrder="0"/>
        <protection locked="0"/>
      </dxf>
    </rfmt>
    <rfmt sheetId="5" sqref="AP256" start="0" length="0">
      <dxf>
        <font>
          <b/>
          <sz val="10"/>
          <color auto="1"/>
          <name val="Arial"/>
          <scheme val="none"/>
        </font>
        <alignment horizontal="general" readingOrder="0"/>
        <protection locked="0"/>
      </dxf>
    </rfmt>
    <rfmt sheetId="5" sqref="AQ256" start="0" length="0">
      <dxf>
        <font>
          <b/>
          <sz val="10"/>
          <color auto="1"/>
          <name val="Arial"/>
          <scheme val="none"/>
        </font>
        <alignment horizontal="general" readingOrder="0"/>
        <protection locked="0"/>
      </dxf>
    </rfmt>
    <rfmt sheetId="5" sqref="AR256" start="0" length="0">
      <dxf>
        <font>
          <b/>
          <sz val="10"/>
          <color auto="1"/>
          <name val="Arial"/>
          <scheme val="none"/>
        </font>
        <alignment horizontal="general" readingOrder="0"/>
        <protection locked="0"/>
      </dxf>
    </rfmt>
    <rfmt sheetId="5" sqref="AS256" start="0" length="0">
      <dxf>
        <font>
          <b/>
          <sz val="10"/>
          <color auto="1"/>
          <name val="Arial"/>
          <scheme val="none"/>
        </font>
        <alignment horizontal="general" readingOrder="0"/>
        <protection locked="0"/>
      </dxf>
    </rfmt>
    <rfmt sheetId="5" sqref="AT256" start="0" length="0">
      <dxf>
        <font>
          <b/>
          <sz val="10"/>
          <color auto="1"/>
          <name val="Arial"/>
          <scheme val="none"/>
        </font>
        <alignment horizontal="general" readingOrder="0"/>
        <protection locked="0"/>
      </dxf>
    </rfmt>
    <rfmt sheetId="5" sqref="AU256" start="0" length="0">
      <dxf>
        <font>
          <b/>
          <sz val="10"/>
          <color auto="1"/>
          <name val="Arial"/>
          <scheme val="none"/>
        </font>
        <alignment horizontal="general" readingOrder="0"/>
        <protection locked="0"/>
      </dxf>
    </rfmt>
    <rfmt sheetId="5" sqref="AV256" start="0" length="0">
      <dxf>
        <font>
          <b/>
          <sz val="10"/>
          <color auto="1"/>
          <name val="Arial"/>
          <scheme val="none"/>
        </font>
        <alignment horizontal="general" readingOrder="0"/>
        <protection locked="0"/>
      </dxf>
    </rfmt>
    <rfmt sheetId="5" sqref="AW256" start="0" length="0">
      <dxf>
        <font>
          <b/>
          <sz val="10"/>
          <color auto="1"/>
          <name val="Arial"/>
          <scheme val="none"/>
        </font>
        <alignment horizontal="general" readingOrder="0"/>
        <protection locked="0"/>
      </dxf>
    </rfmt>
    <rfmt sheetId="5" sqref="AX256" start="0" length="0">
      <dxf>
        <protection locked="0"/>
      </dxf>
    </rfmt>
    <rfmt sheetId="5" sqref="AY256" start="0" length="0">
      <dxf>
        <protection locked="0"/>
      </dxf>
    </rfmt>
    <rfmt sheetId="5" sqref="AZ256" start="0" length="0">
      <dxf>
        <protection locked="0"/>
      </dxf>
    </rfmt>
    <rfmt sheetId="5" sqref="BA256" start="0" length="0">
      <dxf>
        <protection locked="0"/>
      </dxf>
    </rfmt>
    <rfmt sheetId="5" sqref="BB256" start="0" length="0">
      <dxf>
        <protection locked="0"/>
      </dxf>
    </rfmt>
    <rfmt sheetId="5" sqref="BC256" start="0" length="0">
      <dxf>
        <protection locked="0"/>
      </dxf>
    </rfmt>
    <rfmt sheetId="5" sqref="BD256" start="0" length="0">
      <dxf>
        <protection locked="0"/>
      </dxf>
    </rfmt>
    <rfmt sheetId="5" sqref="BE256" start="0" length="0">
      <dxf>
        <protection locked="0"/>
      </dxf>
    </rfmt>
    <rfmt sheetId="5" sqref="BF256" start="0" length="0">
      <dxf>
        <protection locked="0"/>
      </dxf>
    </rfmt>
    <rfmt sheetId="5" sqref="BG256" start="0" length="0">
      <dxf>
        <protection locked="0"/>
      </dxf>
    </rfmt>
    <rfmt sheetId="5" sqref="BH256" start="0" length="0">
      <dxf>
        <protection locked="0"/>
      </dxf>
    </rfmt>
    <rfmt sheetId="5" sqref="BI256" start="0" length="0">
      <dxf>
        <protection locked="0"/>
      </dxf>
    </rfmt>
    <rfmt sheetId="5" sqref="BJ256" start="0" length="0">
      <dxf>
        <protection locked="0"/>
      </dxf>
    </rfmt>
    <rfmt sheetId="5" sqref="BK256" start="0" length="0">
      <dxf>
        <protection locked="0"/>
      </dxf>
    </rfmt>
    <rfmt sheetId="5" sqref="BL256" start="0" length="0">
      <dxf>
        <protection locked="0"/>
      </dxf>
    </rfmt>
    <rfmt sheetId="5" sqref="BM256" start="0" length="0">
      <dxf>
        <protection locked="0"/>
      </dxf>
    </rfmt>
    <rfmt sheetId="5" sqref="BN256" start="0" length="0">
      <dxf>
        <protection locked="0"/>
      </dxf>
    </rfmt>
    <rfmt sheetId="5" sqref="BO256" start="0" length="0">
      <dxf>
        <protection locked="0"/>
      </dxf>
    </rfmt>
    <rfmt sheetId="5" sqref="BP256" start="0" length="0">
      <dxf>
        <protection locked="0"/>
      </dxf>
    </rfmt>
    <rfmt sheetId="5" sqref="BQ256" start="0" length="0">
      <dxf>
        <protection locked="0"/>
      </dxf>
    </rfmt>
    <rfmt sheetId="5" sqref="BR256" start="0" length="0">
      <dxf>
        <protection locked="0"/>
      </dxf>
    </rfmt>
    <rfmt sheetId="5" sqref="BS256" start="0" length="0">
      <dxf>
        <protection locked="0"/>
      </dxf>
    </rfmt>
    <rfmt sheetId="5" sqref="BT256" start="0" length="0">
      <dxf>
        <protection locked="0"/>
      </dxf>
    </rfmt>
    <rfmt sheetId="5" sqref="BU256" start="0" length="0">
      <dxf>
        <protection locked="0"/>
      </dxf>
    </rfmt>
    <rfmt sheetId="5" sqref="BV256" start="0" length="0">
      <dxf>
        <protection locked="0"/>
      </dxf>
    </rfmt>
    <rfmt sheetId="5" sqref="BW256" start="0" length="0">
      <dxf>
        <protection locked="0"/>
      </dxf>
    </rfmt>
  </rrc>
  <rrc rId="122" sId="5" ref="A256:XFD256" action="deleteRow">
    <undo index="1" exp="area" ref3D="1" dr="AM$1:AM$1048576" r="I30" sId="11"/>
    <undo index="1" exp="area" ref3D="1" dr="AM$1:AM$1048576" r="I29" sId="11"/>
    <undo index="1" exp="area" ref3D="1" dr="AM$1:AM$1048576" r="I28" sId="11"/>
    <undo index="1" exp="area" ref3D="1" dr="AM$1:AM$1048576" r="I27" sId="11"/>
    <undo index="1" exp="area" ref3D="1" dr="AM$1:AM$1048576" r="I26" sId="11"/>
    <undo index="1" exp="area" ref3D="1" dr="AM$1:AM$1048576" r="I25" sId="11"/>
    <undo index="1" exp="area" ref3D="1" dr="AM$1:AM$1048576" r="I24" sId="11"/>
    <undo index="1" exp="area" ref3D="1" dr="AM$1:AM$1048576" r="I23" sId="11"/>
    <undo index="1" exp="area" ref3D="1" dr="AM$1:AM$1048576" r="I22" sId="11"/>
    <undo index="1" exp="area" ref3D="1" dr="AM$1:AM$1048576" r="I21" sId="11"/>
    <undo index="1" exp="area" ref3D="1" dr="AM$1:AM$1048576" r="I20" sId="11"/>
    <undo index="1" exp="area" ref3D="1" dr="AM$1:AM$1048576" r="I19" sId="11"/>
    <undo index="1" exp="area" ref3D="1" dr="AM$1:AM$1048576" r="I18" sId="11"/>
    <undo index="1" exp="area" ref3D="1" dr="AM$1:AM$1048576" r="I17" sId="11"/>
    <undo index="1" exp="area" ref3D="1" dr="AM$1:AM$1048576" r="I16" sId="11"/>
    <undo index="1" exp="area" ref3D="1" dr="AM$1:AM$1048576" r="I15" sId="11"/>
    <undo index="1" exp="area" ref3D="1" dr="AM$1:AM$1048576" r="I14" sId="11"/>
    <undo index="1" exp="area" ref3D="1" dr="AM$1:AM$1048576" r="I13" sId="11"/>
    <undo index="1" exp="area" ref3D="1" dr="AM$1:AM$1048576" r="I12" sId="11"/>
    <undo index="1" exp="area" ref3D="1" dr="AM$1:AM$1048576" r="I11" sId="11"/>
    <undo index="1" exp="area" ref3D="1" dr="AM$1:AM$1048576" r="I10" sId="11"/>
    <undo index="1" exp="area" ref3D="1" dr="AM$1:AM$1048576" r="I9" sId="11"/>
    <undo index="1" exp="area" ref3D="1" dr="AM$1:AM$1048576" r="I8" sId="11"/>
    <undo index="1" exp="area" ref3D="1" dr="AM$1:AM$1048576" r="I2" sId="11"/>
    <undo index="2" exp="area" ref3D="1" dr="$AO$1:$AO$1048576" r="E37" sId="6"/>
    <undo index="0" exp="area" ref3D="1" dr="$AM$1:$AM$1048576" r="E37" sId="6"/>
    <undo index="2" exp="area" ref3D="1" dr="AN$1:AN$1048576" r="C37" sId="6"/>
    <undo index="0" exp="area" ref3D="1" dr="AM$1:AM$1048576" r="C37" sId="6"/>
    <undo index="2" exp="area" ref3D="1" dr="$AO$1:$AO$1048576" r="E36" sId="6"/>
    <undo index="0" exp="area" ref3D="1" dr="$AM$1:$AM$1048576" r="E36" sId="6"/>
    <undo index="2" exp="area" ref3D="1" dr="AN$1:AN$1048576" r="C36" sId="6"/>
    <undo index="0" exp="area" ref3D="1" dr="AM$1:AM$1048576" r="C36" sId="6"/>
    <undo index="2" exp="area" ref3D="1" dr="$AO$1:$AO$1048576" r="E35" sId="6"/>
    <undo index="0" exp="area" ref3D="1" dr="$AM$1:$AM$1048576" r="E35" sId="6"/>
    <undo index="2" exp="area" ref3D="1" dr="AN$1:AN$1048576" r="C35" sId="6"/>
    <undo index="0" exp="area" ref3D="1" dr="AM$1:AM$1048576" r="C35" sId="6"/>
    <undo index="2" exp="area" ref3D="1" dr="$AO$1:$AO$1048576" r="E34" sId="6"/>
    <undo index="0" exp="area" ref3D="1" dr="$AM$1:$AM$1048576" r="E34" sId="6"/>
    <undo index="2" exp="area" ref3D="1" dr="AN$1:AN$1048576" r="C34" sId="6"/>
    <undo index="0" exp="area" ref3D="1" dr="AM$1:AM$1048576" r="C34" sId="6"/>
    <undo index="2" exp="area" ref3D="1" dr="$AO$1:$AO$1048576" r="E33" sId="6"/>
    <undo index="0" exp="area" ref3D="1" dr="$AM$1:$AM$1048576" r="E33" sId="6"/>
    <undo index="2" exp="area" ref3D="1" dr="AN$1:AN$1048576" r="C33" sId="6"/>
    <undo index="0" exp="area" ref3D="1" dr="AM$1:AM$1048576" r="C33" sId="6"/>
    <undo index="2" exp="area" ref3D="1" dr="$AO$1:$AO$1048576" r="E32" sId="6"/>
    <undo index="0" exp="area" ref3D="1" dr="$AM$1:$AM$1048576" r="E32" sId="6"/>
    <undo index="2" exp="area" ref3D="1" dr="AN$1:AN$1048576" r="C32" sId="6"/>
    <undo index="0" exp="area" ref3D="1" dr="AM$1:AM$1048576" r="C32" sId="6"/>
    <undo index="2" exp="area" ref3D="1" dr="$AO$1:$AO$1048576" r="E31" sId="6"/>
    <undo index="0" exp="area" ref3D="1" dr="$AM$1:$AM$1048576" r="E31" sId="6"/>
    <undo index="2" exp="area" ref3D="1" dr="AN$1:AN$1048576" r="C31" sId="6"/>
    <undo index="0" exp="area" ref3D="1" dr="AM$1:AM$1048576" r="C31" sId="6"/>
    <undo index="2" exp="area" ref3D="1" dr="$AO$1:$AO$1048576" r="E30" sId="6"/>
    <undo index="0" exp="area" ref3D="1" dr="$AM$1:$AM$1048576" r="E30" sId="6"/>
    <undo index="2" exp="area" ref3D="1" dr="AN$1:AN$1048576" r="C30" sId="6"/>
    <undo index="0" exp="area" ref3D="1" dr="AM$1:AM$1048576" r="C30" sId="6"/>
    <undo index="2" exp="area" ref3D="1" dr="$AO$1:$AO$1048576" r="E29" sId="6"/>
    <undo index="0" exp="area" ref3D="1" dr="$AM$1:$AM$1048576" r="E29" sId="6"/>
    <undo index="2" exp="area" ref3D="1" dr="AN$1:AN$1048576" r="C29" sId="6"/>
    <undo index="0" exp="area" ref3D="1" dr="AM$1:AM$1048576" r="C29" sId="6"/>
    <undo index="2" exp="area" ref3D="1" dr="$AO$1:$AO$1048576" r="E28" sId="6"/>
    <undo index="0" exp="area" ref3D="1" dr="$AM$1:$AM$1048576" r="E28" sId="6"/>
    <undo index="2" exp="area" ref3D="1" dr="AN$1:AN$1048576" r="C28" sId="6"/>
    <undo index="0" exp="area" ref3D="1" dr="AM$1:AM$1048576" r="C28" sId="6"/>
    <undo index="2" exp="area" ref3D="1" dr="$AO$1:$AO$1048576" r="E27" sId="6"/>
    <undo index="0" exp="area" ref3D="1" dr="$AM$1:$AM$1048576" r="E27" sId="6"/>
    <undo index="2" exp="area" ref3D="1" dr="AN$1:AN$1048576" r="C27" sId="6"/>
    <undo index="0" exp="area" ref3D="1" dr="AM$1:AM$1048576" r="C27" sId="6"/>
    <undo index="2" exp="area" ref3D="1" dr="$AO$1:$AO$1048576" r="E26" sId="6"/>
    <undo index="0" exp="area" ref3D="1" dr="$AM$1:$AM$1048576" r="E26" sId="6"/>
    <undo index="2" exp="area" ref3D="1" dr="AN$1:AN$1048576" r="C26" sId="6"/>
    <undo index="0" exp="area" ref3D="1" dr="AM$1:AM$1048576" r="C26" sId="6"/>
    <undo index="2" exp="area" ref3D="1" dr="$AO$1:$AO$1048576" r="E25" sId="6"/>
    <undo index="0" exp="area" ref3D="1" dr="$AM$1:$AM$1048576" r="E25" sId="6"/>
    <undo index="2" exp="area" ref3D="1" dr="AN$1:AN$1048576" r="C25" sId="6"/>
    <undo index="0" exp="area" ref3D="1" dr="AM$1:AM$1048576" r="C25" sId="6"/>
    <undo index="2" exp="area" ref3D="1" dr="$AO$1:$AO$1048576" r="E24" sId="6"/>
    <undo index="0" exp="area" ref3D="1" dr="$AM$1:$AM$1048576" r="E24" sId="6"/>
    <undo index="2" exp="area" ref3D="1" dr="AN$1:AN$1048576" r="C24" sId="6"/>
    <undo index="0" exp="area" ref3D="1" dr="AM$1:AM$1048576" r="C24" sId="6"/>
    <undo index="2" exp="area" ref3D="1" dr="$AO$1:$AO$1048576" r="E23" sId="6"/>
    <undo index="0" exp="area" ref3D="1" dr="$AM$1:$AM$1048576" r="E23" sId="6"/>
    <undo index="2" exp="area" ref3D="1" dr="AN$1:AN$1048576" r="C23" sId="6"/>
    <undo index="0" exp="area" ref3D="1" dr="AM$1:AM$1048576" r="C23" sId="6"/>
    <undo index="2" exp="area" ref3D="1" dr="$AO$1:$AO$1048576" r="E22" sId="6"/>
    <undo index="0" exp="area" ref3D="1" dr="$AM$1:$AM$1048576" r="E22" sId="6"/>
    <undo index="2" exp="area" ref3D="1" dr="AN$1:AN$1048576" r="C22" sId="6"/>
    <undo index="0" exp="area" ref3D="1" dr="AM$1:AM$1048576" r="C22" sId="6"/>
    <undo index="2" exp="area" ref3D="1" dr="$AO$1:$AO$1048576" r="E21" sId="6"/>
    <undo index="0" exp="area" ref3D="1" dr="$AM$1:$AM$1048576" r="E21" sId="6"/>
    <undo index="2" exp="area" ref3D="1" dr="AN$1:AN$1048576" r="C21" sId="6"/>
    <undo index="0" exp="area" ref3D="1" dr="AM$1:AM$1048576" r="C21" sId="6"/>
    <undo index="2" exp="area" ref3D="1" dr="$AO$1:$AO$1048576" r="E20" sId="6"/>
    <undo index="0" exp="area" ref3D="1" dr="$AM$1:$AM$1048576" r="E20" sId="6"/>
    <undo index="2" exp="area" ref3D="1" dr="AN$1:AN$1048576" r="C20" sId="6"/>
    <undo index="0" exp="area" ref3D="1" dr="AM$1:AM$1048576" r="C20" sId="6"/>
    <undo index="2" exp="area" ref3D="1" dr="$AO$1:$AO$1048576" r="E19" sId="6"/>
    <undo index="0" exp="area" ref3D="1" dr="$AM$1:$AM$1048576" r="E19" sId="6"/>
    <undo index="2" exp="area" ref3D="1" dr="AN$1:AN$1048576" r="C19" sId="6"/>
    <undo index="0" exp="area" ref3D="1" dr="AM$1:AM$1048576" r="C19" sId="6"/>
    <undo index="2" exp="area" ref3D="1" dr="$AO$1:$AO$1048576" r="E18" sId="6"/>
    <undo index="0" exp="area" ref3D="1" dr="$AM$1:$AM$1048576" r="E18" sId="6"/>
    <undo index="2" exp="area" ref3D="1" dr="AN$1:AN$1048576" r="C18" sId="6"/>
    <undo index="0" exp="area" ref3D="1" dr="AM$1:AM$1048576" r="C18" sId="6"/>
    <undo index="2" exp="area" ref3D="1" dr="$AO$1:$AO$1048576" r="E17" sId="6"/>
    <undo index="0" exp="area" ref3D="1" dr="$AM$1:$AM$1048576" r="E17" sId="6"/>
    <undo index="2" exp="area" ref3D="1" dr="AN$1:AN$1048576" r="C17" sId="6"/>
    <undo index="0" exp="area" ref3D="1" dr="AM$1:AM$1048576" r="C17" sId="6"/>
    <undo index="2" exp="area" ref3D="1" dr="$AO$1:$AO$1048576" r="E16" sId="6"/>
    <undo index="0" exp="area" ref3D="1" dr="$AM$1:$AM$1048576" r="E16" sId="6"/>
    <undo index="2" exp="area" ref3D="1" dr="AN$1:AN$1048576" r="C16" sId="6"/>
    <undo index="0" exp="area" ref3D="1" dr="AM$1:AM$1048576" r="C16" sId="6"/>
    <undo index="2" exp="area" ref3D="1" dr="$AO$1:$AO$1048576" r="E15" sId="6"/>
    <undo index="0" exp="area" ref3D="1" dr="$AM$1:$AM$1048576" r="E15" sId="6"/>
    <undo index="2" exp="area" ref3D="1" dr="AN$1:AN$1048576" r="C15" sId="6"/>
    <undo index="0" exp="area" ref3D="1" dr="AM$1:AM$1048576" r="C15" sId="6"/>
    <undo index="2" exp="area" ref3D="1" dr="$AO$1:$AO$1048576" r="E14" sId="6"/>
    <undo index="0" exp="area" ref3D="1" dr="$AM$1:$AM$1048576" r="E14" sId="6"/>
    <undo index="2" exp="area" ref3D="1" dr="AN$1:AN$1048576" r="C14" sId="6"/>
    <undo index="0" exp="area" ref3D="1" dr="AM$1:AM$1048576" r="C14" sId="6"/>
    <undo index="2" exp="area" ref3D="1" dr="$AO$1:$AO$1048576" r="E13" sId="6"/>
    <undo index="0" exp="area" ref3D="1" dr="$AM$1:$AM$1048576" r="E13" sId="6"/>
    <undo index="2" exp="area" ref3D="1" dr="AN$1:AN$1048576" r="C13" sId="6"/>
    <undo index="0" exp="area" ref3D="1" dr="AM$1:AM$1048576" r="C13" sId="6"/>
    <undo index="2" exp="area" ref3D="1" dr="$AO$1:$AO$1048576" r="E11" sId="6"/>
    <undo index="0" exp="area" ref3D="1" dr="$AM$1:$AM$1048576" r="E11" sId="6"/>
    <undo index="2" exp="area" ref3D="1" dr="AN$1:AN$1048576" r="C11" sId="6"/>
    <undo index="0" exp="area" ref3D="1" dr="AM$1:AM$1048576" r="C11" sId="6"/>
    <undo index="2" exp="area" ref3D="1" dr="$AO$1:$AO$1048576" r="E10" sId="6"/>
    <undo index="0" exp="area" ref3D="1" dr="$AM$1:$AM$1048576" r="E10" sId="6"/>
    <undo index="2" exp="area" ref3D="1" dr="AN$1:AN$1048576" r="C10" sId="6"/>
    <undo index="0" exp="area" ref3D="1" dr="AM$1:AM$1048576" r="C10" sId="6"/>
    <undo index="2" exp="area" ref3D="1" dr="$AO$1:$AO$1048576" r="E9" sId="6"/>
    <undo index="0" exp="area" ref3D="1" dr="$AM$1:$AM$1048576" r="E9" sId="6"/>
    <undo index="2" exp="area" ref3D="1" dr="AN$1:AN$1048576" r="C9" sId="6"/>
    <undo index="0" exp="area" ref3D="1" dr="AM$1:AM$1048576" r="C9" sId="6"/>
    <undo index="2" exp="area" ref3D="1" dr="$AO$1:$AO$1048576" r="E8" sId="6"/>
    <undo index="0" exp="area" ref3D="1" dr="$AM$1:$AM$1048576" r="E8" sId="6"/>
    <undo index="2" exp="area" ref3D="1" dr="AN$1:AN$1048576" r="C8" sId="6"/>
    <undo index="0" exp="area" ref3D="1" dr="AM$1:AM$1048576" r="C8" sId="6"/>
    <undo index="2" exp="area" ref3D="1" dr="$AO$1:$AO$1048576" r="E7" sId="6"/>
    <undo index="0" exp="area" ref3D="1" dr="$AM$1:$AM$1048576" r="E7" sId="6"/>
    <undo index="2" exp="area" ref3D="1" dr="AN$1:AN$1048576" r="C7" sId="6"/>
    <undo index="0" exp="area" ref3D="1" dr="AM$1:AM$1048576" r="C7" sId="6"/>
    <undo index="2" exp="area" ref3D="1" dr="$AO$1:$AO$1048576" r="E6" sId="6"/>
    <undo index="0" exp="area" ref3D="1" dr="$AM$1:$AM$1048576" r="E6" sId="6"/>
    <undo index="2" exp="area" ref3D="1" dr="AN$1:AN$1048576" r="C6" sId="6"/>
    <undo index="0" exp="area" ref3D="1" dr="AM$1:AM$1048576" r="C6" sId="6"/>
    <undo index="2" exp="area" ref3D="1" dr="$AO$1:$AO$1048576" r="E5" sId="6"/>
    <undo index="0" exp="area" ref3D="1" dr="$AM$1:$AM$1048576" r="E5" sId="6"/>
    <undo index="2" exp="area" ref3D="1" dr="AN$1:AN$1048576" r="C5" sId="6"/>
    <undo index="0" exp="area" ref3D="1" dr="AM$1:AM$1048576" r="C5" sId="6"/>
    <undo index="2" exp="area" ref3D="1" dr="$AO$1:$AO$1048576" r="E4" sId="6"/>
    <undo index="0" exp="area" ref3D="1" dr="$AM$1:$AM$1048576" r="E4" sId="6"/>
    <undo index="2" exp="area" ref3D="1" dr="AN$1:AN$1048576" r="C4" sId="6"/>
    <undo index="0" exp="area" ref3D="1" dr="AM$1:AM$1048576" r="C4" sId="6"/>
    <undo index="11" exp="area" dr="$Q244:$Q256" r="Q241" sId="5"/>
    <undo index="9" exp="area" dr="$K244:$K256" r="Q241" sId="5"/>
    <undo index="6" exp="area" dr="$O244:$O256" r="Q241" sId="5"/>
    <undo index="4" exp="area" dr="$K244:$K256" r="Q241" sId="5"/>
    <undo index="2" exp="area" dr="$M244:$M256" r="Q241" sId="5"/>
    <undo index="0" exp="area" dr="$K244:$K256" r="Q241" sId="5"/>
    <undo index="11" exp="area" dr="$Q244:$Q256" r="F241" sId="5"/>
    <undo index="9" exp="area" dr="$K244:$K256" r="F241" sId="5"/>
    <undo index="6" exp="area" dr="$O244:$O256" r="F241" sId="5"/>
    <undo index="4" exp="area" dr="$K244:$K256" r="F241" sId="5"/>
    <undo index="2" exp="area" dr="$M244:$M256" r="F241" sId="5"/>
    <undo index="0" exp="area" dr="$K244:$K256" r="F241" sId="5"/>
    <undo index="2" exp="area" dr="Q$1:Q$1048576" r="Y6" sId="5"/>
    <undo index="0" exp="area" dr="J$1:J$1048576" r="Y6" sId="5"/>
    <undo index="2" exp="area" dr="F$1:F$1048576" r="Y5" sId="5"/>
    <undo index="0" exp="area" dr="A$1:A$1048576" r="Y5" sId="5"/>
    <undo index="0" exp="area" ref3D="1" dr="$AJ$1:$AO$1048576" dn="Z_8263CC96_2145_451B_AD8A_CC38FD628AC9_.wvu.Cols" sId="5"/>
    <undo index="0" exp="area" ref3D="1" dr="$AJ$1:$AO$1048576" dn="Z_721132AF_EF29_4C83_8A4A_F17ABB4BD7C0_.wvu.Cols" sId="5"/>
    <rfmt sheetId="5" xfDxf="1" sqref="A256:XFD256" start="0" length="0">
      <dxf>
        <fill>
          <patternFill patternType="solid">
            <bgColor theme="0"/>
          </patternFill>
        </fill>
        <alignment horizontal="left" vertical="center" wrapText="1" readingOrder="0"/>
      </dxf>
    </rfmt>
    <rfmt sheetId="5" sqref="A256" start="0" length="0">
      <dxf>
        <alignment horizontal="center" readingOrder="0"/>
        <border outline="0">
          <left style="thin">
            <color indexed="64"/>
          </left>
          <right style="dashed">
            <color indexed="64"/>
          </right>
          <bottom style="thin">
            <color indexed="64"/>
          </bottom>
        </border>
      </dxf>
    </rfmt>
    <rfmt sheetId="5" sqref="B256" start="0" length="0">
      <dxf>
        <alignment horizontal="center" readingOrder="0"/>
        <border outline="0">
          <left style="dashed">
            <color indexed="64"/>
          </left>
          <right style="dashed">
            <color indexed="64"/>
          </right>
          <bottom style="thin">
            <color indexed="64"/>
          </bottom>
        </border>
      </dxf>
    </rfmt>
    <rfmt sheetId="5" sqref="C256" start="0" length="0">
      <dxf>
        <alignment horizontal="center" readingOrder="0"/>
        <border outline="0">
          <left style="dashed">
            <color indexed="64"/>
          </left>
          <right style="dashed">
            <color indexed="64"/>
          </right>
          <bottom style="thin">
            <color indexed="64"/>
          </bottom>
        </border>
      </dxf>
    </rfmt>
    <rfmt sheetId="5" sqref="D256" start="0" length="0">
      <dxf>
        <font>
          <b/>
          <sz val="10"/>
          <color auto="1"/>
          <name val="Arial"/>
          <scheme val="none"/>
        </font>
        <alignment horizontal="general" readingOrder="0"/>
        <border outline="0">
          <left style="dashed">
            <color indexed="64"/>
          </left>
          <right style="dashed">
            <color indexed="64"/>
          </right>
          <bottom style="thin">
            <color indexed="64"/>
          </bottom>
        </border>
      </dxf>
    </rfmt>
    <rfmt sheetId="5" sqref="E256" start="0" length="0">
      <dxf>
        <font>
          <b/>
          <sz val="10"/>
          <color auto="1"/>
          <name val="Arial"/>
          <scheme val="none"/>
        </font>
        <alignment horizontal="general" readingOrder="0"/>
        <border outline="0">
          <left style="dashed">
            <color indexed="64"/>
          </left>
          <right style="dashed">
            <color indexed="64"/>
          </right>
          <bottom style="thin">
            <color indexed="64"/>
          </bottom>
        </border>
      </dxf>
    </rfmt>
    <rfmt sheetId="5" sqref="F256" start="0" length="0">
      <dxf>
        <font>
          <b/>
          <sz val="10"/>
          <color auto="1"/>
          <name val="Arial"/>
          <scheme val="none"/>
        </font>
        <alignment horizontal="general" readingOrder="0"/>
        <border outline="0">
          <left style="dashed">
            <color indexed="64"/>
          </left>
          <right style="dashed">
            <color indexed="64"/>
          </right>
          <bottom style="thin">
            <color indexed="64"/>
          </bottom>
        </border>
      </dxf>
    </rfmt>
    <rfmt sheetId="5" sqref="G256" start="0" length="0">
      <dxf>
        <font>
          <b/>
          <sz val="10"/>
          <color auto="1"/>
          <name val="Arial"/>
          <scheme val="none"/>
        </font>
        <alignment horizontal="general" readingOrder="0"/>
        <border outline="0">
          <left style="dashed">
            <color indexed="64"/>
          </left>
          <right style="dashed">
            <color indexed="64"/>
          </right>
          <bottom style="thin">
            <color indexed="64"/>
          </bottom>
        </border>
      </dxf>
    </rfmt>
    <rfmt sheetId="5" sqref="H256" start="0" length="0">
      <dxf>
        <font>
          <b/>
          <sz val="10"/>
          <color auto="1"/>
          <name val="Arial"/>
          <scheme val="none"/>
        </font>
        <alignment horizontal="general" readingOrder="0"/>
        <border outline="0">
          <left style="dashed">
            <color indexed="64"/>
          </left>
          <right style="dashed">
            <color indexed="64"/>
          </right>
          <bottom style="thin">
            <color indexed="64"/>
          </bottom>
        </border>
      </dxf>
    </rfmt>
    <rfmt sheetId="5" sqref="I256" start="0" length="0">
      <dxf>
        <font>
          <b/>
          <sz val="10"/>
          <color auto="1"/>
          <name val="Arial"/>
          <scheme val="none"/>
        </font>
        <alignment horizontal="general" readingOrder="0"/>
        <border outline="0">
          <left style="dashed">
            <color indexed="64"/>
          </left>
          <right style="dashed">
            <color indexed="64"/>
          </right>
          <bottom style="thin">
            <color indexed="64"/>
          </bottom>
        </border>
      </dxf>
    </rfmt>
    <rfmt sheetId="5" sqref="J256" start="0" length="0">
      <dxf>
        <font>
          <b/>
          <sz val="10"/>
          <color auto="1"/>
          <name val="Arial"/>
          <scheme val="none"/>
        </font>
        <alignment horizontal="center" readingOrder="0"/>
        <border outline="0">
          <left style="dashed">
            <color indexed="64"/>
          </left>
          <right style="dashed">
            <color indexed="64"/>
          </right>
          <bottom style="thin">
            <color indexed="64"/>
          </bottom>
        </border>
      </dxf>
    </rfmt>
    <rcc rId="0" sId="5" dxf="1">
      <nc r="K256">
        <f>Translations!$A$79</f>
      </nc>
      <ndxf>
        <fill>
          <patternFill>
            <bgColor theme="8" tint="0.79998168889431442"/>
          </patternFill>
        </fill>
        <alignment horizontal="center" readingOrder="0"/>
        <border outline="0">
          <left style="dashed">
            <color indexed="64"/>
          </left>
          <right style="dashed">
            <color indexed="64"/>
          </right>
          <top style="dotted">
            <color indexed="64"/>
          </top>
          <bottom style="thin">
            <color indexed="64"/>
          </bottom>
        </border>
      </ndxf>
    </rcc>
    <rfmt sheetId="5" sqref="L256" start="0" length="0">
      <dxf>
        <fill>
          <patternFill>
            <bgColor theme="8" tint="0.79998168889431442"/>
          </patternFill>
        </fill>
        <alignment horizontal="center" readingOrder="0"/>
        <border outline="0">
          <left style="dashed">
            <color indexed="64"/>
          </left>
          <right style="dashed">
            <color indexed="64"/>
          </right>
          <top style="dotted">
            <color indexed="64"/>
          </top>
          <bottom style="thin">
            <color indexed="64"/>
          </bottom>
        </border>
      </dxf>
    </rfmt>
    <rfmt sheetId="5" s="1" sqref="M256" start="0" length="0">
      <dxf>
        <font>
          <sz val="10"/>
          <color auto="1"/>
          <name val="Arial"/>
          <scheme val="none"/>
        </font>
        <numFmt numFmtId="3" formatCode="#,##0"/>
        <alignment horizontal="right" readingOrder="0"/>
        <border outline="0">
          <left style="dashed">
            <color indexed="64"/>
          </left>
          <right style="dashed">
            <color indexed="64"/>
          </right>
          <bottom style="dotted">
            <color indexed="64"/>
          </bottom>
        </border>
      </dxf>
    </rfmt>
    <rfmt sheetId="5" s="1" sqref="N256" start="0" length="0">
      <dxf>
        <font>
          <sz val="10"/>
          <color auto="1"/>
          <name val="Arial"/>
          <scheme val="none"/>
        </font>
        <numFmt numFmtId="3" formatCode="#,##0"/>
        <alignment horizontal="right" readingOrder="0"/>
        <border outline="0">
          <left style="dashed">
            <color indexed="64"/>
          </left>
          <right style="dashed">
            <color indexed="64"/>
          </right>
          <bottom style="dotted">
            <color indexed="64"/>
          </bottom>
        </border>
      </dxf>
    </rfmt>
    <rfmt sheetId="5" s="1" sqref="O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P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Q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1" sqref="R256" start="0" length="0">
      <dxf>
        <font>
          <sz val="10"/>
          <color auto="1"/>
          <name val="Arial"/>
          <scheme val="none"/>
        </font>
        <numFmt numFmtId="3" formatCode="#,##0"/>
        <alignment horizontal="right" readingOrder="0"/>
        <border outline="0">
          <left style="dashed">
            <color indexed="64"/>
          </left>
          <right style="dashed">
            <color indexed="64"/>
          </right>
          <top style="dotted">
            <color indexed="64"/>
          </top>
          <bottom style="thin">
            <color indexed="64"/>
          </bottom>
        </border>
      </dxf>
    </rfmt>
    <rfmt sheetId="5" sqref="S256" start="0" length="0">
      <dxf>
        <alignment horizontal="center" readingOrder="0"/>
        <border outline="0">
          <left style="dashed">
            <color indexed="64"/>
          </left>
          <right style="dashed">
            <color indexed="64"/>
          </right>
          <top style="thin">
            <color indexed="64"/>
          </top>
          <bottom style="thin">
            <color indexed="64"/>
          </bottom>
        </border>
      </dxf>
    </rfmt>
    <rfmt sheetId="5" sqref="T256" start="0" length="0">
      <dxf>
        <alignment horizontal="center" readingOrder="0"/>
        <border outline="0">
          <left style="dashed">
            <color indexed="64"/>
          </left>
          <right style="dashed">
            <color indexed="64"/>
          </right>
          <top style="thin">
            <color indexed="64"/>
          </top>
          <bottom style="thin">
            <color indexed="64"/>
          </bottom>
        </border>
      </dxf>
    </rfmt>
    <rfmt sheetId="5" sqref="U256" start="0" length="0">
      <dxf>
        <alignment horizontal="center" readingOrder="0"/>
        <border outline="0">
          <left style="dashed">
            <color indexed="64"/>
          </left>
          <right style="dashed">
            <color indexed="64"/>
          </right>
          <top style="thin">
            <color indexed="64"/>
          </top>
          <bottom style="thin">
            <color indexed="64"/>
          </bottom>
        </border>
      </dxf>
    </rfmt>
    <rfmt sheetId="5" sqref="V256" start="0" length="0">
      <dxf>
        <alignment horizontal="center" readingOrder="0"/>
        <border outline="0">
          <left style="dashed">
            <color indexed="64"/>
          </left>
          <right style="dashed">
            <color indexed="64"/>
          </right>
          <top style="thin">
            <color indexed="64"/>
          </top>
          <bottom style="thin">
            <color indexed="64"/>
          </bottom>
        </border>
      </dxf>
    </rfmt>
    <rfmt sheetId="5" sqref="W256" start="0" length="0">
      <dxf>
        <alignment horizontal="center" readingOrder="0"/>
        <border outline="0">
          <left style="dashed">
            <color indexed="64"/>
          </left>
          <right style="dashed">
            <color indexed="64"/>
          </right>
          <top style="thin">
            <color indexed="64"/>
          </top>
          <bottom style="thin">
            <color indexed="64"/>
          </bottom>
        </border>
      </dxf>
    </rfmt>
    <rfmt sheetId="5" sqref="X256" start="0" length="0">
      <dxf>
        <alignment horizontal="center" readingOrder="0"/>
        <border outline="0">
          <left style="dashed">
            <color indexed="64"/>
          </left>
          <right style="dashed">
            <color indexed="64"/>
          </right>
          <top style="thin">
            <color indexed="64"/>
          </top>
          <bottom style="thin">
            <color indexed="64"/>
          </bottom>
        </border>
      </dxf>
    </rfmt>
    <rfmt sheetId="5" sqref="Y256" start="0" length="0">
      <dxf>
        <alignment horizontal="center" readingOrder="0"/>
        <border outline="0">
          <left style="dashed">
            <color indexed="64"/>
          </left>
          <right style="dashed">
            <color indexed="64"/>
          </right>
          <top style="thin">
            <color indexed="64"/>
          </top>
          <bottom style="thin">
            <color indexed="64"/>
          </bottom>
        </border>
      </dxf>
    </rfmt>
    <rfmt sheetId="5" sqref="Z256" start="0" length="0">
      <dxf>
        <alignment horizontal="center" readingOrder="0"/>
        <border outline="0">
          <left style="dashed">
            <color indexed="64"/>
          </left>
          <right style="dashed">
            <color indexed="64"/>
          </right>
          <bottom style="thin">
            <color indexed="64"/>
          </bottom>
        </border>
      </dxf>
    </rfmt>
    <rfmt sheetId="5" sqref="AA256" start="0" length="0">
      <dxf>
        <alignment horizontal="center" readingOrder="0"/>
        <border outline="0">
          <left style="dashed">
            <color indexed="64"/>
          </left>
          <right style="dashed">
            <color indexed="64"/>
          </right>
          <bottom style="thin">
            <color indexed="64"/>
          </bottom>
        </border>
      </dxf>
    </rfmt>
    <rfmt sheetId="5" sqref="AB256" start="0" length="0">
      <dxf>
        <alignment horizontal="center" readingOrder="0"/>
        <border outline="0">
          <left style="dashed">
            <color indexed="64"/>
          </left>
          <right style="thin">
            <color indexed="64"/>
          </right>
          <bottom style="thin">
            <color indexed="64"/>
          </bottom>
        </border>
      </dxf>
    </rfmt>
    <rfmt sheetId="5" sqref="AC256" start="0" length="0">
      <dxf>
        <font>
          <b/>
          <sz val="10"/>
          <color auto="1"/>
          <name val="Arial"/>
          <scheme val="none"/>
        </font>
        <alignment horizontal="general" readingOrder="0"/>
        <protection locked="0"/>
      </dxf>
    </rfmt>
    <rfmt sheetId="5" sqref="AD256" start="0" length="0">
      <dxf>
        <font>
          <b/>
          <sz val="10"/>
          <color auto="1"/>
          <name val="Arial"/>
          <scheme val="none"/>
        </font>
        <alignment horizontal="general" readingOrder="0"/>
        <protection locked="0"/>
      </dxf>
    </rfmt>
    <rfmt sheetId="5" sqref="AE256" start="0" length="0">
      <dxf>
        <font>
          <b/>
          <sz val="10"/>
          <color auto="1"/>
          <name val="Arial"/>
          <scheme val="none"/>
        </font>
        <alignment horizontal="general" readingOrder="0"/>
        <protection locked="0"/>
      </dxf>
    </rfmt>
    <rfmt sheetId="5" sqref="AF256" start="0" length="0">
      <dxf>
        <font>
          <b/>
          <sz val="10"/>
          <color auto="1"/>
          <name val="Arial"/>
          <scheme val="none"/>
        </font>
        <alignment horizontal="general" readingOrder="0"/>
        <protection locked="0"/>
      </dxf>
    </rfmt>
    <rfmt sheetId="5" sqref="AG256" start="0" length="0">
      <dxf>
        <font>
          <b/>
          <sz val="10"/>
          <color auto="1"/>
          <name val="Arial"/>
          <scheme val="none"/>
        </font>
        <alignment horizontal="general" readingOrder="0"/>
        <protection locked="0"/>
      </dxf>
    </rfmt>
    <rfmt sheetId="5" sqref="AH256" start="0" length="0">
      <dxf>
        <font>
          <b/>
          <sz val="10"/>
          <color auto="1"/>
          <name val="Arial"/>
          <scheme val="none"/>
        </font>
        <alignment horizontal="general" readingOrder="0"/>
        <protection locked="0"/>
      </dxf>
    </rfmt>
    <rfmt sheetId="5" sqref="AI256" start="0" length="0">
      <dxf>
        <font>
          <b/>
          <sz val="10"/>
          <color auto="1"/>
          <name val="Arial"/>
          <scheme val="none"/>
        </font>
        <alignment horizontal="general" readingOrder="0"/>
        <protection locked="0"/>
      </dxf>
    </rfmt>
    <rfmt sheetId="5" sqref="AJ256" start="0" length="0">
      <dxf>
        <font>
          <b/>
          <sz val="10"/>
          <color auto="1"/>
          <name val="Arial"/>
          <scheme val="none"/>
        </font>
        <alignment horizontal="general" readingOrder="0"/>
        <protection locked="0"/>
      </dxf>
    </rfmt>
    <rfmt sheetId="5" sqref="AK256" start="0" length="0">
      <dxf>
        <font>
          <b/>
          <sz val="10"/>
          <color auto="1"/>
          <name val="Arial"/>
          <scheme val="none"/>
        </font>
        <alignment horizontal="general" readingOrder="0"/>
        <protection locked="0"/>
      </dxf>
    </rfmt>
    <rfmt sheetId="5" sqref="AL256" start="0" length="0">
      <dxf>
        <font>
          <b/>
          <sz val="10"/>
          <color auto="1"/>
          <name val="Arial"/>
          <scheme val="none"/>
        </font>
        <alignment horizontal="right" readingOrder="0"/>
        <protection locked="0"/>
      </dxf>
    </rfmt>
    <rfmt sheetId="5" sqref="AM256" start="0" length="0">
      <dxf>
        <font>
          <b/>
          <sz val="10"/>
          <color auto="1"/>
          <name val="Arial"/>
          <scheme val="none"/>
        </font>
        <alignment horizontal="general" readingOrder="0"/>
        <protection locked="0"/>
      </dxf>
    </rfmt>
    <rfmt sheetId="5" sqref="AN256" start="0" length="0">
      <dxf>
        <font>
          <b/>
          <sz val="12"/>
          <color auto="1"/>
          <name val="Arial"/>
          <scheme val="none"/>
        </font>
        <alignment horizontal="general" readingOrder="0"/>
        <protection locked="0"/>
      </dxf>
    </rfmt>
    <rfmt sheetId="5" sqref="AO256" start="0" length="0">
      <dxf>
        <font>
          <b/>
          <sz val="12"/>
          <color auto="1"/>
          <name val="Arial"/>
          <scheme val="none"/>
        </font>
        <alignment horizontal="general" readingOrder="0"/>
        <protection locked="0"/>
      </dxf>
    </rfmt>
    <rfmt sheetId="5" sqref="AP256" start="0" length="0">
      <dxf>
        <font>
          <b/>
          <sz val="10"/>
          <color auto="1"/>
          <name val="Arial"/>
          <scheme val="none"/>
        </font>
        <alignment horizontal="general" readingOrder="0"/>
        <protection locked="0"/>
      </dxf>
    </rfmt>
    <rfmt sheetId="5" sqref="AQ256" start="0" length="0">
      <dxf>
        <font>
          <b/>
          <sz val="10"/>
          <color auto="1"/>
          <name val="Arial"/>
          <scheme val="none"/>
        </font>
        <alignment horizontal="general" readingOrder="0"/>
        <protection locked="0"/>
      </dxf>
    </rfmt>
    <rfmt sheetId="5" sqref="AR256" start="0" length="0">
      <dxf>
        <font>
          <b/>
          <sz val="10"/>
          <color auto="1"/>
          <name val="Arial"/>
          <scheme val="none"/>
        </font>
        <alignment horizontal="general" readingOrder="0"/>
        <protection locked="0"/>
      </dxf>
    </rfmt>
    <rfmt sheetId="5" sqref="AS256" start="0" length="0">
      <dxf>
        <font>
          <b/>
          <sz val="10"/>
          <color auto="1"/>
          <name val="Arial"/>
          <scheme val="none"/>
        </font>
        <alignment horizontal="general" readingOrder="0"/>
        <protection locked="0"/>
      </dxf>
    </rfmt>
    <rfmt sheetId="5" sqref="AT256" start="0" length="0">
      <dxf>
        <font>
          <b/>
          <sz val="10"/>
          <color auto="1"/>
          <name val="Arial"/>
          <scheme val="none"/>
        </font>
        <alignment horizontal="general" readingOrder="0"/>
        <protection locked="0"/>
      </dxf>
    </rfmt>
    <rfmt sheetId="5" sqref="AU256" start="0" length="0">
      <dxf>
        <font>
          <b/>
          <sz val="10"/>
          <color auto="1"/>
          <name val="Arial"/>
          <scheme val="none"/>
        </font>
        <alignment horizontal="general" readingOrder="0"/>
        <protection locked="0"/>
      </dxf>
    </rfmt>
    <rfmt sheetId="5" sqref="AV256" start="0" length="0">
      <dxf>
        <font>
          <b/>
          <sz val="10"/>
          <color auto="1"/>
          <name val="Arial"/>
          <scheme val="none"/>
        </font>
        <alignment horizontal="general" readingOrder="0"/>
        <protection locked="0"/>
      </dxf>
    </rfmt>
    <rfmt sheetId="5" sqref="AW256" start="0" length="0">
      <dxf>
        <font>
          <b/>
          <sz val="10"/>
          <color auto="1"/>
          <name val="Arial"/>
          <scheme val="none"/>
        </font>
        <alignment horizontal="general" readingOrder="0"/>
        <protection locked="0"/>
      </dxf>
    </rfmt>
    <rfmt sheetId="5" sqref="AX256" start="0" length="0">
      <dxf>
        <protection locked="0"/>
      </dxf>
    </rfmt>
    <rfmt sheetId="5" sqref="AY256" start="0" length="0">
      <dxf>
        <protection locked="0"/>
      </dxf>
    </rfmt>
    <rfmt sheetId="5" sqref="AZ256" start="0" length="0">
      <dxf>
        <protection locked="0"/>
      </dxf>
    </rfmt>
    <rfmt sheetId="5" sqref="BA256" start="0" length="0">
      <dxf>
        <protection locked="0"/>
      </dxf>
    </rfmt>
    <rfmt sheetId="5" sqref="BB256" start="0" length="0">
      <dxf>
        <protection locked="0"/>
      </dxf>
    </rfmt>
    <rfmt sheetId="5" sqref="BC256" start="0" length="0">
      <dxf>
        <protection locked="0"/>
      </dxf>
    </rfmt>
    <rfmt sheetId="5" sqref="BD256" start="0" length="0">
      <dxf>
        <protection locked="0"/>
      </dxf>
    </rfmt>
    <rfmt sheetId="5" sqref="BE256" start="0" length="0">
      <dxf>
        <protection locked="0"/>
      </dxf>
    </rfmt>
    <rfmt sheetId="5" sqref="BF256" start="0" length="0">
      <dxf>
        <protection locked="0"/>
      </dxf>
    </rfmt>
    <rfmt sheetId="5" sqref="BG256" start="0" length="0">
      <dxf>
        <protection locked="0"/>
      </dxf>
    </rfmt>
    <rfmt sheetId="5" sqref="BH256" start="0" length="0">
      <dxf>
        <protection locked="0"/>
      </dxf>
    </rfmt>
    <rfmt sheetId="5" sqref="BI256" start="0" length="0">
      <dxf>
        <protection locked="0"/>
      </dxf>
    </rfmt>
    <rfmt sheetId="5" sqref="BJ256" start="0" length="0">
      <dxf>
        <protection locked="0"/>
      </dxf>
    </rfmt>
    <rfmt sheetId="5" sqref="BK256" start="0" length="0">
      <dxf>
        <protection locked="0"/>
      </dxf>
    </rfmt>
    <rfmt sheetId="5" sqref="BL256" start="0" length="0">
      <dxf>
        <protection locked="0"/>
      </dxf>
    </rfmt>
    <rfmt sheetId="5" sqref="BM256" start="0" length="0">
      <dxf>
        <protection locked="0"/>
      </dxf>
    </rfmt>
    <rfmt sheetId="5" sqref="BN256" start="0" length="0">
      <dxf>
        <protection locked="0"/>
      </dxf>
    </rfmt>
    <rfmt sheetId="5" sqref="BO256" start="0" length="0">
      <dxf>
        <protection locked="0"/>
      </dxf>
    </rfmt>
    <rfmt sheetId="5" sqref="BP256" start="0" length="0">
      <dxf>
        <protection locked="0"/>
      </dxf>
    </rfmt>
    <rfmt sheetId="5" sqref="BQ256" start="0" length="0">
      <dxf>
        <protection locked="0"/>
      </dxf>
    </rfmt>
    <rfmt sheetId="5" sqref="BR256" start="0" length="0">
      <dxf>
        <protection locked="0"/>
      </dxf>
    </rfmt>
    <rfmt sheetId="5" sqref="BS256" start="0" length="0">
      <dxf>
        <protection locked="0"/>
      </dxf>
    </rfmt>
    <rfmt sheetId="5" sqref="BT256" start="0" length="0">
      <dxf>
        <protection locked="0"/>
      </dxf>
    </rfmt>
    <rfmt sheetId="5" sqref="BU256" start="0" length="0">
      <dxf>
        <protection locked="0"/>
      </dxf>
    </rfmt>
    <rfmt sheetId="5" sqref="BV256" start="0" length="0">
      <dxf>
        <protection locked="0"/>
      </dxf>
    </rfmt>
    <rfmt sheetId="5" sqref="BW256" start="0" length="0">
      <dxf>
        <protection locked="0"/>
      </dxf>
    </rfmt>
  </rrc>
  <rcv guid="{721132AF-EF29-4C83-8A4A-F17ABB4BD7C0}" action="delete"/>
  <rdn rId="0" localSheetId="5" customView="1" name="Z_721132AF_EF29_4C83_8A4A_F17ABB4BD7C0_.wvu.PrintArea" hidden="1" oldHidden="1">
    <formula>'Concept Note'!$A$1:$AB$256</formula>
    <oldFormula>'Concept Note'!$A$1:$AB$256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5">
    <oc r="S248"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staffing is 38 more than the PR manning in the current grant. This is due to the NGM implementation arrangement, whereby the PR will fucntion as fiduciary agent for IDO-NTP, IMS and LCP to facilitate efficient fund management. This is also beause PR will facilitate hiring and management of the 300 AIDERS to be deployed nationwide. This also reflects PR beefing up its finance and audit team for improved financial management and accounting . The NFM will also support 23 core personnel of PBSP ( 19 under the current grant) and will still be compensated based on Level of Effort.  The PR will also engage and second technical personnel to LCP (4), IDO (8) and CHDs (17) to augment manpower to guarantee smooth NTP management and supervision as the direction of the NTP in the next 3 years is intensifying (DOTS) and scaling-up (PMDT).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t>
      </is>
    </oc>
    <nc r="S248"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staffing is 38 more than the PR manning in the current grant. This is due to the NGM implementation arrangement, whereby the PR will fucntion as fiduciary agent for IDO-NTP, IMS and LCP to facilitate efficient fund management. This is also beause PR will facilitate hiring and management of the 300 AIDERS to be deployed nationwide. This also reflects PR beefing up its finance and audit team for improved financial management and accounting . The NFM will also support 23 core personnel of PBSP ( 19 under the current grant) and will still be compensated based on Level of Effort.  The PR will also engage and second technical personnel to LCP (4), IDO (8) and CHDs (17) to augment manpower to guarantee smooth NTP management and supervision as the direction of the NTP in the next 3 years is intensifying (DOTS) and scaling-up (PMDT).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A comparative staffing plan of the current grant and the NFM is also attached as Annex 7.      </t>
      </is>
    </nc>
  </rcc>
  <rcv guid="{721132AF-EF29-4C83-8A4A-F17ABB4BD7C0}" action="delete"/>
  <rdn rId="0" localSheetId="5" customView="1" name="Z_721132AF_EF29_4C83_8A4A_F17ABB4BD7C0_.wvu.PrintArea" hidden="1" oldHidden="1">
    <formula>'Concept Note'!$A$1:$AB$256</formula>
    <oldFormula>'Concept Note'!$A$1:$AB$256</oldFormula>
  </rdn>
  <rdn rId="0" localSheetId="5" customView="1" name="Z_721132AF_EF29_4C83_8A4A_F17ABB4BD7C0_.wvu.Cols" hidden="1" oldHidden="1">
    <formula>'Concept Note'!$AJ:$AO</formula>
    <oldFormula>'Concept Note'!$AJ:$AO</oldFormula>
  </rdn>
  <rdn rId="0" localSheetId="6" customView="1" name="Z_721132AF_EF29_4C83_8A4A_F17ABB4BD7C0_.wvu.Cols" hidden="1" oldHidden="1">
    <formula>'Summary budget'!$A:$I</formula>
    <oldFormula>'Summary budget'!$A:$I</oldFormula>
  </rdn>
  <rcv guid="{721132AF-EF29-4C83-8A4A-F17ABB4BD7C0}"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5" customView="1" name="Z_86255A0E_17F2_0E4B_B055_7B9B2A71C25A_.wvu.PrintArea" hidden="1" oldHidden="1">
    <formula>'Concept Note'!$A$1:$AB$256</formula>
  </rdn>
  <rdn rId="0" localSheetId="5" customView="1" name="Z_86255A0E_17F2_0E4B_B055_7B9B2A71C25A_.wvu.Cols" hidden="1" oldHidden="1">
    <formula>'Concept Note'!$AJ:$AO</formula>
  </rdn>
  <rdn rId="0" localSheetId="6" customView="1" name="Z_86255A0E_17F2_0E4B_B055_7B9B2A71C25A_.wvu.Cols" hidden="1" oldHidden="1">
    <formula>'Summary budget'!$A:$I</formula>
  </rdn>
  <rcv guid="{86255A0E-17F2-0E4B-B055-7B9B2A71C25A}"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5">
    <oc r="N76">
      <f>IF(M77&lt;&gt;"",M76/M77,"")</f>
    </oc>
    <nc r="N76">
      <f>IF(M77&lt;&gt;"",M76/M77,"")</f>
    </nc>
  </rcc>
  <rcc rId="134" sId="5" numFmtId="4">
    <nc r="O76">
      <v>8280</v>
    </nc>
  </rcc>
  <rcc rId="135" sId="5" odxf="1" dxf="1">
    <oc r="P76">
      <f>IF(O77&lt;&gt;"",O76/O77,"")</f>
    </oc>
    <nc r="P76">
      <f>IF(O77&lt;&gt;"",O76/O77,"")</f>
    </nc>
    <odxf>
      <font/>
    </odxf>
    <ndxf>
      <font>
        <sz val="8"/>
      </font>
    </ndxf>
  </rcc>
  <rcc rId="136" sId="5" numFmtId="4">
    <nc r="Q76">
      <v>14400</v>
    </nc>
  </rcc>
  <rcc rId="137" sId="5">
    <oc r="R76">
      <f>IF(Q77&lt;&gt;"",Q76/Q77,"")</f>
    </oc>
    <nc r="R76">
      <f>IF(Q77&lt;&gt;"",Q76/Q77,"")</f>
    </nc>
  </rcc>
  <rfmt sheetId="5" sqref="P77" start="0" length="0">
    <dxf>
      <font>
        <sz val="8"/>
      </font>
    </dxf>
  </rfmt>
  <rcc rId="138" sId="5">
    <nc r="M76">
      <f>M74</f>
    </nc>
  </rcc>
  <rcc rId="139" sId="5">
    <nc r="M77">
      <f>M75</f>
    </nc>
  </rcc>
  <rcc rId="140" sId="5">
    <nc r="O77">
      <f>O75</f>
    </nc>
  </rcc>
  <rcc rId="141" sId="5">
    <nc r="Q77">
      <f>Q75</f>
    </nc>
  </rcc>
  <rcc rId="142" sId="5">
    <nc r="M80">
      <f>M78</f>
    </nc>
  </rcc>
  <rcc rId="143" sId="5">
    <nc r="M81">
      <f>M79</f>
    </nc>
  </rcc>
  <rcc rId="144" sId="5">
    <nc r="O80">
      <f>O78</f>
    </nc>
  </rcc>
  <rcc rId="145" sId="5">
    <nc r="O81">
      <f>O79</f>
    </nc>
  </rcc>
  <rcc rId="146" sId="5">
    <nc r="Q80">
      <f>Q78</f>
    </nc>
  </rcc>
  <rcc rId="147" sId="5">
    <nc r="Q81">
      <f>Q79</f>
    </nc>
  </rcc>
  <rcc rId="148" sId="5" numFmtId="4">
    <oc r="O117">
      <v>2750</v>
    </oc>
    <nc r="O117">
      <v>3087</v>
    </nc>
  </rcc>
  <rcc rId="149" sId="5" numFmtId="4">
    <oc r="Q117">
      <v>2800</v>
    </oc>
    <nc r="Q117">
      <v>3609</v>
    </nc>
  </rcc>
  <rcc rId="150" sId="5" numFmtId="4">
    <oc r="M115">
      <v>0</v>
    </oc>
    <nc r="M115">
      <f>M113</f>
    </nc>
  </rcc>
  <rcc rId="151" sId="5" numFmtId="4">
    <oc r="M116">
      <v>0</v>
    </oc>
    <nc r="M116">
      <f>M114</f>
    </nc>
  </rcc>
  <rcc rId="152" sId="5">
    <nc r="N115">
      <f>N113</f>
    </nc>
  </rcc>
  <rcc rId="153" sId="5" numFmtId="4">
    <oc r="O115">
      <v>0</v>
    </oc>
    <nc r="O115">
      <f>O113</f>
    </nc>
  </rcc>
  <rcc rId="154" sId="5" numFmtId="4">
    <oc r="O116">
      <v>0</v>
    </oc>
    <nc r="O116">
      <f>O114</f>
    </nc>
  </rcc>
  <rcc rId="155" sId="5">
    <nc r="P115">
      <f>P113</f>
    </nc>
  </rcc>
  <rcc rId="156" sId="5" numFmtId="4">
    <oc r="Q115">
      <v>0</v>
    </oc>
    <nc r="Q115">
      <f>Q113</f>
    </nc>
  </rcc>
  <rcc rId="157" sId="5" numFmtId="4">
    <oc r="Q116">
      <v>0</v>
    </oc>
    <nc r="Q116">
      <f>Q114</f>
    </nc>
  </rcc>
  <rfmt sheetId="5" sqref="P115:P116" start="0" length="2147483647">
    <dxf>
      <font>
        <sz val="6"/>
      </font>
    </dxf>
  </rfmt>
  <rfmt sheetId="5" sqref="P115:P116">
    <dxf>
      <numFmt numFmtId="13" formatCode="0%"/>
    </dxf>
  </rfmt>
  <rcc rId="158" sId="5" numFmtId="4">
    <oc r="M52">
      <v>763</v>
    </oc>
    <nc r="M52">
      <f>M50+763</f>
    </nc>
  </rcc>
  <rcc rId="159" sId="5" numFmtId="4">
    <oc r="O52">
      <v>1131</v>
    </oc>
    <nc r="O52">
      <f>O50+1131</f>
    </nc>
  </rcc>
  <rcc rId="160" sId="5" numFmtId="4">
    <oc r="Q52">
      <v>4257</v>
    </oc>
    <nc r="Q52">
      <f>Q50+4257</f>
    </nc>
  </rcc>
  <rcc rId="161" sId="5" numFmtId="4">
    <oc r="M56">
      <v>1695</v>
    </oc>
    <nc r="M56">
      <f>M54+1695</f>
    </nc>
  </rcc>
  <rcc rId="162" sId="5" numFmtId="4">
    <oc r="O56">
      <v>2514</v>
    </oc>
    <nc r="O56">
      <f>O54+2514</f>
    </nc>
  </rcc>
  <rcc rId="163" sId="5" numFmtId="4">
    <oc r="Q56">
      <v>9500</v>
    </oc>
    <nc r="Q56">
      <f>Q54+9500</f>
    </nc>
  </rcc>
  <rcc rId="164" sId="5" numFmtId="4">
    <oc r="O109">
      <v>2750</v>
    </oc>
    <nc r="O109">
      <v>3097</v>
    </nc>
  </rcc>
  <rcc rId="165" sId="5" numFmtId="4">
    <oc r="Q109">
      <v>2800</v>
    </oc>
    <nc r="Q109">
      <v>3609</v>
    </nc>
  </rcc>
  <rcc rId="166" sId="5" numFmtId="4">
    <oc r="M111">
      <v>3668</v>
    </oc>
    <nc r="M111">
      <f>M109+968</f>
    </nc>
  </rcc>
  <rcc rId="167" sId="5" numFmtId="4">
    <oc r="O111">
      <v>4365</v>
    </oc>
    <nc r="O111">
      <f>O109+1268</f>
    </nc>
  </rcc>
  <rcc rId="168" sId="5" numFmtId="4">
    <oc r="Q111">
      <v>5177</v>
    </oc>
    <nc r="Q111">
      <f>Q109+1566</f>
    </nc>
  </rcc>
  <rcc rId="169" sId="5">
    <nc r="M154">
      <f>M152</f>
    </nc>
  </rcc>
  <rcc rId="170" sId="5">
    <nc r="M155">
      <f>M153</f>
    </nc>
  </rcc>
  <rcc rId="171" sId="5">
    <nc r="O154">
      <f>O152</f>
    </nc>
  </rcc>
  <rcc rId="172" sId="5">
    <nc r="O155">
      <f>O153</f>
    </nc>
  </rcc>
  <rcc rId="173" sId="5">
    <nc r="Q154">
      <f>Q152</f>
    </nc>
  </rcc>
  <rcc rId="174" sId="5">
    <nc r="Q155">
      <f>Q153</f>
    </nc>
  </rcc>
  <rcc rId="175" sId="5">
    <nc r="M158">
      <f>M156</f>
    </nc>
  </rcc>
  <rcc rId="176" sId="5">
    <nc r="M159">
      <f>M157</f>
    </nc>
  </rcc>
  <rcc rId="177" sId="5">
    <nc r="O158">
      <f>O156</f>
    </nc>
  </rcc>
  <rcc rId="178" sId="5">
    <nc r="O159">
      <f>O157</f>
    </nc>
  </rcc>
  <rcc rId="179" sId="5">
    <nc r="Q158">
      <f>Q156</f>
    </nc>
  </rcc>
  <rcc rId="180" sId="5">
    <nc r="Q159">
      <f>Q157</f>
    </nc>
  </rcc>
  <rcc rId="181" sId="5">
    <nc r="M162">
      <f>M160</f>
    </nc>
  </rcc>
  <rcc rId="182" sId="5">
    <nc r="M163">
      <f>M161</f>
    </nc>
  </rcc>
  <rcc rId="183" sId="5">
    <nc r="O162">
      <f>O160</f>
    </nc>
  </rcc>
  <rcc rId="184" sId="5">
    <nc r="O163">
      <f>O161</f>
    </nc>
  </rcc>
  <rcc rId="185" sId="5">
    <nc r="Q162">
      <f>Q160</f>
    </nc>
  </rcc>
  <rcc rId="186" sId="5">
    <nc r="Q163">
      <f>Q161</f>
    </nc>
  </rcc>
  <rcc rId="187" sId="5">
    <nc r="M166">
      <f>M164</f>
    </nc>
  </rcc>
  <rcc rId="188" sId="5">
    <nc r="M167">
      <f>M165</f>
    </nc>
  </rcc>
  <rcc rId="189" sId="5">
    <nc r="O166">
      <f>O164</f>
    </nc>
  </rcc>
  <rcc rId="190" sId="5">
    <nc r="O167">
      <f>O165</f>
    </nc>
  </rcc>
  <rcc rId="191" sId="5">
    <nc r="Q166">
      <f>Q164</f>
    </nc>
  </rcc>
  <rcc rId="192" sId="5">
    <nc r="Q167">
      <f>Q165</f>
    </nc>
  </rcc>
  <rcc rId="193" sId="5">
    <oc r="H164">
      <f>IF($G166&lt;&gt;"",$G164/$G166,"")</f>
    </oc>
    <nc r="H164" t="inlineStr">
      <is>
        <t>TBD</t>
      </is>
    </nc>
  </rcc>
  <rcc rId="194" sId="5">
    <oc r="S164" t="inlineStr">
      <is>
        <t>To be carried out by the National AIDS STI Prevention and Control Program, source of data will be HIV treatment facilities records and reports. This will not be reported by NTP but to provide the over-all perspective of its implementation, NASPCP will start IPT to at least 50% of new HIV cases. Denominator is based from the NEC estimates of Annual cases of HIV+ who are being treated in HIV Treatment Hubs.</t>
      </is>
    </oc>
    <nc r="S164" t="inlineStr">
      <is>
        <t xml:space="preserve">Baseline has yet to be determined. There is policy that supports the practice, but implementation is not consistent. Both NTP and NASPCP will map out implementation to determine baseline by end of 2013. This intervention will be carried out by the National AIDS STI Prevention and Control Program, source of data will be HIV treatment facilities records and reports. This will not be reported by NTP but to provide the over-all perspective of its implementation, NASPCP will start IPT to at least 50% of new HIV cases. Denominator is based from the NEC estimates of Annual cases of HIV+ who are being treated in HIV Treatment Hubs. There are trainings to be conducted and part of it will be discussing the policy and practice in using IPT. This will be done nationwide in all treatment hubs. </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5">
    <oc r="S164" t="inlineStr">
      <is>
        <t xml:space="preserve">Baseline has yet to be determined. There is policy that supports the practice, but implementation is not consistent. Both NTP and NASPCP will map out implementation to determine baseline by end of 2013. This intervention will be carried out by the National AIDS STI Prevention and Control Program, source of data will be HIV treatment facilities records and reports. This will not be reported by NTP but to provide the over-all perspective of its implementation, NASPCP will start IPT to at least 50% of new HIV cases. Denominator is based from the NEC estimates of Annual cases of HIV+ who are being treated in HIV Treatment Hubs. There are trainings to be conducted and part of it will be discussing the policy and practice in using IPT. This will be done nationwide in all treatment hubs. </t>
      </is>
    </oc>
    <nc r="S164" t="inlineStr">
      <is>
        <t xml:space="preserve">Baseline has yet to be determined. There is policy that supports the practice, but implementation is not consistent. Both NTP and NASPCP will map out implementation to determine baseline by end of 2013. The targets will be revised thereafter. Note that 50% is an agreed upon target by both NTP and NASPCP. This intervention will be carried out by the National AIDS STI Prevention and Control Program, source of data will be HIV treatment facilities records and reports. This will not be reported by NTP but to provide the over-all perspective of its implementation, NASPCP will start IPT to at least 50% of new HIV cases. Denominator is based from the NEC estimates of Annual cases of HIV+ who are being treated in HIV Treatment Hubs. There are trainings to be conducted and part of it will be discussing the policy and practice in using IPT. This will be done nationwide in all treatment hubs. </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Z129:AB130">
    <dxf>
      <alignment horizontal="left"/>
    </dxf>
  </rfmt>
  <rcc rId="202" sId="5">
    <oc r="Z129">
      <v>0</v>
    </oc>
    <nc r="Z129" t="inlineStr">
      <is>
        <t>Note that the SLD budget being requested  for 2014-2017 is only 70% from the NFM. The remaining 30% will be covered by GOP-DOH-NTP Budget for years 2 and 3</t>
      </is>
    </nc>
  </rcc>
  <rcmt sheetId="5" cell="S187" guid="{00000000-0000-0000-0000-000000000000}" action="delete" alwaysShow="1" author="Qi Cui"/>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5">
    <oc r="Z129" t="inlineStr">
      <is>
        <t>Note that the SLD budget being requested  for 2014-2017 is only 70% from the NFM. The remaining 30% will be covered by GOP-DOH-NTP Budget for years 2 and 3</t>
      </is>
    </oc>
    <nc r="Z129" t="inlineStr">
      <is>
        <t>Note that the SLD budget being requested  for 2014-2017 is  70%-80% from the NFM. The remaining 20%-30% will be covered by GOP-DOH-NTP Budget for years 2 and 3</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2" sId="5">
    <oc r="Z129" t="inlineStr">
      <is>
        <t>Note that the SLD budget being requested  for 2014-2017 is  70%-80% from the NFM. The remaining 20%-30% will be covered by GOP-DOH-NTP Budget for years 2 and 3</t>
      </is>
    </oc>
    <nc r="Z129" t="inlineStr">
      <is>
        <t>Note that the SLD budget being requested  for 2014-2016 is  70%-80% from the NFM. The remaining 20%-30% will be covered by GOP-DOH-NTP Budget for years 2 and 3</t>
      </is>
    </nc>
  </rcc>
  <rcc rId="223"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U$3.2M for 3 years. This includes MDs and RNs whose charging against project funds will reduce annually (Y1: 178, Y2:122, Y3:78) as they are absorbed by the LGU/Facilities._x000D__x000D_FULL costing in Annex 4.3B_x000D__x000D_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_x000D__x000D_7) PSMC for drugs and equipments roughly account to USD 2M_x000D__x000D_FULL costing in Annex 4.3B_x000D__x000D_</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5">
    <oc r="S125" t="inlineStr">
      <is>
        <t>1) Case detection targets were based on WHO estimates_x000D_2)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cost_x000D_5) Additional 3,804 patients for case detection on top of the 9,406 as above indicative target. The same will use the same cost assumptions as reflected in #2 and 3._x000D__x000D_5) Manpower augmentation at the laboratories comprises of 54 medical technologists and 30 laboratory aides following standard rates of the facility. Total HR cost at U$1.4M for 3 years_x000D__x000D_FULL cost assumptions in Annex 4.3B</t>
      </is>
    </oc>
    <nc r="S125" t="inlineStr">
      <is>
        <t>1) Case detection targets were based on WHO estimates_x000D_2)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23._x000D_5) Additional 3,804 patients for case detection on top of the 9,406 as above indicative target. The same will use the same cost assumptions as reflected in #2 and 3._x000D__x000D_5) Manpower augmentation at the laboratories comprises of 54 medical technologists and 30 laboratory aides following standard rates of the facility. Total HR cost at U$1.4M for 3 years_x000D__x000D_FULL cost assumptions in Annex 4.3B</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7" sId="5">
    <oc r="S125" t="inlineStr">
      <is>
        <t>1) Case detection targets were based on WHO estimates_x000D_2)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23._x000D_5) Additional 3,804 patients for case detection on top of the 9,406 as above indicative target. The same will use the same cost assumptions as reflected in #2 and 3._x000D__x000D_5) Manpower augmentation at the laboratories comprises of 54 medical technologists and 30 laboratory aides following standard rates of the facility. Total HR cost at U$1.4M for 3 years_x000D__x000D_FULL cost assumptions in Annex 4.3B</t>
      </is>
    </oc>
    <nc r="S125" t="inlineStr">
      <is>
        <t>1) Case detection targets were based on WHO estimates_x000D__x000D_2)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23._x000D__x000D_5) Additional 4,960 patients for case detection on top of the 9,406 as above indicative target. The same will use the same cost assumptions as reflected in #2 and 3._x000D__x000D_6) Manpower augmentation at the laboratories comprises of 54 medical technologists and 30 laboratory aides following standard rates of the facility. Total HR cost at U$1.4M for 3 years_x000D__x000D_FULL cost assumptions in Annex 4.3B</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4"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_x000D__x000D_7) PSMC for drugs and equipments roughly account to USD 2M_x000D__x000D_FULL costing in Annex 4.3B_x000D__x000D_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2M_x000D__x000D_FULL costing in Annex 4.3B_x000D__x000D_</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2M_x000D__x000D_FULL costing in Annex 4.3B_x000D__x000D_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2M_x000D__x000D_8) special diagnostics for 6% of patients costed at USD 120 per consultation X 36 patients x 17 regions_x000D__x000D_FULL costing in Annex 4.3B_x000D__x000D_</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2M_x000D__x000D_8) special diagnostics for 6% of patients costed at USD 120 per consultation X 36 patients x 17 regions_x000D__x000D_FULL costing in Annex 4.3B_x000D__x000D_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 and nonhealth equipments @ USD 42,000_x000D__x000D_8) special diagnostics for 6% of patients costed at USD 120 per consultation X 36 patients x 17 regions_x000D__x000D_FULL costing in Annex 4.3B_x000D__x000D_</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5">
    <oc r="S90" t="inlineStr">
      <is>
        <t xml:space="preserve">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 (a) Cost of LED-FM at $5,024.39 per unit, (b) maintenance cost of LED-FM per unit per year at $333.66, plus estimated 3% of unit cost for shipping. Above indicative FR will be purchase and maintenance of additional 287 LED-FM (out of total targeted 400 LED-FM units)._x000D__x000D_FULL cost assumptions in Annex 4.3A </t>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17 LED-FM at $</t>
        </r>
        <r>
          <rPr>
            <sz val="10"/>
            <color rgb="FFFF0000"/>
            <rFont val="Arial"/>
            <family val="2"/>
          </rPr>
          <t>5,024.39</t>
        </r>
        <r>
          <rPr>
            <sz val="10"/>
            <rFont val="Arial"/>
            <family val="2"/>
          </rPr>
          <t xml:space="preserve"> per unit, _x000D_(b) Maintenance cost of LED-FM per unit per year at $333.66 _x000D_(c) Estimated 7% of unit cost for shipping. _x000D_(d) Cost of GX Cartridges for (S-) cases @ USD 786,374_x000D_ _x000D_Above indicative FR will be purchase and maintenance of additional 287 LED-FM (out of total targeted 400 LED-FM units). </t>
        </r>
        <r>
          <rPr>
            <sz val="10"/>
            <color rgb="FFFF0000"/>
            <rFont val="Arial"/>
            <family val="2"/>
          </rPr>
          <t>(Repeat reference)</t>
        </r>
        <r>
          <rPr>
            <sz val="10"/>
            <rFont val="Arial"/>
            <family val="2"/>
          </rPr>
          <t xml:space="preserve">_x000D__x000D_FULL cost assumptions in Annex 4.3A </t>
        </r>
      </is>
    </nc>
  </rcc>
  <rcc rId="266" sId="5">
    <oc r="S137" t="inlineStr">
      <is>
        <t>All related costs for capacity building/training activities are based on the following assumptions:_x000D_Meals&amp;Accommodations= U$49 per participant per day_x000D_Materials&amp;supplies= U$23 per participant per training_x000D_Land Transportation= U$23_x000D_Air Transportation = U$186_x000D__x000D_Using the above assumptions, the following trainings will be conducted with the corresponding number of participants:_x000D__x000D_PMDT Training of Trainers = 50 participants X 5 days_x000D_Basic Course for Referring Physicians = 1500 participants X 1day_x000D_PMDT Training for Physician's and Nurses = 1500 participants X 5 days_x000D_PMDT Training for CHTs = 1500 participants X 1 day_x000D_PMDT Staff Training = 75 participants X 25 days_x000D_Training for Hospital Doctors= 150 participants X 3days_x000D__x000D_FULL costing in Annex 4.3B</t>
      </is>
    </oc>
    <nc r="S137" t="inlineStr">
      <is>
        <r>
          <t xml:space="preserve">All related costs for capacity building/training activities are based on the following assumptions:_x000D_Meals&amp;Accommodations= U$49 per participant per day_x000D_Materials&amp;supplies= U$23 per participant per training_x000D_Land Transportation= U$23_x000D_Air Transportation = U$186_x000D__x000D_Using the above assumptions, the following trainings will be conducted with the corresponding number of participants:_x000D__x000D_PMDT Training of Trainers = 50 participants X 5 days_x000D_Basic Course for Referring Physicians = 1500 participants X 1day_x000D_PMDT Training for Physician's and Nurses = 1500 participants X 5 days_x000D_PMDT Training for CHTs = 1500 participants X 1 day_x000D_PMDT Staff Training = 75 participants X 25 days_x000D_Training for Hospital Doctors= 150 participants X 3days_x000D__x000D_For Above Indicative: </t>
        </r>
        <r>
          <rPr>
            <sz val="10"/>
            <color rgb="FFFF0000"/>
            <rFont val="Arial"/>
            <family val="2"/>
          </rPr>
          <t>Discuss Coverage</t>
        </r>
        <r>
          <rPr>
            <sz val="10"/>
            <rFont val="Arial"/>
            <family val="2"/>
          </rPr>
          <t xml:space="preserve"> _x000D_FULL costing in Annex 4.3B</t>
        </r>
      </is>
    </nc>
  </rcc>
  <rfmt sheetId="5" sqref="S137:Y140">
    <dxf>
      <fill>
        <patternFill patternType="solid">
          <fgColor indexed="64"/>
          <bgColor rgb="FFFFFF00"/>
        </patternFill>
      </fill>
    </dxf>
  </rfmt>
  <rfmt sheetId="5" sqref="S137:Y140">
    <dxf>
      <fill>
        <patternFill patternType="solid">
          <fgColor indexed="64"/>
          <bgColor rgb="FFFFFF00"/>
        </patternFill>
      </fill>
    </dxf>
  </rfmt>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5" numFmtId="4">
    <oc r="M90">
      <v>1328542.6100000001</v>
    </oc>
    <nc r="M90">
      <v>529719</v>
    </nc>
  </rcc>
  <rcc rId="286" sId="5" numFmtId="4">
    <oc r="O90">
      <v>449656.46</v>
    </oc>
    <nc r="O90">
      <v>367253</v>
    </nc>
  </rcc>
  <rcc rId="287" sId="5" numFmtId="4">
    <oc r="Q90">
      <v>271194.7</v>
    </oc>
    <nc r="Q90">
      <v>228816</v>
    </nc>
  </rcc>
  <rcc rId="288" sId="5" numFmtId="4">
    <oc r="M91">
      <v>321483.0146341463</v>
    </oc>
    <nc r="M91">
      <v>148180</v>
    </nc>
  </rcc>
  <rcc rId="289" sId="5" numFmtId="4">
    <oc r="O91">
      <v>444516.75853658537</v>
    </oc>
    <nc r="O91">
      <v>86438</v>
    </nc>
  </rcc>
  <rcc rId="290" sId="5" numFmtId="4">
    <oc r="Q91">
      <v>857120.50439024402</v>
    </oc>
    <nc r="Q91">
      <v>44454</v>
    </nc>
  </rcc>
  <rcc rId="291" sId="5">
    <o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17 LED-FM at $</t>
        </r>
        <r>
          <rPr>
            <sz val="10"/>
            <color rgb="FFFF0000"/>
            <rFont val="Arial"/>
            <family val="2"/>
          </rPr>
          <t>5,024.39</t>
        </r>
        <r>
          <rPr>
            <sz val="10"/>
            <rFont val="Arial"/>
            <family val="2"/>
          </rPr>
          <t xml:space="preserve"> per unit, _x000D_(b) Maintenance cost of LED-FM per unit per year at $333.66 _x000D_(c) Estimated 7% of unit cost for shipping. _x000D_(d) Cost of GX Cartridges for (S-) cases @ USD 786,374_x000D_ _x000D_Above indicative FR will be purchase and maintenance of additional 287 LED-FM (out of total targeted 400 LED-FM units). </t>
        </r>
        <r>
          <rPr>
            <sz val="10"/>
            <color rgb="FFFF0000"/>
            <rFont val="Arial"/>
            <family val="2"/>
          </rPr>
          <t>(Repeat reference)</t>
        </r>
        <r>
          <rPr>
            <sz val="10"/>
            <rFont val="Arial"/>
            <family val="2"/>
          </rPr>
          <t xml:space="preserve">_x000D__x000D_FULL cost assumptions in Annex 4.3A </t>
        </r>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17 LED-FM at $</t>
        </r>
        <r>
          <rPr>
            <b/>
            <sz val="10"/>
            <color rgb="FFFF0000"/>
            <rFont val="Arial"/>
            <family val="2"/>
          </rPr>
          <t>2,136</t>
        </r>
        <r>
          <rPr>
            <sz val="10"/>
            <color rgb="FFFF0000"/>
            <rFont val="Arial"/>
            <family val="2"/>
          </rPr>
          <t xml:space="preserve"> </t>
        </r>
        <r>
          <rPr>
            <sz val="10"/>
            <rFont val="Arial"/>
            <family val="2"/>
          </rPr>
          <t xml:space="preserve">per unit (FIND Costing) plus 25% (freight, insurance and Procurement Agent Fees) _x000D_(b) Maintenance cost of LED-FM per unit per year at $333.66 _x000D_(c) GeneXpert cartridges @ USD 10.28/pc for phased in Gx Dx for Smear (-) around 76,500 cartridges for 3 years _x000D__x000D_ _x000D_Above indicative FR will be purchase and maintenance of additional 287 LED-FM (out of total targeted 400 LED-FM units) @ USD 2,136 per microscope with USD 334 annual maintenance cost for each._x000D__x000D_FULL cost assumptions in Annex 4.3A </t>
        </r>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5" sId="5">
    <oc r="F87">
      <v>7716197.0139024397</v>
    </oc>
    <nc r="F87"/>
  </rcc>
  <rcc rId="296" sId="5">
    <o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17 LED-FM at $</t>
        </r>
        <r>
          <rPr>
            <b/>
            <sz val="10"/>
            <color rgb="FFFF0000"/>
            <rFont val="Arial"/>
            <family val="2"/>
          </rPr>
          <t>2,136</t>
        </r>
        <r>
          <rPr>
            <sz val="10"/>
            <color rgb="FFFF0000"/>
            <rFont val="Arial"/>
            <family val="2"/>
          </rPr>
          <t xml:space="preserve"> </t>
        </r>
        <r>
          <rPr>
            <sz val="10"/>
            <rFont val="Arial"/>
            <family val="2"/>
          </rPr>
          <t xml:space="preserve">per unit (FIND Costing) plus 25% (freight, insurance and Procurement Agent Fees) _x000D_(b) Maintenance cost of LED-FM per unit per year at $333.66 _x000D_(c) GeneXpert cartridges @ USD 10.28/pc for phased in Gx Dx for Smear (-) around 76,500 cartridges for 3 years _x000D__x000D_ _x000D_Above indicative FR will be purchase and maintenance of additional 287 LED-FM (out of total targeted 400 LED-FM units) @ USD 2,136 per microscope with USD 334 annual maintenance cost for each._x000D__x000D_FULL cost assumptions in Annex 4.3A </t>
        </r>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17 LED-FM at $</t>
        </r>
        <r>
          <rPr>
            <b/>
            <sz val="10"/>
            <color rgb="FFFF0000"/>
            <rFont val="Arial"/>
            <family val="2"/>
          </rPr>
          <t>2,136</t>
        </r>
        <r>
          <rPr>
            <sz val="10"/>
            <color rgb="FFFF0000"/>
            <rFont val="Arial"/>
            <family val="2"/>
          </rPr>
          <t xml:space="preserve"> </t>
        </r>
        <r>
          <rPr>
            <sz val="10"/>
            <rFont val="Arial"/>
            <family val="2"/>
          </rPr>
          <t xml:space="preserve">per unit (FIND Costing) plus 25% (freight, insurance and Procurement Agent Fees) _x000D__x000D_(b) Maintenance cost of LED-FM per unit per year at $333.66 _x000D__x000D_(c) GeneXpert cartridges @ USD 10.28/pc for phased in Gx Dx for Smear (-) around 76,500 cartridges for 3 years _x000D__x000D_ _x000D_Above indicative FR will be purchase and maintenance of additional 287 LED-FM (out of total targeted 400 LED-FM units) @ USD 2,136 per microscope with USD 334 annual maintenance cost for each._x000D__x000D_FULL cost assumptions in Annex 4.3A </t>
        </r>
      </is>
    </nc>
  </rcc>
  <rcc rId="297" sId="6" numFmtId="34">
    <oc r="K38">
      <v>321483</v>
    </oc>
    <nc r="K38">
      <v>148180</v>
    </nc>
  </rcc>
  <rcc rId="298" sId="6" numFmtId="34">
    <oc r="L38">
      <v>444517</v>
    </oc>
    <nc r="L38">
      <v>86438</v>
    </nc>
  </rcc>
  <rcc rId="299" sId="6" numFmtId="34">
    <oc r="M38">
      <v>857121</v>
    </oc>
    <nc r="M38">
      <v>44454</v>
    </nc>
  </rcc>
  <rfmt sheetId="6" sqref="K38:M38">
    <dxf>
      <fill>
        <patternFill patternType="solid">
          <fgColor indexed="64"/>
          <bgColor theme="6"/>
        </patternFill>
      </fill>
    </dxf>
  </rfmt>
  <rfmt sheetId="6" sqref="K38:M38">
    <dxf>
      <fill>
        <patternFill patternType="solid">
          <fgColor indexed="64"/>
          <bgColor theme="6"/>
        </patternFill>
      </fill>
    </dxf>
  </rfmt>
  <rcc rId="300" sId="6">
    <oc r="K31">
      <f>1328543+383807+954878</f>
    </oc>
    <nc r="K31">
      <f>529719+383807+954878</f>
    </nc>
  </rcc>
  <rcc rId="301" sId="6">
    <oc r="L31">
      <f>449656+508606+1909756</f>
    </oc>
    <nc r="L31">
      <f>367253+508606+1909756</f>
    </nc>
  </rcc>
  <rcc rId="302" sId="6">
    <oc r="M31">
      <f>271195+1909756</f>
    </oc>
    <nc r="M31">
      <f>228816+1909756</f>
    </nc>
  </rcc>
  <rfmt sheetId="6" sqref="K31:M31">
    <dxf>
      <fill>
        <patternFill patternType="solid">
          <fgColor indexed="64"/>
          <bgColor theme="6"/>
        </patternFill>
      </fill>
    </dxf>
  </rfmt>
  <rfmt sheetId="6" sqref="K31:M31">
    <dxf>
      <fill>
        <patternFill patternType="solid">
          <fgColor indexed="64"/>
          <bgColor theme="6"/>
        </patternFill>
      </fill>
    </dxf>
  </rfmt>
  <rcc rId="303" sId="6" odxf="1" dxf="1">
    <nc r="Q31">
      <f>SUM(K31:M31)</f>
    </nc>
    <odxf>
      <numFmt numFmtId="0" formatCode="General"/>
    </odxf>
    <ndxf>
      <numFmt numFmtId="3" formatCode="#,##0"/>
    </ndxf>
  </rcc>
  <rcc rId="304" sId="6" odxf="1" dxf="1">
    <nc r="Q32">
      <f>SUM(K32:M32)</f>
    </nc>
    <odxf>
      <numFmt numFmtId="0" formatCode="General"/>
    </odxf>
    <ndxf>
      <numFmt numFmtId="3" formatCode="#,##0"/>
    </ndxf>
  </rcc>
  <rcc rId="305" sId="6" odxf="1" dxf="1">
    <nc r="Q33">
      <f>SUM(K33:M33)</f>
    </nc>
    <odxf>
      <numFmt numFmtId="0" formatCode="General"/>
    </odxf>
    <ndxf>
      <numFmt numFmtId="3" formatCode="#,##0"/>
    </ndxf>
  </rcc>
  <rcc rId="306" sId="6" odxf="1" dxf="1">
    <nc r="Q34">
      <f>SUM(K34:M34)</f>
    </nc>
    <odxf>
      <numFmt numFmtId="0" formatCode="General"/>
    </odxf>
    <ndxf>
      <numFmt numFmtId="3" formatCode="#,##0"/>
    </ndxf>
  </rcc>
  <rcc rId="307" sId="6" odxf="1" dxf="1">
    <nc r="Q35">
      <f>SUM(K35:M35)</f>
    </nc>
    <odxf>
      <numFmt numFmtId="0" formatCode="General"/>
    </odxf>
    <ndxf>
      <numFmt numFmtId="3" formatCode="#,##0"/>
    </ndxf>
  </rcc>
  <rcc rId="308" sId="6" odxf="1" dxf="1">
    <oc r="Q36">
      <f>SUM(K36:P36)</f>
    </oc>
    <nc r="Q36">
      <f>SUM(K36:M36)</f>
    </nc>
    <odxf>
      <font>
        <color rgb="FFFF0000"/>
      </font>
    </odxf>
    <ndxf>
      <font>
        <sz val="10"/>
        <color auto="1"/>
        <name val="Arial"/>
        <scheme val="none"/>
      </font>
    </ndxf>
  </rcc>
  <rcc rId="309" sId="6">
    <nc r="Q30" t="inlineStr">
      <is>
        <t>TOTAL</t>
      </is>
    </nc>
  </rcc>
  <rcc rId="310" sId="6">
    <oc r="K32">
      <f>3903555+11768066.62+235407+4481.71</f>
    </oc>
    <nc r="K32">
      <f>4427862+11768066.62+235407+4481.71</f>
    </nc>
  </rcc>
  <rcc rId="311" sId="6">
    <oc r="L32">
      <f>3903555+11927298.91+235407+4482</f>
    </oc>
    <nc r="L32">
      <f>4427862+11927298.91+235407+4482</f>
    </nc>
  </rcc>
  <rcc rId="312" sId="6">
    <oc r="M32">
      <f>3903555+14079391.77+235407+4482</f>
    </oc>
    <nc r="M32">
      <f>4427862+14079391.77+235407+4482</f>
    </nc>
  </rcc>
  <rfmt sheetId="6" sqref="K32:M32">
    <dxf>
      <fill>
        <patternFill patternType="solid">
          <fgColor indexed="64"/>
          <bgColor theme="6"/>
        </patternFill>
      </fill>
    </dxf>
  </rfmt>
  <rfmt sheetId="6" sqref="K32:M32">
    <dxf>
      <fill>
        <patternFill patternType="solid">
          <fgColor indexed="64"/>
          <bgColor theme="6"/>
        </patternFill>
      </fill>
    </dxf>
  </rfmt>
  <rfmt sheetId="6" sqref="K32:M32">
    <dxf>
      <numFmt numFmtId="170" formatCode="0.0"/>
    </dxf>
  </rfmt>
  <rfmt sheetId="6" sqref="K32:M32">
    <dxf>
      <numFmt numFmtId="1" formatCode="0"/>
    </dxf>
  </rfmt>
  <rfmt sheetId="6" sqref="Q36">
    <dxf>
      <fill>
        <patternFill patternType="solid">
          <fgColor indexed="64"/>
          <bgColor theme="6"/>
        </patternFill>
      </fill>
    </dxf>
  </rfmt>
  <rfmt sheetId="6" sqref="Q36">
    <dxf>
      <fill>
        <patternFill patternType="solid">
          <fgColor indexed="64"/>
          <bgColor theme="6"/>
        </patternFill>
      </fill>
    </dxf>
  </rfmt>
  <rfmt sheetId="5" sqref="M90:R91">
    <dxf>
      <fill>
        <patternFill patternType="solid">
          <fgColor indexed="64"/>
          <bgColor theme="6"/>
        </patternFill>
      </fill>
    </dxf>
  </rfmt>
  <rfmt sheetId="5" sqref="M90:R91">
    <dxf>
      <fill>
        <patternFill patternType="solid">
          <fgColor indexed="64"/>
          <bgColor theme="6"/>
        </patternFill>
      </fill>
    </dxf>
  </rfmt>
  <rfmt sheetId="5" sqref="S90:Y91" start="0" length="2147483647">
    <dxf>
      <font>
        <color auto="1"/>
      </font>
    </dxf>
  </rfmt>
  <rcc rId="313" sId="5" numFmtId="4">
    <oc r="M125">
      <v>3903555.2744416255</v>
    </oc>
    <nc r="M125">
      <v>4427862</v>
    </nc>
  </rcc>
  <rcc rId="314" sId="5">
    <oc r="O125">
      <v>3903555.2744416255</v>
    </oc>
    <nc r="O125">
      <f>M125</f>
    </nc>
  </rcc>
  <rcc rId="315" sId="5">
    <oc r="Q125">
      <v>3903555.2744416255</v>
    </oc>
    <nc r="Q125">
      <f>O125</f>
    </nc>
  </rcc>
  <rfmt sheetId="5" sqref="M125:R125">
    <dxf>
      <fill>
        <patternFill patternType="solid">
          <fgColor indexed="64"/>
          <bgColor theme="6"/>
        </patternFill>
      </fill>
    </dxf>
  </rfmt>
  <rfmt sheetId="5" sqref="M125:R125">
    <dxf>
      <fill>
        <patternFill patternType="solid">
          <fgColor indexed="64"/>
          <bgColor theme="6"/>
        </patternFill>
      </fill>
    </dxf>
  </rfmt>
  <rcc rId="316" sId="5">
    <oc r="S125" t="inlineStr">
      <is>
        <t>1) Case detection targets were based on WHO estimates_x000D__x000D_2)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23._x000D__x000D_5) Additional 4,960 patients for case detection on top of the 9,406 as above indicative target. The same will use the same cost assumptions as reflected in #2 and 3._x000D__x000D_6) Manpower augmentation at the laboratories comprises of 54 medical technologists and 30 laboratory aides following standard rates of the facility. Total HR cost at U$1.4M for 3 years_x000D__x000D_FULL cost assumptions in Annex 4.3B</t>
      </is>
    </oc>
    <nc r="S125" t="inlineStr">
      <is>
        <t>1) Case detection targets were based on WHO estimates_x000D__x000D_2)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23._x000D__x000D_5) Additional 4,960 patients for case detection on top of the 9,406 as above indicative target. The same will use the same cost assumptions as reflected in #2 and 3._x000D__x000D_6) Manpower augmentation at the laboratories comprises of 54 medical technologists and 30 laboratory aides following standard rates of the facility. Total HR cost at U$1.4M for 3 years_x000D_ _x000D_FULL cost assumptions in Annex 4.3B</t>
      </is>
    </nc>
  </rcc>
  <rcc rId="317"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 4960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 and nonhealth equipments @ USD 42,000_x000D__x000D_8) special diagnostics for 6% of patients costed at USD 120 per consultation X 36 patients x 17 regions_x000D__x000D_FULL costing in Annex 4.3B_x000D__x000D_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additional3,804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 and nonhealth equipments @ USD 42,000_x000D__x000D_8) special diagnostics for 6% of patients costed at USD 120 per consultation X 36 patients x 17 regions_x000D__x000D_FULL costing in Annex 4.3B_x000D__x000D_</t>
      </is>
    </nc>
  </rcc>
  <rcc rId="318" sId="5">
    <oc r="S137" t="inlineStr">
      <is>
        <r>
          <t xml:space="preserve">All related costs for capacity building/training activities are based on the following assumptions:_x000D_Meals&amp;Accommodations= U$49 per participant per day_x000D_Materials&amp;supplies= U$23 per participant per training_x000D_Land Transportation= U$23_x000D_Air Transportation = U$186_x000D__x000D_Using the above assumptions, the following trainings will be conducted with the corresponding number of participants:_x000D__x000D_PMDT Training of Trainers = 50 participants X 5 days_x000D_Basic Course for Referring Physicians = 1500 participants X 1day_x000D_PMDT Training for Physician's and Nurses = 1500 participants X 5 days_x000D_PMDT Training for CHTs = 1500 participants X 1 day_x000D_PMDT Staff Training = 75 participants X 25 days_x000D_Training for Hospital Doctors= 150 participants X 3days_x000D__x000D_For Above Indicative: </t>
        </r>
        <r>
          <rPr>
            <sz val="10"/>
            <color rgb="FFFF0000"/>
            <rFont val="Arial"/>
            <family val="2"/>
          </rPr>
          <t>Discuss Coverage</t>
        </r>
        <r>
          <rPr>
            <sz val="10"/>
            <rFont val="Arial"/>
            <family val="2"/>
          </rPr>
          <t xml:space="preserve"> _x000D_FULL costing in Annex 4.3B</t>
        </r>
      </is>
    </oc>
    <nc r="S137" t="inlineStr">
      <is>
        <t>All related costs for capacity building/training activities are based on the following assumptions:_x000D_Meals&amp;Accommodations= U$49 per participant per day_x000D_Materials&amp;supplies= U$23 per participant per training_x000D_Land Transportation= U$23_x000D_Air Transportation = U$186_x000D__x000D_Using the above assumptions, the following trainings will be conducted with the corresponding number of participants:_x000D__x000D_PMDT Training of Trainers = 50 participants X 5 days_x000D_Basic Course for Referring Physicians = 1500 participants X 1day_x000D_PMDT Training for Physician's and Nurses = 1500 participants X 5 days_x000D_PMDT Training for CHTs = 1500 participants X 1 day_x000D_PMDT Staff Training = 75 participants X 25 days_x000D_Training for Hospital Doctors= 150 participants X 3days_x000D__x000D_For Above Indicative, additional 3 health care workers for 15 STCs will be trained to support increase in patients to be managed. Unit cost for trainings will be the same as in the indicative budget._x000D_FULL costing in Annex 4.3B</t>
      </is>
    </nc>
  </rcc>
  <rfmt sheetId="5" sqref="F122">
    <dxf>
      <fill>
        <patternFill patternType="solid">
          <fgColor indexed="64"/>
          <bgColor rgb="FFFF0000"/>
        </patternFill>
      </fill>
    </dxf>
  </rfmt>
  <rfmt sheetId="5" sqref="F122">
    <dxf>
      <fill>
        <patternFill patternType="solid">
          <fgColor indexed="64"/>
          <bgColor rgb="FFFF0000"/>
        </patternFill>
      </fill>
    </dxf>
  </rfmt>
  <rcc rId="319" sId="5" numFmtId="4">
    <oc r="M207">
      <v>97561</v>
    </oc>
    <nc r="M207">
      <v>95238</v>
    </nc>
  </rcc>
  <rfmt sheetId="5" sqref="M207:N207">
    <dxf>
      <fill>
        <patternFill patternType="solid">
          <fgColor indexed="64"/>
          <bgColor theme="6"/>
        </patternFill>
      </fill>
    </dxf>
  </rfmt>
  <rfmt sheetId="5" sqref="M207:N207">
    <dxf>
      <fill>
        <patternFill patternType="solid">
          <fgColor indexed="64"/>
          <bgColor theme="6"/>
        </patternFill>
      </fill>
    </dxf>
  </rfmt>
  <rcc rId="320" sId="5" numFmtId="4">
    <oc r="M211">
      <v>206463.41</v>
    </oc>
    <nc r="M211">
      <v>202738</v>
    </nc>
  </rcc>
  <rfmt sheetId="5" sqref="M211:R211">
    <dxf>
      <fill>
        <patternFill patternType="solid">
          <fgColor indexed="64"/>
          <bgColor theme="6"/>
        </patternFill>
      </fill>
    </dxf>
  </rfmt>
  <rfmt sheetId="5" sqref="M211:R211">
    <dxf>
      <fill>
        <patternFill patternType="solid">
          <fgColor indexed="64"/>
          <bgColor theme="6"/>
        </patternFill>
      </fill>
    </dxf>
  </rfmt>
  <rfmt sheetId="5" sqref="F196">
    <dxf>
      <fill>
        <patternFill patternType="solid">
          <fgColor indexed="64"/>
          <bgColor rgb="FFFF0000"/>
        </patternFill>
      </fill>
    </dxf>
  </rfmt>
  <rfmt sheetId="5" sqref="F196">
    <dxf>
      <fill>
        <patternFill patternType="solid">
          <fgColor indexed="64"/>
          <bgColor rgb="FFFF0000"/>
        </patternFill>
      </fill>
    </dxf>
  </rfmt>
  <rcc rId="321" sId="6">
    <oc r="K34">
      <f>239996+270000+97561+206463+356593+230693+12844+41268</f>
    </oc>
    <nc r="K34">
      <f>239996+270000+95238+202738+356593+230693+12844+41268</f>
    </nc>
  </rcc>
  <rcc rId="322" sId="6">
    <oc r="L34">
      <f>239996+270000+206463+387178+278680+12844</f>
    </oc>
    <nc r="L34">
      <f>239996+270000+202738+387178+278680+12844</f>
    </nc>
  </rcc>
  <rcc rId="323" sId="6">
    <oc r="M34">
      <f>239996+270000+206463+480119+268857+12844</f>
    </oc>
    <nc r="M34">
      <f>239996+270000+202738+480119+268857+12844</f>
    </nc>
  </rcc>
  <rfmt sheetId="6" sqref="K34:M34">
    <dxf>
      <fill>
        <patternFill patternType="solid">
          <fgColor indexed="64"/>
          <bgColor theme="6"/>
        </patternFill>
      </fill>
    </dxf>
  </rfmt>
  <rfmt sheetId="6" sqref="K34:M34">
    <dxf>
      <fill>
        <patternFill patternType="solid">
          <fgColor indexed="64"/>
          <bgColor theme="6"/>
        </patternFill>
      </fill>
    </dxf>
  </rfmt>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Y5:Z6">
    <dxf>
      <fill>
        <patternFill patternType="solid">
          <fgColor indexed="64"/>
          <bgColor rgb="FFFF0000"/>
        </patternFill>
      </fill>
    </dxf>
  </rfmt>
  <rfmt sheetId="5" sqref="Y5:Z6">
    <dxf>
      <fill>
        <patternFill patternType="solid">
          <fgColor indexed="64"/>
          <bgColor rgb="FFFF0000"/>
        </patternFill>
      </fill>
    </dxf>
  </rfmt>
  <rfmt sheetId="5" sqref="F87">
    <dxf>
      <fill>
        <patternFill patternType="solid">
          <fgColor indexed="64"/>
          <bgColor rgb="FFFF0000"/>
        </patternFill>
      </fill>
    </dxf>
  </rfmt>
  <rfmt sheetId="5" sqref="F87">
    <dxf>
      <fill>
        <patternFill patternType="solid">
          <fgColor indexed="64"/>
          <bgColor rgb="FFFF0000"/>
        </patternFill>
      </fill>
    </dxf>
  </rfmt>
  <rfmt sheetId="5" sqref="Q87:R87">
    <dxf>
      <fill>
        <patternFill patternType="solid">
          <fgColor indexed="64"/>
          <bgColor rgb="FFFF0000"/>
        </patternFill>
      </fill>
    </dxf>
  </rfmt>
  <rfmt sheetId="5" sqref="Q87:R87">
    <dxf>
      <fill>
        <patternFill patternType="solid">
          <fgColor indexed="64"/>
          <bgColor rgb="FFFF0000"/>
        </patternFill>
      </fill>
    </dxf>
  </rfmt>
  <rfmt sheetId="5" sqref="S90:Y91">
    <dxf>
      <fill>
        <patternFill patternType="solid">
          <fgColor indexed="64"/>
          <bgColor theme="6"/>
        </patternFill>
      </fill>
    </dxf>
  </rfmt>
  <rfmt sheetId="5" sqref="S90:Y91">
    <dxf>
      <fill>
        <patternFill patternType="solid">
          <fgColor indexed="64"/>
          <bgColor theme="6"/>
        </patternFill>
      </fill>
    </dxf>
  </rfmt>
  <rfmt sheetId="5" sqref="Q122:R122">
    <dxf>
      <fill>
        <patternFill patternType="solid">
          <fgColor indexed="64"/>
          <bgColor rgb="FFFF6600"/>
        </patternFill>
      </fill>
    </dxf>
  </rfmt>
  <rfmt sheetId="5" sqref="Q122:R122">
    <dxf>
      <fill>
        <patternFill patternType="solid">
          <fgColor indexed="64"/>
          <bgColor rgb="FFFF6600"/>
        </patternFill>
      </fill>
    </dxf>
  </rfmt>
  <rfmt sheetId="5" sqref="S125:Y128">
    <dxf>
      <fill>
        <patternFill patternType="solid">
          <fgColor indexed="64"/>
          <bgColor theme="6"/>
        </patternFill>
      </fill>
    </dxf>
  </rfmt>
  <rfmt sheetId="5" sqref="S125:Y128">
    <dxf>
      <fill>
        <patternFill patternType="solid">
          <fgColor indexed="64"/>
          <bgColor theme="6"/>
        </patternFill>
      </fill>
    </dxf>
  </rfmt>
  <rcc rId="330" sId="5">
    <oc r="S125" t="inlineStr">
      <is>
        <t>1) Case detection targets were based on WHO estimates_x000D__x000D_2)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123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23._x000D__x000D_5) Additional 4,960 patients for case detection on top of the 9,406 as above indicative target. The same will use the same cost assumptions as reflected in #2 and 3._x000D__x000D_6) Manpower augmentation at the laboratories comprises of 54 medical technologists and 30 laboratory aides following standard rates of the facility. Total HR cost at U$1.4M for 3 years_x000D_ _x000D_FULL cost assumptions in Annex 4.3B</t>
      </is>
    </oc>
    <nc r="S125" t="inlineStr">
      <is>
        <t>1) Case detection targets were based on WHO estimates_x000D__x000D_2) For number of MDRTB for screening: For every 6 suspects screened 1 turns out as MDR-TB. Thus, under the indicative budget, 9406 X 6 = 56,436 DRTB suspects for screening. Unit Cost for utilization per specimen are based on prevailing rates:_x000D_Gene expert cartridge is U$11.5_x000D_DSSM = U$5_x000D_Blood Chem= U$70_x000D_X-ray = U$5_x000D__x000D_Cost of Gene Expert machine = 140 units X U$19200_x000D__x000D_3) 30% of screened suspects will undergo TB culture and DST_x000D__x000D_TB Culture = U$23_x000D_DST= U$16_x000D__x000D_4) Cost assumptions for service fees per laboratory test were based on existing lab. cost. This is essentially 9406 patients x 10 average culture tests at USD 23._x000D__x000D_5) Additional 3,804 patients for case detection on top of the 9,406 as above indicative target. The same will use the same cost assumptions as reflected in #2 and 3._x000D__x000D_6) Manpower augmentation at the laboratories comprises of 54 medical technologists and 30 laboratory aides following standard rates of the facility. Total HR cost at U$1.4M for 3 years_x000D_ _x000D_FULL cost assumptions in Annex 4.3B</t>
      </is>
    </nc>
  </rcc>
  <rfmt sheetId="5" sqref="S129:Y132">
    <dxf>
      <fill>
        <patternFill patternType="solid">
          <fgColor indexed="64"/>
          <bgColor theme="6"/>
        </patternFill>
      </fill>
    </dxf>
  </rfmt>
  <rfmt sheetId="5" sqref="S129:Y132">
    <dxf>
      <fill>
        <patternFill patternType="solid">
          <fgColor indexed="64"/>
          <bgColor theme="6"/>
        </patternFill>
      </fill>
    </dxf>
  </rfmt>
  <rfmt sheetId="5" sqref="S137:Y140">
    <dxf>
      <fill>
        <patternFill patternType="solid">
          <fgColor indexed="64"/>
          <bgColor theme="6"/>
        </patternFill>
      </fill>
    </dxf>
  </rfmt>
  <rfmt sheetId="5" sqref="S137:Y140">
    <dxf>
      <fill>
        <patternFill patternType="solid">
          <fgColor indexed="64"/>
          <bgColor theme="6"/>
        </patternFill>
      </fill>
    </dxf>
  </rfmt>
  <rfmt sheetId="5" sqref="F169">
    <dxf>
      <fill>
        <patternFill patternType="solid">
          <fgColor indexed="64"/>
          <bgColor rgb="FFFF0000"/>
        </patternFill>
      </fill>
    </dxf>
  </rfmt>
  <rfmt sheetId="5" sqref="F169">
    <dxf>
      <fill>
        <patternFill patternType="solid">
          <fgColor indexed="64"/>
          <bgColor rgb="FFFF0000"/>
        </patternFill>
      </fill>
    </dxf>
  </rfmt>
  <rfmt sheetId="5" sqref="Q169:R169">
    <dxf>
      <fill>
        <patternFill patternType="solid">
          <fgColor indexed="64"/>
          <bgColor rgb="FFFF0000"/>
        </patternFill>
      </fill>
    </dxf>
  </rfmt>
  <rfmt sheetId="5" sqref="Q169:R169">
    <dxf>
      <fill>
        <patternFill patternType="solid">
          <fgColor indexed="64"/>
          <bgColor rgb="FFFF0000"/>
        </patternFill>
      </fill>
    </dxf>
  </rfmt>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5">
    <oc r="F169">
      <v>817751.54</v>
    </oc>
    <nc r="F169">
      <f>M172+O172+Q172+M176+O176+Q176</f>
    </nc>
  </rcc>
  <rcc rId="335" sId="5">
    <nc r="F122">
      <f>M125+Q125+O125+M129+O129+Q129+M133+O133+Q133+M137+O137+M141+O141+Q141</f>
    </nc>
  </rcc>
  <rcc rId="336" sId="5">
    <nc r="Q122">
      <f>M126+O126+Q126+M130+O130+Q130+M138+O138+M142+O142+Q142</f>
    </nc>
  </rcc>
  <rcc rId="337" sId="5">
    <oc r="Q122">
      <v>20804569.369130939</v>
    </oc>
    <nc r="Q122">
      <f>M126+O126+Q126+M130+O130+Q130+M138+O138+M142+O142+Q142+Q138</f>
    </nc>
  </rcc>
  <rcc rId="338" sId="5">
    <nc r="F87">
      <f>M90+O90+Q90+M94+O94+Q94+M98+O98+Q98</f>
    </nc>
  </rcc>
  <rcc rId="339" sId="5" numFmtId="4">
    <oc r="Q87">
      <v>1623120.2775609759</v>
    </oc>
    <nc r="Q87">
      <f>M91+O91+Q91</f>
    </nc>
  </rcc>
  <rcc rId="340" sId="5">
    <oc r="S172" t="inlineStr">
      <is>
        <t>Cost assumptions were based on prevailing rate of HIV individual test kit of $1.75 to screen 97, 910 registered TB patients of Cat A and B DOTS facilities and enrolled MDR TB Patients in all PMDT Facilities based on 2012 actual report and assumed a yearly 5% increment. Procurement of the 2/3 of the total number of HIV test Kits (1/3 will be care of DOH-NTP). Proposed cost will also cover for the training activities of the HIV Treatment Hubs staffs to be capacitated on TB management amongst PLHIV as well as HIV proficiency testing for 120 Medical Technologists both were based on historical costs implementing training activities. Provision of baseline HIV screening for those TB patients who resulted positive for HIV assumed at .05% of the target registered TB patients costed based on the prevailing rate of liver function test $48.78 per patient. There will be development and reproduction of TB-HIV specific IEC materials for
 500 TB and HIV facilities costed at the minimum of $121.95 based on historical reproduction of IEC TB materials.
Key activities inludes Cat A and B DOTS and all PMDT treamtent facilities' nurses and doctors capacitated to do Provider Initiated Counseling and Testing PICT. As well as Medical Technologists of TB laboratories will be capacitated to do rapid HIV testing among registered TB patients. HIV Treatment Hubs and Social Hygiene clinics will be trained to do TB screening among PLHIV and will refer TB symptomatics for GeneExpert testing. Categorization of areas were based from NEC's assessment on:
1.Size estimates of the Most At-Risk Population
2. Number of Newly Diagnosed HIV case
3.HIV Prevalence and Behavioral Risk Factors
and others. Cat A and B Areas are defined as highiest HIV cases and fastest transmission. 
FULL costing in Annex 4.3 C</t>
      </is>
    </oc>
    <nc r="S172" t="inlineStr">
      <is>
        <t xml:space="preserve"> </t>
      </is>
    </nc>
  </rcc>
  <rfmt sheetId="5" sqref="F87">
    <dxf>
      <fill>
        <patternFill>
          <bgColor rgb="FFFFFF00"/>
        </patternFill>
      </fill>
    </dxf>
  </rfmt>
  <rfmt sheetId="5" sqref="Q87:R87">
    <dxf>
      <fill>
        <patternFill>
          <bgColor rgb="FFFFFF00"/>
        </patternFill>
      </fill>
    </dxf>
  </rfmt>
  <rcc rId="341" sId="5">
    <oc r="F122">
      <v>50205087.753427833</v>
    </oc>
    <nc r="F122">
      <f>M125+O125+Q125+M129+O129+Q129+M133+O133+Q133+M137+O137+Q137+M141+O141+Q141</f>
    </nc>
  </rcc>
  <rfmt sheetId="5" sqref="F122">
    <dxf>
      <fill>
        <patternFill>
          <bgColor rgb="FFFFFF00"/>
        </patternFill>
      </fill>
    </dxf>
  </rfmt>
  <rfmt sheetId="5" sqref="Q122:R122">
    <dxf>
      <fill>
        <patternFill>
          <bgColor rgb="FFFFFF00"/>
        </patternFill>
      </fill>
    </dxf>
  </rfmt>
  <rfmt sheetId="5" sqref="F169">
    <dxf>
      <fill>
        <patternFill>
          <bgColor rgb="FFFFFF00"/>
        </patternFill>
      </fill>
    </dxf>
  </rfmt>
  <rfmt sheetId="5" sqref="Q169:R169">
    <dxf>
      <fill>
        <patternFill>
          <bgColor rgb="FFFFFF00"/>
        </patternFill>
      </fill>
    </dxf>
  </rfmt>
  <rdn rId="0" localSheetId="5" customView="1" name="Z_CE0E8020_2C9F_41F1_9136_031F56EB2C71_.wvu.PrintArea" hidden="1" oldHidden="1">
    <formula>'Concept Note'!$A$1:$AB$256</formula>
  </rdn>
  <rdn rId="0" localSheetId="5" customView="1" name="Z_CE0E8020_2C9F_41F1_9136_031F56EB2C71_.wvu.Cols" hidden="1" oldHidden="1">
    <formula>'Concept Note'!$AJ:$AO</formula>
  </rdn>
  <rdn rId="0" localSheetId="6" customView="1" name="Z_CE0E8020_2C9F_41F1_9136_031F56EB2C71_.wvu.Cols" hidden="1" oldHidden="1">
    <formula>'Summary budget'!$A:$I</formula>
  </rdn>
  <rcv guid="{CE0E8020-2C9F-41F1-9136-031F56EB2C71}"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5">
    <oc r="S172" t="inlineStr">
      <is>
        <t xml:space="preserve"> </t>
      </is>
    </oc>
    <nc r="S172" t="inlineStr">
      <is>
        <t xml:space="preserve"> Cost assumptions were based on prevailing rate of HIV individual test kit of $1.75 to screen 97, 910 registered TB patients of Cat A and B DOTS facilities and enrolled MDR TB Patients in all PMDT Facilities based on 2012 actual report and assumed a yearly 5% increment. Procurement of the 2/3 of the total number of HIV test Kits (1/3 will be care of DOH-NTP). Proposed cost will also cover for the training activities of the HIV Treatment Hubs staffs to be capacitated on TB management amongst PLHIV as well as HIV proficiency testing for 120 Medical Technologists both were based on historical costs implementing training activities. Provision of baseline HIV screening for those TB patients who resulted positive for HIV assumed at .05% of the target registered TB patients costed based on the prevailing rate of liver function test $48.78 per patient. There will be development and reproduction of TB-HIV specific IEC materials for
 500 TB and HIV facilities costed at the minimum of $121.95 based on historical reproduction of IEC TB materials.
Key activities inludes Cat A and B DOTS and all PMDT treamtent facilities' nurses and doctors capacitated to do Provider Initiated Counseling and Testing PICT. As well as Medical Technologists of TB laboratories will be capacitated to do rapid HIV testing among registered TB patients. HIV Treatment Hubs and Social Hygiene clinics will be trained to do TB screening among PLHIV and will refer TB symptomatics for GeneExpert testing. Categorization of areas were based from NEC's assessment on:
1.Size estimates of the Most At-Risk Population
2. Number of Newly Diagnosed HIV case
3.HIV Prevalence and Behavioral Risk Factors
and others. Cat A and B Areas are defined as highiest HIV cases and fastest transmission. 
FULL costing in Annex 4.3 C</t>
      </is>
    </nc>
  </rcc>
  <rcv guid="{CE0E8020-2C9F-41F1-9136-031F56EB2C71}" action="delete"/>
  <rdn rId="0" localSheetId="5" customView="1" name="Z_CE0E8020_2C9F_41F1_9136_031F56EB2C71_.wvu.PrintArea" hidden="1" oldHidden="1">
    <formula>'Concept Note'!$A$1:$AB$256</formula>
    <oldFormula>'Concept Note'!$A$1:$AB$256</oldFormula>
  </rdn>
  <rdn rId="0" localSheetId="5" customView="1" name="Z_CE0E8020_2C9F_41F1_9136_031F56EB2C71_.wvu.Cols" hidden="1" oldHidden="1">
    <formula>'Concept Note'!$AJ:$AO</formula>
    <oldFormula>'Concept Note'!$AJ:$AO</oldFormula>
  </rdn>
  <rdn rId="0" localSheetId="6" customView="1" name="Z_CE0E8020_2C9F_41F1_9136_031F56EB2C71_.wvu.Cols" hidden="1" oldHidden="1">
    <formula>'Summary budget'!$A:$I</formula>
    <oldFormula>'Summary budget'!$A:$I</oldFormula>
  </rdn>
  <rcv guid="{CE0E8020-2C9F-41F1-9136-031F56EB2C71}"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F196">
    <dxf>
      <fill>
        <patternFill>
          <bgColor rgb="FFFFFF00"/>
        </patternFill>
      </fill>
    </dxf>
  </rfmt>
  <rfmt sheetId="5" sqref="Q196:R196">
    <dxf>
      <fill>
        <patternFill>
          <bgColor rgb="FFFFFF00"/>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5">
    <oc r="U19" t="inlineStr">
      <is>
        <t>WHO Global TB Report 2012: 393/100,000</t>
      </is>
    </oc>
    <nc r="U19" t="inlineStr">
      <is>
        <t>WHO Global TB Report 2012: 29/100,000</t>
      </is>
    </nc>
  </rcc>
  <rcc rId="353" sId="5">
    <oc r="O37" t="inlineStr">
      <is>
        <t>&gt;90%</t>
      </is>
    </oc>
    <nc r="O37" t="inlineStr">
      <is>
        <t>≥90%</t>
      </is>
    </nc>
  </rcc>
  <rcc rId="354" sId="5">
    <oc r="Q37" t="inlineStr">
      <is>
        <t>&gt;90%</t>
      </is>
    </oc>
    <nc r="Q37" t="inlineStr">
      <is>
        <t>≥90%</t>
      </is>
    </nc>
  </rcc>
  <rcc rId="355" sId="5">
    <oc r="S37" t="inlineStr">
      <is>
        <t>&gt;90%</t>
      </is>
    </oc>
    <nc r="S37" t="inlineStr">
      <is>
        <t>≥90%</t>
      </is>
    </nc>
  </rcc>
  <rcc rId="356" sId="5">
    <oc r="S38" t="inlineStr">
      <is>
        <t>&gt;90%</t>
      </is>
    </oc>
    <nc r="S38">
      <f>S37</f>
    </nc>
  </rcc>
  <rcc rId="357" sId="5">
    <oc r="Q38" t="inlineStr">
      <is>
        <t>&gt;90%</t>
      </is>
    </oc>
    <nc r="Q38">
      <f>Q37</f>
    </nc>
  </rcc>
  <rcc rId="358" sId="5">
    <oc r="O38" t="inlineStr">
      <is>
        <t>&gt;90%</t>
      </is>
    </oc>
    <nc r="O38">
      <f>O37</f>
    </nc>
  </rcc>
  <rcc rId="359" sId="5">
    <oc r="U39" t="inlineStr">
      <is>
        <t>Estimated MDR TB cases:  2012: 11,469    2014: 12,225   2015: 12,472    2016: 12,942</t>
      </is>
    </oc>
    <nc r="U39" t="inlineStr">
      <is>
        <t>Estimated MDR TB cases based on the 2003 DRS Survey (4% among new and 21% among retreatment): 11,469    2014: 12,225   2015: 12,472    2016: 12,942</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 sId="5">
    <o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17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_x000D__x000D_(c) GeneXpert cartridges @ USD 10.28/pc for phased in Gx Dx for Smear (-) around 76,500 cartridges for 3 years _x000D__x000D_ _x000D_Above indicative FR will be purchase and maintenance of additional 287 LED-FM (out of total targeted 400 LED-FM units) @ USD 2,136 per microscope with USD 334 annual maintenance cost for each._x000D__x000D_FULL cost assumptions in Annex 4.3A </t>
        </r>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_x000D__x000D_Above indicative FR will be purchase and maintenance of additional 287 LED-FM (out of total targeted 400 LED-FM units) @ USD 2,136 per microscope with USD 334 annual maintenance cost for each._x000D__x000D_FULL cost assumptions in Annex 4.3A </t>
        </r>
      </is>
    </nc>
  </rcc>
  <rcc rId="364" sId="5" numFmtId="4">
    <oc r="M91">
      <v>148180</v>
    </oc>
    <nc r="M91">
      <v>420512</v>
    </nc>
  </rcc>
  <rcc rId="365" sId="5" numFmtId="4">
    <oc r="O91">
      <v>86438</v>
    </oc>
    <nc r="O91">
      <v>195238</v>
    </nc>
  </rcc>
  <rcc rId="366" sId="5" numFmtId="4">
    <oc r="Q91">
      <v>44454</v>
    </oc>
    <nc r="Q91">
      <v>246300</v>
    </nc>
  </rcc>
  <rfmt sheetId="5" sqref="M90:Y91">
    <dxf>
      <fill>
        <patternFill patternType="solid">
          <fgColor indexed="64"/>
          <bgColor theme="0"/>
        </patternFill>
      </fill>
    </dxf>
  </rfmt>
  <rfmt sheetId="5" sqref="M90:Y91">
    <dxf>
      <fill>
        <patternFill patternType="solid">
          <fgColor indexed="64"/>
          <bgColor theme="0"/>
        </patternFill>
      </fill>
    </dxf>
  </rfmt>
  <rfmt sheetId="5" sqref="M125:R125">
    <dxf>
      <fill>
        <patternFill patternType="solid">
          <fgColor indexed="64"/>
          <bgColor theme="0"/>
        </patternFill>
      </fill>
    </dxf>
  </rfmt>
  <rfmt sheetId="5" sqref="M125:R125">
    <dxf>
      <fill>
        <patternFill patternType="solid">
          <fgColor indexed="64"/>
          <bgColor theme="0"/>
        </patternFill>
      </fill>
    </dxf>
  </rfmt>
  <rcc rId="367"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For above indicative funding, additional3,804 patients for treatment and establishment of additional 15 satellite treatment center in the 2014-2016. The same unit costs applies as reflected in #2,3,4._x000D__x000D_6)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600,000_x000D__x000D_7) PSMC for drugs and equipments roughly account to USD 2M and nonhealth equipments @ USD 42,000_x000D__x000D_8) special diagnostics for 6% of patients costed at USD 120 per consultation X 36 patients x 17 regions_x000D__x000D_FULL costing in Annex 4.3B_x000D__x000D_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treatment._x000D__x000D__x000D_5)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600,000_x000D__x000D_6) PSMC for drugs and equipments roughly account to USD 2M and nonhealth equipments @ USD 42,000_x000D__x000D_7) special diagnostics for 6% of patients costed at USD 120 per consultation X 36 patients x 17 regions_x000D__x000D_For above indicative funding, additional3,804 patients for treatment and establishment of additional 15 satellite treatment center in the 2014-2016. The same unit costs applies as reflected in #2,3,4,6 &amp; 7: Part of the cost is also cost for training 3-4 staff from each of the 15 additional expansion sites on PMDT management._x000D__x000D_FULL costing in Annex 4.3B_x000D_</t>
      </is>
    </nc>
  </rcc>
  <rfmt sheetId="5" sqref="S129:Y132">
    <dxf>
      <fill>
        <patternFill patternType="solid">
          <fgColor indexed="64"/>
          <bgColor theme="0"/>
        </patternFill>
      </fill>
    </dxf>
  </rfmt>
  <rfmt sheetId="5" sqref="S129:Y132">
    <dxf>
      <fill>
        <patternFill patternType="solid">
          <fgColor indexed="64"/>
          <bgColor theme="0"/>
        </patternFill>
      </fill>
    </dxf>
  </rfmt>
  <rfmt sheetId="5" sqref="S137:Y140">
    <dxf>
      <fill>
        <patternFill patternType="solid">
          <fgColor indexed="64"/>
          <bgColor theme="0"/>
        </patternFill>
      </fill>
    </dxf>
  </rfmt>
  <rfmt sheetId="5" sqref="S137:Y140">
    <dxf>
      <fill>
        <patternFill patternType="solid">
          <fgColor indexed="64"/>
          <bgColor theme="0"/>
        </patternFill>
      </fill>
    </dxf>
  </rfmt>
  <rfmt sheetId="5" sqref="M207:N207">
    <dxf>
      <fill>
        <patternFill patternType="solid">
          <fgColor indexed="64"/>
          <bgColor theme="0"/>
        </patternFill>
      </fill>
    </dxf>
  </rfmt>
  <rfmt sheetId="5" sqref="M207:N207">
    <dxf>
      <fill>
        <patternFill patternType="solid">
          <fgColor indexed="64"/>
          <bgColor theme="0"/>
        </patternFill>
      </fill>
    </dxf>
  </rfmt>
  <rfmt sheetId="5" sqref="M211:R211">
    <dxf>
      <fill>
        <patternFill patternType="solid">
          <fgColor indexed="64"/>
          <bgColor theme="0"/>
        </patternFill>
      </fill>
    </dxf>
  </rfmt>
  <rfmt sheetId="5" sqref="M211:R211">
    <dxf>
      <fill>
        <patternFill patternType="solid">
          <fgColor indexed="64"/>
          <bgColor theme="0"/>
        </patternFill>
      </fill>
    </dxf>
  </rfmt>
  <rcc rId="368" sId="5">
    <oc r="S248"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staffing is 38 more than the PR manning in the current grant. This is due to the NGM implementation arrangement, whereby the PR will fucntion as fiduciary agent for IDO-NTP, IMS and LCP to facilitate efficient fund management. This is also beause PR will facilitate hiring and management of the 300 AIDERS to be deployed nationwide. This also reflects PR beefing up its finance and audit team for improved financial management and accounting . The NFM will also support 23 core personnel of PBSP ( 19 under the current grant) and will still be compensated based on Level of Effort.  The PR will also engage and second technical personnel to LCP (4), IDO (8) and CHDs (17) to augment manpower to guarantee smooth NTP management and supervision as the direction of the NTP in the next 3 years is intensifying (DOTS) and scaling-up (PMDT).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A comparative staffing plan of the current grant and the NFM is also attached as Annex 7.      </t>
      </is>
    </oc>
    <nc r="S248" t="inlineStr">
      <is>
        <t xml:space="preserve">This essentially covers for the basic salaries and benefits of PR and SR project personnel. Cost rates are anchored on the PBSP cost salary structure. For the NFM, The PR will engage 88 project personnel (40 technical, 4 admin, 7 drivers, 17 finance staff, 6 audit staff, 2 IT staff, 4 procurement staff, 7 HR staff). The staffing is 38 more than the PR manning in the current grant. This is due to the NGM implementation arrangement, whereby the PR will fucntion as fiduciary agent for IDO-NTP, IMS, NTRL and LCP to facilitate efficient fund management. This is also beause PR will facilitate hiring and management of the 300 AIDERS to be deployed nationwide. This also reflects PR beefing up its finance and audit team for improved financial management and accounting . The NFM will also support 23 core personnel of PBSP ( 19 under the current grant) and will still be compensated based on Level of Effort.  The PR will also engage and second technical personnel to LCP (4), IDO (8) and CHDs (17) to augment manpower to guarantee smooth NTP management and supervision as the direction of the NTP in the next 3 years is intensifying (DOTS) and scaling-up (PMDT). There will be 4 SRs that have yet to be selected competitively. There will be 2 SRs for Hospital-Based DOTs with project staffing of 27. Another SR for TB-HIV with 9 project personnel and the SR for Laboratory Strengthening to have a PMO of 10 staff. Full details of the HR cost for PR and SR is in Annex 4.3D. A comparative staffing plan of the current grant and the NFM is also attached as Annex 7.      </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2" sId="5" numFmtId="4">
    <oc r="M90">
      <v>529719</v>
    </oc>
    <nc r="M90">
      <f>529719*41/42</f>
    </nc>
  </rcc>
  <rcc rId="373" sId="5" numFmtId="4">
    <oc r="O90">
      <v>367253</v>
    </oc>
    <nc r="O90">
      <f>367253*41/42</f>
    </nc>
  </rcc>
  <rcc rId="374" sId="5" numFmtId="4">
    <oc r="Q90">
      <v>228816</v>
    </oc>
    <nc r="Q90">
      <f>228816*41/42</f>
    </nc>
  </rcc>
  <rcc rId="375" sId="5" numFmtId="4">
    <oc r="Q91">
      <v>246300</v>
    </oc>
    <nc r="Q91">
      <f>246300*41/42</f>
    </nc>
  </rcc>
  <rcc rId="376" sId="5" numFmtId="4">
    <oc r="O91">
      <v>195238</v>
    </oc>
    <nc r="O91">
      <f>195238*41/42</f>
    </nc>
  </rcc>
  <rcc rId="377" sId="5" numFmtId="4">
    <oc r="M91">
      <v>420512</v>
    </oc>
    <nc r="M91">
      <f>420512*41/42</f>
    </nc>
  </rcc>
  <rcc rId="378" sId="5" numFmtId="4">
    <oc r="M94">
      <v>383807</v>
    </oc>
    <nc r="M94">
      <f>383807*41/42</f>
    </nc>
  </rcc>
  <rcc rId="379" sId="5">
    <oc r="O94">
      <f>254303*2</f>
    </oc>
    <nc r="O94">
      <f>254303*2*41/42</f>
    </nc>
  </rcc>
  <rcc rId="380" sId="5">
    <oc r="M98">
      <v>954878.04878048785</v>
    </oc>
    <nc r="M98">
      <f>954878.048780488*41/42</f>
    </nc>
  </rcc>
  <rcc rId="381" sId="5">
    <oc r="O98">
      <v>1909756.0975609757</v>
    </oc>
    <nc r="O98">
      <f>1909756.09756098*41/42</f>
    </nc>
  </rcc>
  <rcc rId="382" sId="5">
    <oc r="Q98">
      <v>1909756.0975609757</v>
    </oc>
    <nc r="Q98">
      <f>1909756.09756098*41/42</f>
    </nc>
  </rcc>
  <rcc rId="383" sId="5" numFmtId="4">
    <oc r="M125">
      <v>4427862</v>
    </oc>
    <nc r="M125">
      <f>4427862*41/42</f>
    </nc>
  </rcc>
  <rcc rId="384" sId="5">
    <oc r="M126">
      <v>1157933.8887804877</v>
    </oc>
    <nc r="M126">
      <f>1157933.88878049*41/42</f>
    </nc>
  </rcc>
  <rcc rId="385" sId="5">
    <oc r="O126">
      <v>1157933.8887804877</v>
    </oc>
    <nc r="O126">
      <f>1157933.88878049*41/42</f>
    </nc>
  </rcc>
  <rcc rId="386" sId="5">
    <oc r="Q126">
      <v>1157933.8887804877</v>
    </oc>
    <nc r="Q126">
      <f>1157933.88878049*41/42</f>
    </nc>
  </rcc>
  <rcc rId="387" sId="5">
    <oc r="M129">
      <v>11768066.620323606</v>
    </oc>
    <nc r="M129">
      <f>11768066.6203236*41/42</f>
    </nc>
  </rcc>
  <rcc rId="388" sId="5">
    <oc r="M130">
      <v>4717987.1386527075</v>
    </oc>
    <nc r="M130">
      <f>4717987.13865271*41/42</f>
    </nc>
  </rcc>
  <rcc rId="389" sId="5">
    <oc r="O129">
      <v>11927298.913011836</v>
    </oc>
    <nc r="O129">
      <f>11927298.9130118*41/42</f>
    </nc>
  </rcc>
  <rcc rId="390" sId="5">
    <oc r="O130">
      <v>5755234.0270960685</v>
    </oc>
    <nc r="O130">
      <f>5755234.02709607*41/42</f>
    </nc>
  </rcc>
  <rcc rId="391" sId="5">
    <oc r="Q129">
      <v>14079391.766767517</v>
    </oc>
    <nc r="Q129">
      <f>14079391.7667675*41/42</f>
    </nc>
  </rcc>
  <rcc rId="392" sId="5">
    <oc r="Q130">
      <v>6791034.3470407017</v>
    </oc>
    <nc r="Q130">
      <f>6791034.3470407*41/42</f>
    </nc>
  </rcc>
  <rcc rId="393" sId="5" numFmtId="4">
    <oc r="M137">
      <v>235406.5</v>
    </oc>
    <nc r="M137">
      <f>235406.5*41/42</f>
    </nc>
  </rcc>
  <rcc rId="394" sId="5" numFmtId="4">
    <oc r="M138">
      <v>22170.73</v>
    </oc>
    <nc r="M138">
      <f>22170.73*41/42</f>
    </nc>
  </rcc>
  <rcc rId="395" sId="5" numFmtId="4">
    <oc r="M141">
      <v>4481.71</v>
    </oc>
    <nc r="M141">
      <f>4481.71*41/42</f>
    </nc>
  </rcc>
  <rcc rId="396" sId="5" numFmtId="4">
    <oc r="M172">
      <v>225274.51</v>
    </oc>
    <nc r="M172">
      <f>225274.51*41/42</f>
    </nc>
  </rcc>
  <rcc rId="397" sId="5" numFmtId="4">
    <oc r="O172">
      <v>217094.09</v>
    </oc>
    <nc r="O172">
      <f>217094.09*41/42</f>
    </nc>
  </rcc>
  <rcc rId="398" sId="5" numFmtId="4">
    <oc r="Q172">
      <v>224187.8</v>
    </oc>
    <nc r="Q172">
      <f>224187.8*41/42</f>
    </nc>
  </rcc>
  <rcc rId="399" sId="5">
    <oc r="M176">
      <v>70479.679999999993</v>
    </oc>
    <nc r="M176">
      <f>70479.68*41/42</f>
    </nc>
  </rcc>
  <rcc rId="400" sId="5" numFmtId="4">
    <oc r="O176">
      <v>55308.95</v>
    </oc>
    <nc r="O176">
      <f>55308.95*41/42</f>
    </nc>
  </rcc>
  <rcc rId="401" sId="5" numFmtId="4">
    <oc r="Q176">
      <v>25406.51</v>
    </oc>
    <nc r="Q176">
      <f>25406.51*41/42</f>
    </nc>
  </rcc>
  <rcc rId="402" sId="5" numFmtId="4">
    <oc r="M199">
      <v>239996.34</v>
    </oc>
    <nc r="M199">
      <f>239996.34*41/42</f>
    </nc>
  </rcc>
  <rcc rId="403" sId="5" numFmtId="4">
    <oc r="M200">
      <v>40439</v>
    </oc>
    <nc r="M200">
      <f>40439*41/42</f>
    </nc>
  </rcc>
  <rcc rId="404" sId="5" numFmtId="4">
    <oc r="M203">
      <v>270000</v>
    </oc>
    <nc r="M203">
      <f>270000*41/42</f>
    </nc>
  </rcc>
  <rcc rId="405" sId="5" numFmtId="4">
    <oc r="M207">
      <v>95238</v>
    </oc>
    <nc r="M207">
      <f>95238*41/42</f>
    </nc>
  </rcc>
  <rcc rId="406" sId="5" numFmtId="4">
    <oc r="M211">
      <v>202738</v>
    </oc>
    <nc r="M211">
      <f>202738*41/42</f>
    </nc>
  </rcc>
  <rcc rId="407" sId="5" numFmtId="4">
    <oc r="M215">
      <v>356593</v>
    </oc>
    <nc r="M215">
      <f>356593*41/42</f>
    </nc>
  </rcc>
  <rcc rId="408" sId="5" numFmtId="4">
    <oc r="O215">
      <v>387178</v>
    </oc>
    <nc r="O215">
      <f>387178*41/42</f>
    </nc>
  </rcc>
  <rcc rId="409" sId="5" numFmtId="4">
    <oc r="Q215">
      <v>480119</v>
    </oc>
    <nc r="Q215">
      <f>480119*41/42</f>
    </nc>
  </rcc>
  <rcc rId="410" sId="5" numFmtId="4">
    <oc r="M219">
      <v>230693</v>
    </oc>
    <nc r="M219">
      <f>230693*41/42</f>
    </nc>
  </rcc>
  <rcc rId="411" sId="5" numFmtId="4">
    <oc r="O219">
      <v>278680</v>
    </oc>
    <nc r="O219">
      <f>278680*41/42</f>
    </nc>
  </rcc>
  <rcc rId="412" sId="5" numFmtId="4">
    <oc r="Q219">
      <v>268857</v>
    </oc>
    <nc r="Q219">
      <f>268857*41/42</f>
    </nc>
  </rcc>
  <rcc rId="413" sId="5" numFmtId="4">
    <oc r="M223">
      <v>12843.9</v>
    </oc>
    <nc r="M223">
      <f>12843.9*41/42</f>
    </nc>
  </rcc>
  <rcc rId="414" sId="5" numFmtId="4">
    <oc r="O223">
      <v>12844</v>
    </oc>
    <nc r="O223">
      <f>12844*41/42</f>
    </nc>
  </rcc>
  <rcc rId="415" sId="5" numFmtId="4">
    <oc r="Q223">
      <v>12844</v>
    </oc>
    <nc r="Q223">
      <f>12844*41/42</f>
    </nc>
  </rcc>
  <rcc rId="416" sId="5" numFmtId="4">
    <oc r="M227">
      <v>41268.29</v>
    </oc>
    <nc r="M227">
      <f>41268.29*41/42</f>
    </nc>
  </rcc>
  <rcc rId="417" sId="5" numFmtId="4">
    <oc r="M244">
      <v>542847</v>
    </oc>
    <nc r="M244">
      <f>542847*41/42</f>
    </nc>
  </rcc>
  <rcc rId="418" sId="5" numFmtId="4">
    <oc r="O244">
      <v>507694</v>
    </oc>
    <nc r="O244">
      <f>507694*41/42</f>
    </nc>
  </rcc>
  <rcc rId="419" sId="5" numFmtId="4">
    <oc r="Q244">
      <v>520113</v>
    </oc>
    <nc r="Q244">
      <f>520113*41/42</f>
    </nc>
  </rcc>
  <rcc rId="420" sId="5" numFmtId="4">
    <oc r="M248">
      <v>2290731</v>
    </oc>
    <nc r="M248">
      <f>2290731*41/42</f>
    </nc>
  </rcc>
  <rcc rId="421" sId="5" numFmtId="4">
    <oc r="O248">
      <v>2364810</v>
    </oc>
    <nc r="O248">
      <f>2364810*41/42</f>
    </nc>
  </rcc>
  <rcc rId="422" sId="5" numFmtId="4">
    <oc r="Q248">
      <v>2441465</v>
    </oc>
    <nc r="Q248">
      <f>2441465*41/42</f>
    </nc>
  </rcc>
  <rcc rId="423" sId="5" numFmtId="4">
    <oc r="M252">
      <v>221421</v>
    </oc>
    <nc r="M252">
      <f>221421*41/42</f>
    </nc>
  </rcc>
  <rcc rId="424" sId="5" numFmtId="4">
    <oc r="O252">
      <v>74341</v>
    </oc>
    <nc r="O252">
      <f>74341*41/42</f>
    </nc>
  </rcc>
  <rcc rId="425" sId="5" numFmtId="4">
    <oc r="Q252">
      <v>69951</v>
    </oc>
    <nc r="Q252">
      <f>69951*41/42</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5">
    <oc r="M129">
      <f>11768066.6203236*41/42</f>
    </oc>
    <nc r="M129">
      <f>(11768066.6203236*41/42)+391583</f>
    </nc>
  </rcc>
  <rcc rId="430" sId="5">
    <oc r="O129">
      <f>11927298.9130118*41/42</f>
    </oc>
    <nc r="O129">
      <f>(11927298.9130118*41/42)+391583</f>
    </nc>
  </rcc>
  <rcc rId="431" sId="5">
    <oc r="Q129">
      <f>14079391.7667675*41/42</f>
    </oc>
    <nc r="Q129">
      <f>(14079391.7667675*41/42)+391583</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Y5:Z6">
    <dxf>
      <fill>
        <patternFill patternType="solid">
          <fgColor indexed="64"/>
          <bgColor theme="0"/>
        </patternFill>
      </fill>
    </dxf>
  </rfmt>
  <rfmt sheetId="5" sqref="Y5:Z6">
    <dxf>
      <fill>
        <patternFill patternType="solid">
          <fgColor indexed="64"/>
          <bgColor theme="0"/>
        </patternFill>
      </fill>
    </dxf>
  </rfmt>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1" sId="6">
    <oc r="K31">
      <f>529719+383807+954878</f>
    </oc>
    <nc r="K31">
      <f>(529719+383807+954878)*41/42</f>
    </nc>
  </rcc>
  <rcc rId="442" sId="6">
    <oc r="L31">
      <f>367253+508606+1909756</f>
    </oc>
    <nc r="L31">
      <f>(367253+508606+1909756)*41/42</f>
    </nc>
  </rcc>
  <rcc rId="443" sId="6">
    <oc r="M31">
      <f>228816+1909756</f>
    </oc>
    <nc r="M31">
      <f>(228816+1909756)*41/42</f>
    </nc>
  </rcc>
  <rcc rId="444" sId="6">
    <oc r="K32">
      <f>4427862+11768066.62+235407+4481.71</f>
    </oc>
    <nc r="K32">
      <f>(4427862+11768066.62+235407+4481.71)*41/42</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5">
    <oc r="Z129" t="inlineStr">
      <is>
        <t>Note that the SLD budget being requested  for 2014-2016 is  70%-80% from the NFM. The remaining 20%-30% will be covered by GOP-DOH-NTP Budget for years 2 and 3</t>
      </is>
    </oc>
    <nc r="Z129" t="inlineStr">
      <is>
        <t xml:space="preserve">Note that the SLD budget being requested  for 2014-2016 is at 86% from the NFM. </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52" sheetId="22" name="[A2 Consolidated Modular Template_25 Sept 2013_II.xlsx]NEW SUMMARY BUDGET" sheetPosition="6"/>
  <rcc rId="453" sId="22" odxf="1" dxf="1">
    <nc r="A1">
      <f>'C:\Users\iivanova\AppData\Local\Microsoft\Windows\Temporary Internet Files\Content.Outlook\3G13MMSX\[Revised Consolidated Modular Template_19 Sept 2013_FINAL (2).XLSX]Translations'!$A$96</f>
    </nc>
    <odxf>
      <font>
        <b val="0"/>
        <sz val="10"/>
        <color auto="1"/>
        <name val="Arial"/>
        <scheme val="none"/>
      </font>
      <fill>
        <patternFill patternType="none">
          <bgColor indexed="65"/>
        </patternFill>
      </fill>
      <alignment vertical="bottom" readingOrder="0"/>
    </odxf>
    <ndxf>
      <font>
        <b/>
        <sz val="14"/>
        <color auto="1"/>
        <name val="Arial"/>
        <scheme val="none"/>
      </font>
      <fill>
        <patternFill patternType="solid">
          <bgColor theme="3" tint="0.59999389629810485"/>
        </patternFill>
      </fill>
      <alignment vertical="center" readingOrder="0"/>
    </ndxf>
  </rcc>
  <rfmt sheetId="22" sqref="B1" start="0" length="0">
    <dxf>
      <font>
        <sz val="14"/>
        <color auto="1"/>
        <name val="Arial"/>
        <scheme val="none"/>
      </font>
      <fill>
        <patternFill patternType="solid">
          <bgColor theme="3" tint="0.59999389629810485"/>
        </patternFill>
      </fill>
      <alignment vertical="center" readingOrder="0"/>
    </dxf>
  </rfmt>
  <rfmt sheetId="22" sqref="C1" start="0" length="0">
    <dxf>
      <font>
        <sz val="14"/>
        <color auto="1"/>
        <name val="Arial"/>
        <scheme val="none"/>
      </font>
      <fill>
        <patternFill patternType="solid">
          <bgColor theme="3" tint="0.59999389629810485"/>
        </patternFill>
      </fill>
      <alignment vertical="center" readingOrder="0"/>
    </dxf>
  </rfmt>
  <rfmt sheetId="22" sqref="D1" start="0" length="0">
    <dxf>
      <font>
        <sz val="14"/>
        <color auto="1"/>
        <name val="Arial"/>
        <scheme val="none"/>
      </font>
      <fill>
        <patternFill patternType="solid">
          <bgColor theme="3" tint="0.59999389629810485"/>
        </patternFill>
      </fill>
      <alignment vertical="center" readingOrder="0"/>
    </dxf>
  </rfmt>
  <rfmt sheetId="22" sqref="E1" start="0" length="0">
    <dxf>
      <font>
        <sz val="14"/>
        <color auto="1"/>
        <name val="Arial"/>
        <scheme val="none"/>
      </font>
      <fill>
        <patternFill patternType="solid">
          <bgColor theme="3" tint="0.59999389629810485"/>
        </patternFill>
      </fill>
      <alignment vertical="center" readingOrder="0"/>
    </dxf>
  </rfmt>
  <rfmt sheetId="22" sqref="F1" start="0" length="0">
    <dxf>
      <font>
        <sz val="14"/>
        <color auto="1"/>
        <name val="Arial"/>
        <scheme val="none"/>
      </font>
    </dxf>
  </rfmt>
  <rfmt sheetId="22" sqref="G1" start="0" length="0">
    <dxf>
      <font>
        <sz val="14"/>
        <color auto="1"/>
        <name val="Arial"/>
        <scheme val="none"/>
      </font>
    </dxf>
  </rfmt>
  <rfmt sheetId="22" sqref="H1" start="0" length="0">
    <dxf>
      <font>
        <sz val="14"/>
        <color auto="1"/>
        <name val="Arial"/>
        <scheme val="none"/>
      </font>
    </dxf>
  </rfmt>
  <rfmt sheetId="22" sqref="A1:XFD1" start="0" length="0">
    <dxf>
      <font>
        <sz val="14"/>
        <color auto="1"/>
        <name val="Arial"/>
        <scheme val="none"/>
      </font>
    </dxf>
  </rfmt>
  <rfmt sheetId="22" sqref="A3" start="0" length="0">
    <dxf>
      <fill>
        <patternFill patternType="solid">
          <bgColor theme="4" tint="0.79998168889431442"/>
        </patternFill>
      </fill>
      <border outline="0">
        <left style="thin">
          <color auto="1"/>
        </left>
        <right style="thin">
          <color auto="1"/>
        </right>
        <top style="thin">
          <color auto="1"/>
        </top>
        <bottom style="thin">
          <color auto="1"/>
        </bottom>
      </border>
    </dxf>
  </rfmt>
  <rcc rId="454" sId="22" odxf="1" dxf="1">
    <nc r="B3" t="inlineStr">
      <is>
        <t>Indicative budget</t>
      </is>
    </nc>
    <odxf>
      <font>
        <b val="0"/>
        <sz val="10"/>
        <color auto="1"/>
        <name val="Arial"/>
        <scheme val="none"/>
      </font>
      <fill>
        <patternFill patternType="none">
          <bgColor indexed="65"/>
        </patternFill>
      </fill>
      <alignment vertical="bottom" readingOrder="0"/>
      <border outline="0">
        <left/>
        <right/>
        <top/>
        <bottom/>
      </border>
    </odxf>
    <ndxf>
      <font>
        <b/>
        <sz val="10"/>
        <color auto="1"/>
        <name val="Arial"/>
        <scheme val="none"/>
      </font>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455" sId="22" odxf="1" dxf="1">
    <nc r="C3" t="inlineStr">
      <is>
        <t>Indicative %</t>
      </is>
    </nc>
    <odxf>
      <font>
        <b val="0"/>
        <sz val="10"/>
        <color auto="1"/>
        <name val="Arial"/>
        <scheme val="none"/>
      </font>
      <fill>
        <patternFill patternType="none">
          <bgColor indexed="65"/>
        </patternFill>
      </fill>
      <alignment vertical="bottom" readingOrder="0"/>
      <border outline="0">
        <left/>
        <right/>
        <top/>
        <bottom/>
      </border>
    </odxf>
    <ndxf>
      <font>
        <b/>
        <sz val="10"/>
        <color auto="1"/>
        <name val="Arial"/>
        <scheme val="none"/>
      </font>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456" sId="22" odxf="1" dxf="1">
    <nc r="D3" t="inlineStr">
      <is>
        <t>Above indicative</t>
      </is>
    </nc>
    <odxf>
      <font>
        <b val="0"/>
        <sz val="10"/>
        <color auto="1"/>
        <name val="Arial"/>
        <scheme val="none"/>
      </font>
      <fill>
        <patternFill patternType="none">
          <bgColor indexed="65"/>
        </patternFill>
      </fill>
      <alignment vertical="bottom" readingOrder="0"/>
      <border outline="0">
        <left/>
        <right/>
        <top/>
        <bottom/>
      </border>
    </odxf>
    <ndxf>
      <font>
        <b/>
        <sz val="10"/>
        <color auto="1"/>
        <name val="Arial"/>
        <scheme val="none"/>
      </font>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457" sId="22" odxf="1" dxf="1">
    <nc r="E3" t="inlineStr">
      <is>
        <t>Above Indicative %</t>
      </is>
    </nc>
    <odxf>
      <font>
        <b val="0"/>
        <sz val="10"/>
        <color auto="1"/>
        <name val="Arial"/>
        <scheme val="none"/>
      </font>
      <fill>
        <patternFill patternType="none">
          <bgColor indexed="65"/>
        </patternFill>
      </fill>
      <alignment vertical="bottom" readingOrder="0"/>
      <border outline="0">
        <left/>
        <right/>
        <top/>
        <bottom/>
      </border>
    </odxf>
    <ndxf>
      <font>
        <b/>
        <sz val="10"/>
        <color auto="1"/>
        <name val="Arial"/>
        <scheme val="none"/>
      </font>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458" sId="22" odxf="1" dxf="1">
    <nc r="A4" t="inlineStr">
      <is>
        <t>DOTS-based package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4" start="0" length="0">
    <dxf>
      <numFmt numFmtId="168" formatCode="_(* #,##0_);_(* \(#,##0\);_(* &quot;-&quot;??_);_(@_)"/>
      <border outline="0">
        <left style="thin">
          <color auto="1"/>
        </left>
        <right style="thin">
          <color auto="1"/>
        </right>
        <top style="thin">
          <color auto="1"/>
        </top>
        <bottom style="thin">
          <color auto="1"/>
        </bottom>
      </border>
    </dxf>
  </rfmt>
  <rcc rId="459" sId="22" odxf="1" dxf="1">
    <nc r="C4">
      <f>$B4/$B$9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fmt sheetId="22" sqref="D4" start="0" length="0">
    <dxf>
      <numFmt numFmtId="168" formatCode="_(* #,##0_);_(* \(#,##0\);_(* &quot;-&quot;??_);_(@_)"/>
      <border outline="0">
        <left style="thin">
          <color auto="1"/>
        </left>
        <right style="thin">
          <color auto="1"/>
        </right>
        <top style="thin">
          <color auto="1"/>
        </top>
        <bottom style="thin">
          <color auto="1"/>
        </bottom>
      </border>
    </dxf>
  </rfmt>
  <rcc rId="460" sId="22" odxf="1" dxf="1">
    <nc r="E4">
      <f>$D4/$D$9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cc rId="461" sId="22" odxf="1" dxf="1">
    <nc r="A5" t="inlineStr">
      <is>
        <t>MDT-TB package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5" start="0" length="0">
    <dxf>
      <numFmt numFmtId="168" formatCode="_(* #,##0_);_(* \(#,##0\);_(* &quot;-&quot;??_);_(@_)"/>
      <border outline="0">
        <left style="thin">
          <color auto="1"/>
        </left>
        <right style="thin">
          <color auto="1"/>
        </right>
        <top style="thin">
          <color auto="1"/>
        </top>
        <bottom style="thin">
          <color auto="1"/>
        </bottom>
      </border>
    </dxf>
  </rfmt>
  <rcc rId="462" sId="22" odxf="1" dxf="1">
    <nc r="C5">
      <f>$B5/$B$9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fmt sheetId="22" sqref="D5" start="0" length="0">
    <dxf>
      <numFmt numFmtId="168" formatCode="_(* #,##0_);_(* \(#,##0\);_(* &quot;-&quot;??_);_(@_)"/>
      <border outline="0">
        <left style="thin">
          <color auto="1"/>
        </left>
        <right style="thin">
          <color auto="1"/>
        </right>
        <top style="thin">
          <color auto="1"/>
        </top>
        <bottom style="thin">
          <color auto="1"/>
        </bottom>
      </border>
    </dxf>
  </rfmt>
  <rcc rId="463" sId="22" odxf="1" dxf="1">
    <nc r="E5">
      <f>$D5/$D$9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cc rId="464" sId="22" odxf="1" dxf="1">
    <nc r="A6" t="inlineStr">
      <is>
        <t>TB-HIV package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6" start="0" length="0">
    <dxf>
      <numFmt numFmtId="168" formatCode="_(* #,##0_);_(* \(#,##0\);_(* &quot;-&quot;??_);_(@_)"/>
      <border outline="0">
        <left style="thin">
          <color auto="1"/>
        </left>
        <right style="thin">
          <color auto="1"/>
        </right>
        <top style="thin">
          <color auto="1"/>
        </top>
        <bottom style="thin">
          <color auto="1"/>
        </bottom>
      </border>
    </dxf>
  </rfmt>
  <rcc rId="465" sId="22" odxf="1" dxf="1">
    <nc r="C6">
      <f>$B6/$B$9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fmt sheetId="22" sqref="D6" start="0" length="0">
    <dxf>
      <numFmt numFmtId="168" formatCode="_(* #,##0_);_(* \(#,##0\);_(* &quot;-&quot;??_);_(@_)"/>
      <border outline="0">
        <left style="thin">
          <color auto="1"/>
        </left>
        <right style="thin">
          <color auto="1"/>
        </right>
        <top style="thin">
          <color auto="1"/>
        </top>
        <bottom style="thin">
          <color auto="1"/>
        </bottom>
      </border>
    </dxf>
  </rfmt>
  <rcc rId="466" sId="22" odxf="1" dxf="1">
    <nc r="E6">
      <f>$D6/$D$9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cc rId="467" sId="22" odxf="1" dxf="1">
    <nc r="A7" t="inlineStr">
      <is>
        <t>M&amp;E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7" start="0" length="0">
    <dxf>
      <numFmt numFmtId="168" formatCode="_(* #,##0_);_(* \(#,##0\);_(* &quot;-&quot;??_);_(@_)"/>
      <border outline="0">
        <left style="thin">
          <color auto="1"/>
        </left>
        <right style="thin">
          <color auto="1"/>
        </right>
        <top style="thin">
          <color auto="1"/>
        </top>
        <bottom style="thin">
          <color auto="1"/>
        </bottom>
      </border>
    </dxf>
  </rfmt>
  <rcc rId="468" sId="22" odxf="1" dxf="1">
    <nc r="C7">
      <f>$B7/$B$9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fmt sheetId="22" sqref="D7" start="0" length="0">
    <dxf>
      <numFmt numFmtId="168" formatCode="_(* #,##0_);_(* \(#,##0\);_(* &quot;-&quot;??_);_(@_)"/>
      <border outline="0">
        <left style="thin">
          <color auto="1"/>
        </left>
        <right style="thin">
          <color auto="1"/>
        </right>
        <top style="thin">
          <color auto="1"/>
        </top>
        <bottom style="thin">
          <color auto="1"/>
        </bottom>
      </border>
    </dxf>
  </rfmt>
  <rcc rId="469" sId="22" odxf="1" dxf="1">
    <nc r="E7">
      <f>$D7/$D$9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cc rId="470" sId="22" odxf="1" dxf="1">
    <nc r="A8" t="inlineStr">
      <is>
        <t>Program Management</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8" start="0" length="0">
    <dxf>
      <numFmt numFmtId="168" formatCode="_(* #,##0_);_(* \(#,##0\);_(* &quot;-&quot;??_);_(@_)"/>
      <border outline="0">
        <left style="thin">
          <color auto="1"/>
        </left>
        <right style="thin">
          <color auto="1"/>
        </right>
        <top style="thin">
          <color auto="1"/>
        </top>
        <bottom style="thin">
          <color auto="1"/>
        </bottom>
      </border>
    </dxf>
  </rfmt>
  <rcc rId="471" sId="22" odxf="1" dxf="1" numFmtId="13">
    <nc r="C8">
      <v>0.12</v>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fmt sheetId="22" sqref="D8" start="0" length="0">
    <dxf>
      <numFmt numFmtId="168" formatCode="_(* #,##0_);_(* \(#,##0\);_(* &quot;-&quot;??_);_(@_)"/>
      <border outline="0">
        <left style="thin">
          <color auto="1"/>
        </left>
        <right style="thin">
          <color auto="1"/>
        </right>
        <top style="thin">
          <color auto="1"/>
        </top>
        <bottom style="thin">
          <color auto="1"/>
        </bottom>
      </border>
    </dxf>
  </rfmt>
  <rcc rId="472" sId="22" odxf="1" dxf="1">
    <nc r="E8">
      <f>$D8/$D$9</f>
    </nc>
    <odxf>
      <font>
        <b val="0"/>
        <sz val="10"/>
        <color auto="1"/>
        <name val="Arial"/>
        <scheme val="none"/>
      </font>
      <numFmt numFmtId="0" formatCode="General"/>
      <border outline="0">
        <left/>
        <right/>
        <top/>
        <bottom/>
      </border>
    </odxf>
    <ndxf>
      <font>
        <b/>
        <sz val="10"/>
        <color auto="1"/>
        <name val="Arial"/>
        <scheme val="none"/>
      </font>
      <numFmt numFmtId="13" formatCode="0%"/>
      <border outline="0">
        <left style="thin">
          <color auto="1"/>
        </left>
        <right style="thin">
          <color auto="1"/>
        </right>
        <top style="thin">
          <color auto="1"/>
        </top>
        <bottom style="thin">
          <color auto="1"/>
        </bottom>
      </border>
    </ndxf>
  </rcc>
  <rcc rId="473" sId="22" odxf="1" dxf="1">
    <nc r="A9" t="inlineStr">
      <is>
        <t>TOTAL</t>
      </is>
    </nc>
    <odxf>
      <font>
        <b val="0"/>
        <sz val="10"/>
        <color auto="1"/>
        <name val="Arial"/>
        <scheme val="none"/>
      </font>
      <fill>
        <patternFill patternType="none">
          <bgColor indexed="65"/>
        </patternFill>
      </fill>
      <alignment vertical="bottom" readingOrder="0"/>
      <border outline="0">
        <left/>
        <right/>
        <top/>
        <bottom/>
      </border>
    </odxf>
    <ndxf>
      <font>
        <b/>
        <sz val="12"/>
        <color auto="1"/>
        <name val="Arial"/>
        <scheme val="none"/>
      </font>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74" sId="22" odxf="1" dxf="1">
    <nc r="B9">
      <f>SUM(B4:B8)</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2"/>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75" sId="22" odxf="1" dxf="1" numFmtId="13">
    <nc r="C9">
      <v>1</v>
    </nc>
    <odxf>
      <font>
        <sz val="10"/>
        <color auto="1"/>
        <name val="Arial"/>
        <scheme val="none"/>
      </font>
      <numFmt numFmtId="0" formatCode="General"/>
      <fill>
        <patternFill patternType="none">
          <bgColor indexed="65"/>
        </patternFill>
      </fill>
      <alignment vertical="bottom" readingOrder="0"/>
      <border outline="0">
        <left/>
        <right/>
        <top/>
        <bottom/>
      </border>
    </odxf>
    <ndxf>
      <font>
        <sz val="12"/>
        <color auto="1"/>
        <name val="Arial"/>
        <scheme val="none"/>
      </font>
      <numFmt numFmtId="13" formatCode="0%"/>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76" sId="22" odxf="1" dxf="1">
    <nc r="D9">
      <f>SUM(D4:D8)</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2"/>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77" sId="22" odxf="1" dxf="1">
    <nc r="E9">
      <f>SUM(E4:E8)</f>
    </nc>
    <odxf>
      <font>
        <sz val="10"/>
        <color auto="1"/>
        <name val="Arial"/>
        <scheme val="none"/>
      </font>
      <numFmt numFmtId="0" formatCode="General"/>
      <fill>
        <patternFill patternType="none">
          <bgColor indexed="65"/>
        </patternFill>
      </fill>
      <alignment vertical="bottom" readingOrder="0"/>
      <border outline="0">
        <left/>
        <right/>
        <top/>
        <bottom/>
      </border>
    </odxf>
    <ndxf>
      <font>
        <sz val="12"/>
        <color auto="1"/>
        <name val="Arial"/>
        <scheme val="none"/>
      </font>
      <numFmt numFmtId="13" formatCode="0%"/>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78" sId="22" odxf="1" dxf="1">
    <nc r="A12" t="inlineStr">
      <is>
        <t>Summary of requested 3 years of funding by year</t>
      </is>
    </nc>
    <odxf>
      <font>
        <b val="0"/>
        <sz val="10"/>
        <color auto="1"/>
        <name val="Arial"/>
        <scheme val="none"/>
      </font>
      <fill>
        <patternFill patternType="none">
          <bgColor indexed="65"/>
        </patternFill>
      </fill>
      <alignment vertical="bottom" readingOrder="0"/>
    </odxf>
    <ndxf>
      <font>
        <b/>
        <sz val="14"/>
        <color auto="1"/>
        <name val="Arial"/>
        <scheme val="none"/>
      </font>
      <fill>
        <patternFill patternType="solid">
          <bgColor theme="3" tint="0.59999389629810485"/>
        </patternFill>
      </fill>
      <alignment vertical="center" readingOrder="0"/>
    </ndxf>
  </rcc>
  <rfmt sheetId="22" sqref="B12" start="0" length="0">
    <dxf>
      <font>
        <sz val="14"/>
        <color auto="1"/>
        <name val="Arial"/>
        <scheme val="none"/>
      </font>
      <fill>
        <patternFill patternType="solid">
          <bgColor theme="3" tint="0.59999389629810485"/>
        </patternFill>
      </fill>
      <alignment vertical="center" readingOrder="0"/>
    </dxf>
  </rfmt>
  <rfmt sheetId="22" sqref="C12" start="0" length="0">
    <dxf>
      <font>
        <sz val="14"/>
        <color auto="1"/>
        <name val="Arial"/>
        <scheme val="none"/>
      </font>
      <fill>
        <patternFill patternType="solid">
          <bgColor theme="3" tint="0.59999389629810485"/>
        </patternFill>
      </fill>
      <alignment vertical="center" readingOrder="0"/>
    </dxf>
  </rfmt>
  <rfmt sheetId="22" sqref="D12" start="0" length="0">
    <dxf>
      <font>
        <sz val="14"/>
        <color auto="1"/>
        <name val="Arial"/>
        <scheme val="none"/>
      </font>
      <fill>
        <patternFill patternType="solid">
          <bgColor theme="3" tint="0.59999389629810485"/>
        </patternFill>
      </fill>
      <alignment vertical="center" readingOrder="0"/>
    </dxf>
  </rfmt>
  <rfmt sheetId="22" sqref="E12" start="0" length="0">
    <dxf>
      <font>
        <sz val="14"/>
        <color auto="1"/>
        <name val="Arial"/>
        <scheme val="none"/>
      </font>
      <fill>
        <patternFill patternType="solid">
          <bgColor theme="3" tint="0.59999389629810485"/>
        </patternFill>
      </fill>
      <alignment vertical="center" readingOrder="0"/>
    </dxf>
  </rfmt>
  <rfmt sheetId="22" sqref="F12" start="0" length="0">
    <dxf>
      <font>
        <sz val="14"/>
        <color auto="1"/>
        <name val="Arial"/>
        <scheme val="none"/>
      </font>
    </dxf>
  </rfmt>
  <rfmt sheetId="22" sqref="G12" start="0" length="0">
    <dxf>
      <font>
        <sz val="14"/>
        <color auto="1"/>
        <name val="Arial"/>
        <scheme val="none"/>
      </font>
    </dxf>
  </rfmt>
  <rfmt sheetId="22" sqref="H12" start="0" length="0">
    <dxf>
      <font>
        <sz val="14"/>
        <color auto="1"/>
        <name val="Arial"/>
        <scheme val="none"/>
      </font>
    </dxf>
  </rfmt>
  <rfmt sheetId="22" sqref="A12:XFD12" start="0" length="0">
    <dxf>
      <font>
        <sz val="14"/>
        <color auto="1"/>
        <name val="Arial"/>
        <scheme val="none"/>
      </font>
    </dxf>
  </rfmt>
  <rcc rId="479" sId="22" odxf="1" dxf="1">
    <nc r="A14" t="inlineStr">
      <is>
        <t>Indicative</t>
      </is>
    </nc>
    <odxf>
      <font>
        <b val="0"/>
        <sz val="10"/>
        <color auto="1"/>
        <name val="Arial"/>
        <scheme val="none"/>
      </font>
      <border outline="0">
        <left/>
        <right/>
        <top/>
        <bottom/>
      </border>
    </odxf>
    <ndxf>
      <font>
        <b/>
        <sz val="16"/>
        <color auto="1"/>
        <name val="Arial"/>
        <scheme val="none"/>
      </font>
      <border outline="0">
        <left style="thin">
          <color auto="1"/>
        </left>
        <right style="thin">
          <color auto="1"/>
        </right>
        <top style="thin">
          <color auto="1"/>
        </top>
        <bottom style="thin">
          <color auto="1"/>
        </bottom>
      </border>
    </ndxf>
  </rcc>
  <rfmt sheetId="22" sqref="A15" start="0" length="0">
    <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dxf>
  </rfmt>
  <rcc rId="480" sId="22" odxf="1" dxf="1">
    <nc r="B15">
      <v>2014</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481" sId="22" odxf="1" dxf="1">
    <nc r="C15">
      <v>2015</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482" sId="22" odxf="1" dxf="1">
    <nc r="D15">
      <v>2016</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483" sId="22" odxf="1" dxf="1">
    <nc r="E15" t="inlineStr">
      <is>
        <t>Total</t>
      </is>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fmt sheetId="22" sqref="F15" start="0" length="0">
    <dxf>
      <alignment vertical="center" readingOrder="0"/>
    </dxf>
  </rfmt>
  <rfmt sheetId="22" sqref="G15" start="0" length="0">
    <dxf>
      <alignment vertical="center" readingOrder="0"/>
    </dxf>
  </rfmt>
  <rfmt sheetId="22" sqref="H15" start="0" length="0">
    <dxf>
      <alignment vertical="center" readingOrder="0"/>
    </dxf>
  </rfmt>
  <rfmt sheetId="22" sqref="I15" start="0" length="0">
    <dxf>
      <alignment vertical="center" readingOrder="0"/>
    </dxf>
  </rfmt>
  <rfmt sheetId="22" sqref="J15" start="0" length="0">
    <dxf>
      <alignment vertical="center" readingOrder="0"/>
    </dxf>
  </rfmt>
  <rfmt sheetId="22" sqref="K15" start="0" length="0">
    <dxf>
      <alignment vertical="center" readingOrder="0"/>
    </dxf>
  </rfmt>
  <rfmt sheetId="22" sqref="L15" start="0" length="0">
    <dxf>
      <alignment vertical="center" readingOrder="0"/>
    </dxf>
  </rfmt>
  <rfmt sheetId="22" sqref="M15" start="0" length="0">
    <dxf>
      <alignment vertical="center" readingOrder="0"/>
    </dxf>
  </rfmt>
  <rfmt sheetId="22" sqref="N15" start="0" length="0">
    <dxf>
      <alignment vertical="center" readingOrder="0"/>
    </dxf>
  </rfmt>
  <rfmt sheetId="22" sqref="O15" start="0" length="0">
    <dxf>
      <alignment vertical="center" readingOrder="0"/>
    </dxf>
  </rfmt>
  <rfmt sheetId="22" sqref="A15:XFD15" start="0" length="0">
    <dxf>
      <alignment vertical="center" readingOrder="0"/>
    </dxf>
  </rfmt>
  <rcc rId="484" sId="22" odxf="1" dxf="1">
    <nc r="A16" t="inlineStr">
      <is>
        <t>DOTS</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16"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16"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16"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485" sId="22" odxf="1" dxf="1">
    <nc r="E16">
      <f>SUM(B16:D16)</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486" sId="22" odxf="1" dxf="1">
    <nc r="A17" t="inlineStr">
      <is>
        <t>MDR-TB</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17"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17"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17"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487" sId="22" odxf="1" dxf="1">
    <nc r="E17">
      <f>SUM(B17:D17)</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488" sId="22" odxf="1" dxf="1">
    <nc r="A18" t="inlineStr">
      <is>
        <t>TB-HIV</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18"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18"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18"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489" sId="22" odxf="1" dxf="1">
    <nc r="E18">
      <f>SUM(B18:D18)</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490" sId="22" odxf="1" dxf="1">
    <nc r="A19" t="inlineStr">
      <is>
        <t>M&amp;E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19"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19"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19"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491" sId="22" odxf="1" dxf="1">
    <nc r="E19">
      <f>SUM(B19:D19)</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492" sId="22" odxf="1" dxf="1">
    <nc r="A20" t="inlineStr">
      <is>
        <t>Program Management</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20"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20"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20"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493" sId="22" odxf="1" dxf="1">
    <nc r="E20">
      <f>SUM(B20:D20)</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494" sId="22" odxf="1" dxf="1">
    <nc r="A21" t="inlineStr">
      <is>
        <t>Total</t>
      </is>
    </nc>
    <odxf>
      <fill>
        <patternFill patternType="none">
          <bgColor indexed="65"/>
        </patternFill>
      </fill>
      <alignment vertical="bottom" readingOrder="0"/>
      <border outline="0">
        <left/>
        <right/>
        <top/>
        <bottom/>
      </border>
    </odxf>
    <ndxf>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95" sId="22" odxf="1" dxf="1">
    <nc r="B21">
      <f>SUM(B16:B20)</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96" sId="22" odxf="1" dxf="1">
    <nc r="C21">
      <f>SUM(C16:C20)</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97" sId="22" odxf="1" dxf="1">
    <nc r="D21">
      <f>SUM(D16:D20)</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498" sId="22" odxf="1" dxf="1">
    <nc r="E21">
      <f>SUM(B21:D21)</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fmt sheetId="22" sqref="H21" start="0" length="0">
    <dxf>
      <numFmt numFmtId="1" formatCode="0"/>
    </dxf>
  </rfmt>
  <rcc rId="499" sId="22" odxf="1" dxf="1">
    <nc r="A23" t="inlineStr">
      <is>
        <t>Above Indicative</t>
      </is>
    </nc>
    <odxf>
      <font>
        <b val="0"/>
        <sz val="10"/>
        <color auto="1"/>
        <name val="Arial"/>
        <scheme val="none"/>
      </font>
      <border outline="0">
        <left/>
        <right/>
        <top/>
        <bottom/>
      </border>
    </odxf>
    <ndxf>
      <font>
        <b/>
        <sz val="16"/>
        <color auto="1"/>
        <name val="Arial"/>
        <scheme val="none"/>
      </font>
      <border outline="0">
        <left style="thin">
          <color auto="1"/>
        </left>
        <right style="thin">
          <color auto="1"/>
        </right>
        <top style="thin">
          <color auto="1"/>
        </top>
        <bottom style="thin">
          <color auto="1"/>
        </bottom>
      </border>
    </ndxf>
  </rcc>
  <rfmt sheetId="22" sqref="A24" start="0" length="0">
    <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dxf>
  </rfmt>
  <rcc rId="500" sId="22" odxf="1" dxf="1">
    <nc r="B24">
      <v>2014</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01" sId="22" odxf="1" dxf="1">
    <nc r="C24">
      <v>2015</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02" sId="22" odxf="1" dxf="1">
    <nc r="D24">
      <v>2016</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03" sId="22" odxf="1" dxf="1">
    <nc r="E24" t="inlineStr">
      <is>
        <t>Total</t>
      </is>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04" sId="22" odxf="1" dxf="1">
    <nc r="A25" t="inlineStr">
      <is>
        <t>DOTS</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25"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25"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25"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505" sId="22" odxf="1" dxf="1">
    <nc r="E25">
      <f>SUM(B25:D25)</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06" sId="22" odxf="1" dxf="1">
    <nc r="A26" t="inlineStr">
      <is>
        <t>MDR-TB</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26"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26"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26"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507" sId="22" odxf="1" dxf="1">
    <nc r="E26">
      <f>SUM(B26:D26)</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08" sId="22" odxf="1" dxf="1">
    <nc r="A27" t="inlineStr">
      <is>
        <t>TB-HIV</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27"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27"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27"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509" sId="22" odxf="1" dxf="1">
    <nc r="E27">
      <f>SUM(B27:D27)</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10" sId="22" odxf="1" dxf="1">
    <nc r="A28" t="inlineStr">
      <is>
        <t>M&amp;E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28"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C28" start="0" length="0">
    <dxf>
      <numFmt numFmtId="168" formatCode="_(* #,##0_);_(* \(#,##0\);_(* &quot;-&quot;??_);_(@_)"/>
      <alignment vertical="center" readingOrder="0"/>
      <border outline="0">
        <left style="thin">
          <color auto="1"/>
        </left>
        <right style="thin">
          <color auto="1"/>
        </right>
        <top style="thin">
          <color auto="1"/>
        </top>
        <bottom style="thin">
          <color auto="1"/>
        </bottom>
      </border>
    </dxf>
  </rfmt>
  <rfmt sheetId="22" sqref="D28" start="0" length="0">
    <dxf>
      <numFmt numFmtId="168" formatCode="_(* #,##0_);_(* \(#,##0\);_(* &quot;-&quot;??_);_(@_)"/>
      <alignment vertical="center" readingOrder="0"/>
      <border outline="0">
        <left style="thin">
          <color auto="1"/>
        </left>
        <right style="thin">
          <color auto="1"/>
        </right>
        <top style="thin">
          <color auto="1"/>
        </top>
        <bottom style="thin">
          <color auto="1"/>
        </bottom>
      </border>
    </dxf>
  </rfmt>
  <rcc rId="511" sId="22" odxf="1" dxf="1">
    <nc r="E28">
      <f>SUM(B28:D28)</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12" sId="22" odxf="1" dxf="1">
    <nc r="A29" t="inlineStr">
      <is>
        <t>PM</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fmt sheetId="22" sqref="B29" start="0" length="0">
    <dxf>
      <alignment vertical="center" readingOrder="0"/>
      <border outline="0">
        <left style="thin">
          <color auto="1"/>
        </left>
        <right style="thin">
          <color auto="1"/>
        </right>
        <top style="thin">
          <color auto="1"/>
        </top>
        <bottom style="thin">
          <color auto="1"/>
        </bottom>
      </border>
    </dxf>
  </rfmt>
  <rfmt sheetId="22" sqref="C29" start="0" length="0">
    <dxf>
      <alignment vertical="center" readingOrder="0"/>
      <border outline="0">
        <left style="thin">
          <color auto="1"/>
        </left>
        <right style="thin">
          <color auto="1"/>
        </right>
        <top style="thin">
          <color auto="1"/>
        </top>
        <bottom style="thin">
          <color auto="1"/>
        </bottom>
      </border>
    </dxf>
  </rfmt>
  <rfmt sheetId="22" sqref="D29" start="0" length="0">
    <dxf>
      <alignment vertical="center" readingOrder="0"/>
      <border outline="0">
        <left style="thin">
          <color auto="1"/>
        </left>
        <right style="thin">
          <color auto="1"/>
        </right>
        <top style="thin">
          <color auto="1"/>
        </top>
        <bottom style="thin">
          <color auto="1"/>
        </bottom>
      </border>
    </dxf>
  </rfmt>
  <rcc rId="513" sId="22" odxf="1" dxf="1">
    <nc r="E29">
      <f>SUM(B29:D29)</f>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14" sId="22" odxf="1" dxf="1">
    <nc r="A30" t="inlineStr">
      <is>
        <t>Total</t>
      </is>
    </nc>
    <odxf>
      <fill>
        <patternFill patternType="none">
          <bgColor indexed="65"/>
        </patternFill>
      </fill>
      <alignment vertical="bottom" readingOrder="0"/>
      <border outline="0">
        <left/>
        <right/>
        <top/>
        <bottom/>
      </border>
    </odxf>
    <ndxf>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15" sId="22" odxf="1" dxf="1">
    <nc r="B30">
      <f>SUM(B25:B29)</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16" sId="22" odxf="1" dxf="1">
    <nc r="C30">
      <f>SUM(C25:C29)</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17" sId="22" odxf="1" dxf="1">
    <nc r="D30">
      <f>SUM(D25:D29)</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18" sId="22" odxf="1" dxf="1">
    <nc r="E30">
      <f>SUM(B30:D30)</f>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fmt sheetId="22" sqref="G30" start="0" length="0">
    <dxf>
      <numFmt numFmtId="1" formatCode="0"/>
    </dxf>
  </rfmt>
  <rfmt sheetId="22" sqref="H30" start="0" length="0">
    <dxf>
      <numFmt numFmtId="1" formatCode="0"/>
    </dxf>
  </rfmt>
  <rfmt sheetId="22" sqref="I30" start="0" length="0">
    <dxf>
      <numFmt numFmtId="1" formatCode="0"/>
    </dxf>
  </rfmt>
  <rcc rId="519" sId="22" odxf="1" dxf="1">
    <nc r="A32" t="inlineStr">
      <is>
        <t>Full Request</t>
      </is>
    </nc>
    <odxf>
      <font>
        <b val="0"/>
        <sz val="10"/>
        <color auto="1"/>
        <name val="Arial"/>
        <scheme val="none"/>
      </font>
      <border outline="0">
        <left/>
        <right/>
        <top/>
        <bottom/>
      </border>
    </odxf>
    <ndxf>
      <font>
        <b/>
        <sz val="16"/>
        <color auto="1"/>
        <name val="Arial"/>
        <scheme val="none"/>
      </font>
      <border outline="0">
        <left style="thin">
          <color auto="1"/>
        </left>
        <right style="thin">
          <color auto="1"/>
        </right>
        <top style="thin">
          <color auto="1"/>
        </top>
        <bottom style="thin">
          <color auto="1"/>
        </bottom>
      </border>
    </ndxf>
  </rcc>
  <rfmt sheetId="22" sqref="A33" start="0" length="0">
    <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dxf>
  </rfmt>
  <rcc rId="520" sId="22" odxf="1" dxf="1">
    <nc r="B33">
      <v>2014</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21" sId="22" odxf="1" dxf="1">
    <nc r="C33">
      <v>2015</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22" sId="22" odxf="1" dxf="1">
    <nc r="D33">
      <v>2016</v>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23" sId="22" odxf="1" dxf="1">
    <nc r="E33" t="inlineStr">
      <is>
        <t>Total</t>
      </is>
    </nc>
    <odxf>
      <font>
        <b val="0"/>
        <sz val="10"/>
        <color auto="1"/>
        <name val="Arial"/>
        <scheme val="none"/>
      </font>
      <alignment horizontal="general" vertical="bottom" readingOrder="0"/>
      <border outline="0">
        <left/>
        <right/>
        <top/>
        <bottom/>
      </border>
    </odxf>
    <ndxf>
      <font>
        <b/>
        <sz val="10"/>
        <color auto="1"/>
        <name val="Arial"/>
        <scheme val="none"/>
      </font>
      <alignment horizontal="center" vertical="center" readingOrder="0"/>
      <border outline="0">
        <left style="thin">
          <color auto="1"/>
        </left>
        <right style="thin">
          <color auto="1"/>
        </right>
        <top style="thin">
          <color auto="1"/>
        </top>
        <bottom style="thin">
          <color auto="1"/>
        </bottom>
      </border>
    </ndxf>
  </rcc>
  <rcc rId="524" sId="22" odxf="1" dxf="1">
    <nc r="A34" t="inlineStr">
      <is>
        <t>DOTS</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525" sId="22" odxf="1" dxf="1" numFmtId="34">
    <nc r="B34">
      <v>2988710.6734146345</v>
    </nc>
    <odxf>
      <numFmt numFmtId="0" formatCode="General"/>
      <alignment vertical="bottom" readingOrder="0"/>
      <border outline="0">
        <right/>
        <top/>
        <bottom/>
      </border>
    </odxf>
    <ndxf>
      <numFmt numFmtId="168" formatCode="_(* #,##0_);_(* \(#,##0\);_(* &quot;-&quot;??_);_(@_)"/>
      <alignment vertical="center" readingOrder="0"/>
      <border outline="0">
        <right style="thin">
          <color auto="1"/>
        </right>
        <top style="thin">
          <color auto="1"/>
        </top>
        <bottom style="thin">
          <color auto="1"/>
        </bottom>
      </border>
    </ndxf>
  </rcc>
  <rcc rId="526" sId="22" odxf="1" dxf="1" numFmtId="34">
    <nc r="C34">
      <v>3312535.3160975613</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27" sId="22" odxf="1" dxf="1" numFmtId="34">
    <nc r="D34">
      <v>3038071.3019512198</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28" sId="22" odxf="1" dxf="1" numFmtId="34">
    <nc r="E34">
      <v>9339317.2914634161</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29" sId="22" odxf="1" dxf="1">
    <nc r="A35" t="inlineStr">
      <is>
        <t>MDR-TB</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530" sId="22" odxf="1" dxf="1" numFmtId="34">
    <nc r="B35">
      <v>21809601.862198427</v>
    </nc>
    <odxf>
      <numFmt numFmtId="0" formatCode="General"/>
      <alignment vertical="bottom" readingOrder="0"/>
      <border outline="0">
        <right/>
        <top/>
        <bottom/>
      </border>
    </odxf>
    <ndxf>
      <numFmt numFmtId="168" formatCode="_(* #,##0_);_(* \(#,##0\);_(* &quot;-&quot;??_);_(@_)"/>
      <alignment vertical="center" readingOrder="0"/>
      <border outline="0">
        <right style="thin">
          <color auto="1"/>
        </right>
        <top style="thin">
          <color auto="1"/>
        </top>
        <bottom style="thin">
          <color auto="1"/>
        </bottom>
      </border>
    </ndxf>
  </rcc>
  <rcc rId="531" sId="22" odxf="1" dxf="1" numFmtId="34">
    <nc r="C35">
      <v>23006081.043330021</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32" sId="22" odxf="1" dxf="1" numFmtId="34">
    <nc r="D35">
      <v>26193974.217030331</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33" sId="22" odxf="1" dxf="1" numFmtId="34">
    <nc r="E35">
      <v>71009657.122558773</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34" sId="22" odxf="1" dxf="1">
    <nc r="A36" t="inlineStr">
      <is>
        <t>TB-HIV</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535" sId="22" odxf="1" dxf="1" numFmtId="34">
    <nc r="B36">
      <v>295754.19</v>
    </nc>
    <odxf>
      <numFmt numFmtId="0" formatCode="General"/>
      <alignment vertical="bottom" readingOrder="0"/>
      <border outline="0">
        <right/>
        <top/>
        <bottom/>
      </border>
    </odxf>
    <ndxf>
      <numFmt numFmtId="168" formatCode="_(* #,##0_);_(* \(#,##0\);_(* &quot;-&quot;??_);_(@_)"/>
      <alignment vertical="center" readingOrder="0"/>
      <border outline="0">
        <right style="thin">
          <color auto="1"/>
        </right>
        <top style="thin">
          <color auto="1"/>
        </top>
        <bottom style="thin">
          <color auto="1"/>
        </bottom>
      </border>
    </ndxf>
  </rcc>
  <rcc rId="536" sId="22" odxf="1" dxf="1" numFmtId="34">
    <nc r="C36">
      <v>272403.03999999998</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37" sId="22" odxf="1" dxf="1" numFmtId="34">
    <nc r="D36">
      <v>249594.31</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38" sId="22" odxf="1" dxf="1" numFmtId="34">
    <nc r="E36">
      <v>817751.54</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39" sId="22" odxf="1" dxf="1">
    <nc r="A37" t="inlineStr">
      <is>
        <t>M&amp;E</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540" sId="22" odxf="1" dxf="1" numFmtId="34">
    <nc r="B37">
      <v>1495857.94</v>
    </nc>
    <odxf>
      <numFmt numFmtId="0" formatCode="General"/>
      <alignment vertical="bottom" readingOrder="0"/>
      <border outline="0">
        <right/>
        <top/>
        <bottom/>
      </border>
    </odxf>
    <ndxf>
      <numFmt numFmtId="168" formatCode="_(* #,##0_);_(* \(#,##0\);_(* &quot;-&quot;??_);_(@_)"/>
      <alignment vertical="center" readingOrder="0"/>
      <border outline="0">
        <right style="thin">
          <color auto="1"/>
        </right>
        <top style="thin">
          <color auto="1"/>
        </top>
        <bottom style="thin">
          <color auto="1"/>
        </bottom>
      </border>
    </ndxf>
  </rcc>
  <rcc rId="541" sId="22" odxf="1" dxf="1" numFmtId="34">
    <nc r="C37">
      <v>1435600.65</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42" sId="22" odxf="1" dxf="1" numFmtId="34">
    <nc r="D37">
      <v>1518718.65</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43" sId="22" odxf="1" dxf="1" numFmtId="34">
    <nc r="E37">
      <v>4450177.24</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44" sId="22" odxf="1" dxf="1">
    <nc r="A38" t="inlineStr">
      <is>
        <t>Program Management</t>
      </is>
    </nc>
    <odxf>
      <fill>
        <patternFill patternType="none">
          <bgColor indexed="65"/>
        </patternFill>
      </fill>
      <alignment vertical="bottom" readingOrder="0"/>
      <border outline="0">
        <left/>
        <right/>
        <top/>
        <bottom/>
      </border>
    </odxf>
    <ndxf>
      <fill>
        <patternFill patternType="solid">
          <bgColor theme="4" tint="0.79998168889431442"/>
        </patternFill>
      </fill>
      <alignment vertical="center" readingOrder="0"/>
      <border outline="0">
        <left style="thin">
          <color auto="1"/>
        </left>
        <right style="thin">
          <color auto="1"/>
        </right>
        <top style="thin">
          <color auto="1"/>
        </top>
        <bottom style="thin">
          <color auto="1"/>
        </bottom>
      </border>
    </ndxf>
  </rcc>
  <rcc rId="545" sId="22" odxf="1" dxf="1" numFmtId="34">
    <nc r="B38">
      <v>3054999</v>
    </nc>
    <odxf>
      <numFmt numFmtId="0" formatCode="General"/>
      <alignment vertical="bottom" readingOrder="0"/>
      <border outline="0">
        <right/>
        <top/>
        <bottom/>
      </border>
    </odxf>
    <ndxf>
      <numFmt numFmtId="168" formatCode="_(* #,##0_);_(* \(#,##0\);_(* &quot;-&quot;??_);_(@_)"/>
      <alignment vertical="center" readingOrder="0"/>
      <border outline="0">
        <right style="thin">
          <color auto="1"/>
        </right>
        <top style="thin">
          <color auto="1"/>
        </top>
        <bottom style="thin">
          <color auto="1"/>
        </bottom>
      </border>
    </ndxf>
  </rcc>
  <rcc rId="546" sId="22" odxf="1" dxf="1" numFmtId="34">
    <nc r="C38">
      <v>2946845</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47" sId="22" odxf="1" dxf="1" numFmtId="34">
    <nc r="D38">
      <v>3031529</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48" sId="22" odxf="1" dxf="1" numFmtId="34">
    <nc r="E38">
      <v>9033373</v>
    </nc>
    <odxf>
      <numFmt numFmtId="0" formatCode="General"/>
      <alignment vertical="bottom" readingOrder="0"/>
      <border outline="0">
        <left/>
        <right/>
        <top/>
        <bottom/>
      </border>
    </odxf>
    <ndxf>
      <numFmt numFmtId="168" formatCode="_(* #,##0_);_(* \(#,##0\);_(* &quot;-&quot;??_);_(@_)"/>
      <alignment vertical="center" readingOrder="0"/>
      <border outline="0">
        <left style="thin">
          <color auto="1"/>
        </left>
        <right style="thin">
          <color auto="1"/>
        </right>
        <top style="thin">
          <color auto="1"/>
        </top>
        <bottom style="thin">
          <color auto="1"/>
        </bottom>
      </border>
    </ndxf>
  </rcc>
  <rcc rId="549" sId="22" odxf="1" dxf="1">
    <nc r="A39" t="inlineStr">
      <is>
        <t>Total</t>
      </is>
    </nc>
    <odxf>
      <fill>
        <patternFill patternType="none">
          <bgColor indexed="65"/>
        </patternFill>
      </fill>
      <alignment vertical="bottom" readingOrder="0"/>
      <border outline="0">
        <left/>
        <right/>
        <top/>
        <bottom/>
      </border>
    </odxf>
    <ndxf>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50" sId="22" odxf="1" dxf="1" numFmtId="34">
    <nc r="B39">
      <v>29644923.665613066</v>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51" sId="22" odxf="1" dxf="1" numFmtId="34">
    <nc r="C39">
      <v>30973465.049427576</v>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52" sId="22" odxf="1" dxf="1" numFmtId="34">
    <nc r="D39">
      <v>34031887.478981547</v>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53" sId="22" odxf="1" dxf="1" numFmtId="34">
    <nc r="E39">
      <v>94650276.194022194</v>
    </nc>
    <odxf>
      <font>
        <b val="0"/>
        <sz val="10"/>
        <color auto="1"/>
        <name val="Arial"/>
        <scheme val="none"/>
      </font>
      <numFmt numFmtId="0" formatCode="General"/>
      <fill>
        <patternFill patternType="none">
          <bgColor indexed="65"/>
        </patternFill>
      </fill>
      <alignment vertical="bottom" readingOrder="0"/>
      <border outline="0">
        <left/>
        <right/>
        <top/>
        <bottom/>
      </border>
    </odxf>
    <ndxf>
      <font>
        <b/>
        <sz val="10"/>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cc rId="554" sId="22" numFmtId="34">
    <nc r="B4">
      <f>'Concept Note'!F87</f>
    </nc>
  </rcc>
  <rcc rId="555" sId="22">
    <nc r="D4">
      <f>'Concept Note'!Q87:R87</f>
    </nc>
  </rcc>
  <rcc rId="556" sId="22">
    <nc r="D4">
      <f>'Concept Note'!Q87:R87</f>
    </nc>
  </rcc>
  <rfmt sheetId="22" sqref="D4:D8">
    <dxf>
      <numFmt numFmtId="3" formatCode="#,##0"/>
    </dxf>
  </rfmt>
  <rcc rId="557" sId="22">
    <nc r="D4">
      <f>'Concept Note'!Q87:R87</f>
    </nc>
  </rcc>
  <rcc rId="558" sId="22">
    <nc r="D4">
      <f>'NEW SUMMARY BUDGET'!Q87:R87</f>
    </nc>
  </rcc>
  <rcc rId="559" sId="22">
    <nc r="B5">
      <f>'Concept Note'!F122</f>
    </nc>
  </rcc>
  <rcc rId="560" sId="22">
    <nc r="D5">
      <f>'Concept Note'!Q122:R122</f>
    </nc>
  </rcc>
  <rfmt sheetId="22" sqref="D4:D5">
    <dxf>
      <numFmt numFmtId="30" formatCode="@"/>
    </dxf>
  </rfmt>
  <rfmt sheetId="22" sqref="D4:D5">
    <dxf>
      <numFmt numFmtId="2" formatCode="0.00"/>
    </dxf>
  </rfmt>
  <rcc rId="561" sId="22">
    <nc r="B16">
      <f>'Concept Note'!M90:N90</f>
    </nc>
  </rcc>
  <rcc rId="562" sId="22">
    <nc r="B16">
      <f>'Concept Note'!M90:N90</f>
    </nc>
  </rcc>
  <rcc rId="563" sId="22">
    <nc r="C16">
      <f>'Concept Note'!O90:P90</f>
    </nc>
  </rcc>
  <rcc rId="564" sId="22">
    <nc r="B16">
      <f>'Concept Note'!M90:N90</f>
    </nc>
  </rcc>
  <rcc rId="565" sId="22">
    <nc r="B16">
      <f>'Concept Note'!M90</f>
    </nc>
  </rcc>
  <rcc rId="566" sId="22">
    <nc r="C16">
      <f>'Concept Note'!O90</f>
    </nc>
  </rcc>
  <rcc rId="567" sId="22">
    <nc r="D16">
      <f>'Concept Note'!Q90:R90</f>
    </nc>
  </rcc>
  <rcc rId="568" sId="22">
    <nc r="D16">
      <f>'Concept Note'!Q90</f>
    </nc>
  </rcc>
  <rcc rId="569" sId="22">
    <nc r="B25">
      <f>'NEW SUMMARY BUDGET'!B16+'Concept Note'!M94+'Concept Note'!M98</f>
    </nc>
  </rcc>
  <rcc rId="570" sId="22">
    <nc r="B16">
      <f>'Concept Note'!M90+'Concept Note'!M94+'Concept Note'!M98</f>
    </nc>
  </rcc>
  <rcc rId="571" sId="22">
    <nc r="C25">
      <f>'NEW SUMMARY BUDGET'!C16+'Concept Note'!N94+'Concept Note'!N98</f>
    </nc>
  </rcc>
  <rcc rId="572" sId="22">
    <nc r="D25">
      <f>'NEW SUMMARY BUDGET'!D16+'Concept Note'!O94+'Concept Note'!O98</f>
    </nc>
  </rcc>
  <rcc rId="573" sId="22">
    <nc r="C25">
      <f>'Concept Note'!O90+'Concept Note'!O94+'Concept Note'!O98:P98</f>
    </nc>
  </rcc>
  <rcc rId="574" sId="22">
    <nc r="C25">
      <f>'Concept Note'!O90+'Concept Note'!O94+'Concept Note'!O98</f>
    </nc>
  </rcc>
  <rcc rId="575" sId="22">
    <nc r="D25">
      <f>'Concept Note'!Q90+'Concept Note'!Q94+'Concept Note'!Q98</f>
    </nc>
  </rcc>
  <rcc rId="576" sId="22">
    <nc r="C16">
      <f>'Concept Note'!N90+'Concept Note'!N94+'Concept Note'!N98</f>
    </nc>
  </rcc>
  <rcc rId="577" sId="22">
    <nc r="C16">
      <f>'Concept Note'!O90+'Concept Note'!O94+'Concept Note'!O98</f>
    </nc>
  </rcc>
  <rcc rId="578" sId="22">
    <nc r="D16">
      <f>'Concept Note'!P90+'Concept Note'!P94+'Concept Note'!P98</f>
    </nc>
  </rcc>
  <rcc rId="579" sId="22">
    <nc r="D16">
      <f>'Concept Note'!Q90+'Concept Note'!Q94+'Concept Note'!Q98</f>
    </nc>
  </rcc>
  <rcc rId="580" sId="22">
    <nc r="B25">
      <f>'Concept Note'!M99+'Concept Note'!M103+'Concept Note'!M107</f>
    </nc>
  </rcc>
  <rcc rId="581" sId="22">
    <nc r="C25">
      <f>'Concept Note'!O99+'Concept Note'!O103+'Concept Note'!O107</f>
    </nc>
  </rcc>
  <rcc rId="582" sId="22">
    <nc r="D25">
      <f>'Concept Note'!Q99+'Concept Note'!Q103+'Concept Note'!Q107</f>
    </nc>
  </rcc>
  <rcc rId="583" sId="22">
    <nc r="B25">
      <f>'Concept Note'!M91+'Concept Note'!M103+'Concept Note'!M107</f>
    </nc>
  </rcc>
  <rcc rId="584" sId="22">
    <nc r="B25">
      <f>'Concept Note'!M91+'Concept Note'!M95+'Concept Note'!M99</f>
    </nc>
  </rcc>
  <rcc rId="585" sId="22">
    <nc r="C25">
      <f>'Concept Note'!O91+'Concept Note'!O95+'Concept Note'!O99</f>
    </nc>
  </rcc>
  <rcc rId="586" sId="22">
    <nc r="D25">
      <f>'Concept Note'!Q91+'Concept Note'!Q95+'Concept Note'!Q99</f>
    </nc>
  </rcc>
  <rcv guid="{CE0E8020-2C9F-41F1-9136-031F56EB2C71}" action="delete"/>
  <rdn rId="0" localSheetId="5" customView="1" name="Z_CE0E8020_2C9F_41F1_9136_031F56EB2C71_.wvu.PrintArea" hidden="1" oldHidden="1">
    <formula>'Concept Note'!$A$1:$AB$256</formula>
    <oldFormula>'Concept Note'!$A$1:$AB$256</oldFormula>
  </rdn>
  <rdn rId="0" localSheetId="5" customView="1" name="Z_CE0E8020_2C9F_41F1_9136_031F56EB2C71_.wvu.Cols" hidden="1" oldHidden="1">
    <formula>'Concept Note'!$AJ:$AO</formula>
    <oldFormula>'Concept Note'!$AJ:$AO</oldFormula>
  </rdn>
  <rdn rId="0" localSheetId="6" customView="1" name="Z_CE0E8020_2C9F_41F1_9136_031F56EB2C71_.wvu.Cols" hidden="1" oldHidden="1">
    <formula>'Summary budget'!$A:$I</formula>
    <oldFormula>'Summary budget'!$A:$I</oldFormula>
  </rdn>
  <rcv guid="{CE0E8020-2C9F-41F1-9136-031F56EB2C71}"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0" sId="22">
    <nc r="B17">
      <f>'Concept Note'!M125+'Concept Note'!M129+'Concept Note'!M137+'Concept Note'!M141</f>
    </nc>
  </rcc>
  <rcc rId="591" sId="22">
    <nc r="C17">
      <f>'Concept Note'!O125+'Concept Note'!O129+'Concept Note'!O137+'Concept Note'!O141</f>
    </nc>
  </rcc>
  <rcc rId="592" sId="22">
    <nc r="D17">
      <f>'Concept Note'!Q125+'Concept Note'!Q129+'Concept Note'!Q137+'Concept Note'!Q141</f>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3" sId="22">
    <nc r="B26">
      <f>'Concept Note'!M126+'Concept Note'!M130+'Concept Note'!M138+'Concept Note'!M142</f>
    </nc>
  </rcc>
  <rcc rId="594" sId="22">
    <nc r="C26">
      <f>'Concept Note'!O126+'Concept Note'!O130+'Concept Note'!O138+'Concept Note'!O142</f>
    </nc>
  </rcc>
  <rcc rId="595" sId="22">
    <nc r="D26">
      <f>'Concept Note'!Q126+'Concept Note'!Q130+'Concept Note'!Q138+'Concept Note'!Q142</f>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 sId="22">
    <nc r="B18">
      <f>'Concept Note'!M172+'Concept Note'!M176</f>
    </nc>
  </rcc>
  <rcc rId="597" sId="22">
    <nc r="C18">
      <f>'Concept Note'!O172+'Concept Note'!O176</f>
    </nc>
  </rcc>
  <rcc rId="598" sId="22">
    <nc r="D18">
      <f>'Concept Note'!Q172+'Concept Note'!Q176</f>
    </nc>
  </rcc>
  <rcc rId="599" sId="22" numFmtId="34">
    <nc r="B27">
      <v>0</v>
    </nc>
  </rcc>
  <rcc rId="600" sId="22" numFmtId="34">
    <nc r="C27">
      <v>0</v>
    </nc>
  </rcc>
  <rcc rId="601" sId="22" numFmtId="34">
    <nc r="D27">
      <v>0</v>
    </nc>
  </rcc>
  <rcc rId="602" sId="22">
    <nc r="B19">
      <f>'Concept Note'!M199+'Concept Note'!M203+'Concept Note'!M207+'Concept Note'!M211+'Concept Note'!M215+'Concept Note'!M219+'Concept Note'!M223+'Concept Note'!M227</f>
    </nc>
  </rcc>
  <rcc rId="603" sId="22">
    <nc r="C19">
      <f>'Concept Note'!O199+'Concept Note'!O203+'Concept Note'!O207+'Concept Note'!O211+'Concept Note'!O215+'Concept Note'!O219+'Concept Note'!O223+'Concept Note'!O227</f>
    </nc>
  </rcc>
  <rcc rId="604" sId="22">
    <nc r="D19">
      <f>'Concept Note'!Q199+'Concept Note'!Q203+'Concept Note'!Q207+'Concept Note'!Q211+'Concept Note'!Q215+'Concept Note'!Q219+'Concept Note'!Q223+'Concept Note'!Q227</f>
    </nc>
  </rcc>
  <rcc rId="605" sId="22">
    <nc r="B28">
      <f>'Concept Note'!M200+'Concept Note'!M204+'Concept Note'!M208+'Concept Note'!M212+'Concept Note'!M216+'Concept Note'!M220+'Concept Note'!M224+'Concept Note'!M228</f>
    </nc>
  </rcc>
  <rcc rId="606" sId="22">
    <nc r="C28">
      <f>'Concept Note'!O200+'Concept Note'!O204+'Concept Note'!O208+'Concept Note'!O212+'Concept Note'!O216+'Concept Note'!O220+'Concept Note'!O224+'Concept Note'!O228</f>
    </nc>
  </rcc>
  <rcc rId="607" sId="22">
    <nc r="D28">
      <f>'Concept Note'!Q200+'Concept Note'!Q204+'Concept Note'!Q208+'Concept Note'!Q212+'Concept Note'!Q216+'Concept Note'!Q220+'Concept Note'!Q224+'Concept Note'!Q228</f>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 sId="22">
    <nc r="B20">
      <f>'Concept Note'!M244+'Concept Note'!M248+'Concept Note'!M252</f>
    </nc>
  </rcc>
  <rcc rId="609" sId="22">
    <nc r="C20">
      <f>'Concept Note'!O244+'Concept Note'!O248+'Concept Note'!O252</f>
    </nc>
  </rcc>
  <rcc rId="610" sId="22">
    <nc r="D20">
      <f>'Concept Note'!Q244+'Concept Note'!Q248+'Concept Note'!Q252</f>
    </nc>
  </rcc>
  <rcc rId="611" sId="22">
    <nc r="B29">
      <v>0</v>
    </nc>
  </rcc>
  <rcc rId="612" sId="22">
    <nc r="C29">
      <v>0</v>
    </nc>
  </rcc>
  <rcc rId="613" sId="22">
    <nc r="D29">
      <v>0</v>
    </nc>
  </rcc>
  <rcc rId="614" sId="22" numFmtId="34">
    <oc r="B34">
      <v>2988710.6734146345</v>
    </oc>
    <nc r="B34"/>
  </rcc>
  <rcc rId="615" sId="22" numFmtId="34">
    <oc r="C34">
      <v>3312535.3160975613</v>
    </oc>
    <nc r="C34"/>
  </rcc>
  <rcc rId="616" sId="22" numFmtId="34">
    <oc r="D34">
      <v>3038071.3019512198</v>
    </oc>
    <nc r="D34"/>
  </rcc>
  <rcc rId="617" sId="22" numFmtId="34">
    <oc r="B35">
      <v>21809601.862198427</v>
    </oc>
    <nc r="B35"/>
  </rcc>
  <rcc rId="618" sId="22" numFmtId="34">
    <oc r="C35">
      <v>23006081.043330021</v>
    </oc>
    <nc r="C35"/>
  </rcc>
  <rcc rId="619" sId="22" numFmtId="34">
    <oc r="D35">
      <v>26193974.217030331</v>
    </oc>
    <nc r="D35"/>
  </rcc>
  <rcc rId="620" sId="22" numFmtId="34">
    <oc r="B36">
      <v>295754.19</v>
    </oc>
    <nc r="B36"/>
  </rcc>
  <rcc rId="621" sId="22" numFmtId="34">
    <oc r="C36">
      <v>272403.03999999998</v>
    </oc>
    <nc r="C36"/>
  </rcc>
  <rcc rId="622" sId="22" numFmtId="34">
    <oc r="D36">
      <v>249594.31</v>
    </oc>
    <nc r="D36"/>
  </rcc>
  <rcc rId="623" sId="22" numFmtId="34">
    <oc r="B37">
      <v>1495857.94</v>
    </oc>
    <nc r="B37"/>
  </rcc>
  <rcc rId="624" sId="22" numFmtId="34">
    <oc r="C37">
      <v>1435600.65</v>
    </oc>
    <nc r="C37"/>
  </rcc>
  <rcc rId="625" sId="22" numFmtId="34">
    <oc r="D37">
      <v>1518718.65</v>
    </oc>
    <nc r="D37"/>
  </rcc>
  <rcc rId="626" sId="22" numFmtId="34">
    <oc r="B38">
      <v>3054999</v>
    </oc>
    <nc r="B38"/>
  </rcc>
  <rcc rId="627" sId="22" numFmtId="34">
    <oc r="C38">
      <v>2946845</v>
    </oc>
    <nc r="C38"/>
  </rcc>
  <rcc rId="628" sId="22" numFmtId="34">
    <oc r="D38">
      <v>3031529</v>
    </oc>
    <nc r="D38"/>
  </rcc>
  <rcc rId="629" sId="22">
    <oc r="B4">
      <f>'Concept Note'!F87</f>
    </oc>
    <nc r="B4">
      <f>E16</f>
    </nc>
  </rcc>
  <rcc rId="630" sId="22">
    <oc r="B5">
      <f>'Concept Note'!F122</f>
    </oc>
    <nc r="B5">
      <f>E17</f>
    </nc>
  </rcc>
  <rcc rId="631" sId="22">
    <nc r="B6">
      <f>E18</f>
    </nc>
  </rcc>
  <rcc rId="632" sId="22">
    <nc r="B7">
      <f>E19</f>
    </nc>
  </rcc>
  <rcc rId="633" sId="22">
    <nc r="B8">
      <f>E20</f>
    </nc>
  </rcc>
  <rcc rId="634" sId="22">
    <oc r="D4">
      <f>'NEW SUMMARY BUDGET'!Q87:R87</f>
    </oc>
    <nc r="D4">
      <f>E25</f>
    </nc>
  </rcc>
  <rcc rId="635" sId="22">
    <oc r="D5">
      <f>'Concept Note'!Q122:R122</f>
    </oc>
    <nc r="D5">
      <f>E26</f>
    </nc>
  </rcc>
  <rcc rId="636" sId="22">
    <nc r="D6">
      <f>E27</f>
    </nc>
  </rcc>
  <rcc rId="637" sId="22">
    <nc r="D7">
      <f>E28</f>
    </nc>
  </rcc>
  <rcc rId="638" sId="22">
    <nc r="D8">
      <f>E29</f>
    </nc>
  </rcc>
  <rfmt sheetId="22" sqref="D4:D8">
    <dxf>
      <numFmt numFmtId="3" formatCode="#,##0"/>
    </dxf>
  </rfmt>
  <rcv guid="{CE0E8020-2C9F-41F1-9136-031F56EB2C71}" action="delete"/>
  <rdn rId="0" localSheetId="5" customView="1" name="Z_CE0E8020_2C9F_41F1_9136_031F56EB2C71_.wvu.PrintArea" hidden="1" oldHidden="1">
    <formula>'Concept Note'!$A$1:$AB$256</formula>
    <oldFormula>'Concept Note'!$A$1:$AB$256</oldFormula>
  </rdn>
  <rdn rId="0" localSheetId="5" customView="1" name="Z_CE0E8020_2C9F_41F1_9136_031F56EB2C71_.wvu.Cols" hidden="1" oldHidden="1">
    <formula>'Concept Note'!$AJ:$AO</formula>
    <oldFormula>'Concept Note'!$AJ:$AO</oldFormula>
  </rdn>
  <rdn rId="0" localSheetId="6" customView="1" name="Z_CE0E8020_2C9F_41F1_9136_031F56EB2C71_.wvu.Cols" hidden="1" oldHidden="1">
    <formula>'Summary budget'!$A:$I</formula>
    <oldFormula>'Summary budget'!$A:$I</oldFormula>
  </rdn>
  <rcv guid="{CE0E8020-2C9F-41F1-9136-031F56EB2C71}"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22">
    <nc r="B34">
      <f>B16+B25</f>
    </nc>
  </rcc>
  <rcc rId="643" sId="22" odxf="1" dxf="1">
    <nc r="C34">
      <f>C16+C25</f>
    </nc>
    <odxf>
      <border outline="0">
        <left style="thin">
          <color auto="1"/>
        </left>
      </border>
    </odxf>
    <ndxf>
      <border outline="0">
        <left/>
      </border>
    </ndxf>
  </rcc>
  <rcc rId="644" sId="22" odxf="1" dxf="1">
    <nc r="D34">
      <f>D16+D25</f>
    </nc>
    <odxf>
      <border outline="0">
        <left style="thin">
          <color auto="1"/>
        </left>
      </border>
    </odxf>
    <ndxf>
      <border outline="0">
        <left/>
      </border>
    </ndxf>
  </rcc>
  <rcc rId="645" sId="22">
    <nc r="B35">
      <f>B17+B26</f>
    </nc>
  </rcc>
  <rcc rId="646" sId="22">
    <nc r="B36">
      <f>B18+B27</f>
    </nc>
  </rcc>
  <rcc rId="647" sId="22">
    <nc r="B37">
      <f>B19+B28</f>
    </nc>
  </rcc>
  <rcc rId="648" sId="22">
    <nc r="B38">
      <f>B20+B29</f>
    </nc>
  </rcc>
  <rcc rId="649" sId="22" odxf="1" dxf="1">
    <nc r="C35">
      <f>C17+C26</f>
    </nc>
    <odxf>
      <border outline="0">
        <left style="thin">
          <color auto="1"/>
        </left>
      </border>
    </odxf>
    <ndxf>
      <border outline="0">
        <left/>
      </border>
    </ndxf>
  </rcc>
  <rcc rId="650" sId="22" odxf="1" dxf="1">
    <nc r="D35">
      <f>D17+D26</f>
    </nc>
    <odxf>
      <border outline="0">
        <left style="thin">
          <color auto="1"/>
        </left>
      </border>
    </odxf>
    <ndxf>
      <border outline="0">
        <left/>
      </border>
    </ndxf>
  </rcc>
  <rcc rId="651" sId="22" odxf="1" dxf="1">
    <nc r="C36">
      <f>C18+C27</f>
    </nc>
    <odxf>
      <border outline="0">
        <left style="thin">
          <color auto="1"/>
        </left>
      </border>
    </odxf>
    <ndxf>
      <border outline="0">
        <left/>
      </border>
    </ndxf>
  </rcc>
  <rcc rId="652" sId="22" odxf="1" dxf="1">
    <nc r="D36">
      <f>D18+D27</f>
    </nc>
    <odxf>
      <border outline="0">
        <left style="thin">
          <color auto="1"/>
        </left>
      </border>
    </odxf>
    <ndxf>
      <border outline="0">
        <left/>
      </border>
    </ndxf>
  </rcc>
  <rcc rId="653" sId="22" odxf="1" dxf="1">
    <nc r="C37">
      <f>C19+C28</f>
    </nc>
    <odxf>
      <border outline="0">
        <left style="thin">
          <color auto="1"/>
        </left>
      </border>
    </odxf>
    <ndxf>
      <border outline="0">
        <left/>
      </border>
    </ndxf>
  </rcc>
  <rcc rId="654" sId="22" odxf="1" dxf="1">
    <nc r="D37">
      <f>D19+D28</f>
    </nc>
    <odxf>
      <border outline="0">
        <left style="thin">
          <color auto="1"/>
        </left>
      </border>
    </odxf>
    <ndxf>
      <border outline="0">
        <left/>
      </border>
    </ndxf>
  </rcc>
  <rcc rId="655" sId="22" odxf="1" dxf="1">
    <nc r="C38">
      <f>C20+C29</f>
    </nc>
    <odxf>
      <border outline="0">
        <left style="thin">
          <color auto="1"/>
        </left>
      </border>
    </odxf>
    <ndxf>
      <border outline="0">
        <left/>
      </border>
    </ndxf>
  </rcc>
  <rcc rId="656" sId="22" odxf="1" dxf="1">
    <nc r="D38">
      <f>D20+D29</f>
    </nc>
    <odxf>
      <border outline="0">
        <left style="thin">
          <color auto="1"/>
        </left>
      </border>
    </odxf>
    <ndxf>
      <border outline="0">
        <left/>
      </border>
    </ndxf>
  </rcc>
  <rcc rId="657" sId="22" numFmtId="34">
    <oc r="E34">
      <v>9339317.2914634161</v>
    </oc>
    <nc r="E34">
      <f>SUM(B34:D34)</f>
    </nc>
  </rcc>
  <rcc rId="658" sId="22" numFmtId="34">
    <oc r="E35">
      <v>71009657.122558773</v>
    </oc>
    <nc r="E35">
      <f>SUM(B35:D35)</f>
    </nc>
  </rcc>
  <rcc rId="659" sId="22" numFmtId="34">
    <oc r="E36">
      <v>817751.54</v>
    </oc>
    <nc r="E36">
      <f>SUM(B36:D36)</f>
    </nc>
  </rcc>
  <rcc rId="660" sId="22" numFmtId="34">
    <oc r="E37">
      <v>4450177.24</v>
    </oc>
    <nc r="E37">
      <f>SUM(B37:D37)</f>
    </nc>
  </rcc>
  <rcc rId="661" sId="22" numFmtId="34">
    <oc r="E38">
      <v>9033373</v>
    </oc>
    <nc r="E38">
      <f>SUM(B38:D38)</f>
    </nc>
  </rcc>
  <rcc rId="662" sId="22" numFmtId="34">
    <oc r="E39">
      <v>94650276.194022194</v>
    </oc>
    <nc r="E39">
      <f>SUM(E34:E38)</f>
    </nc>
  </rcc>
  <rcc rId="663" sId="22" numFmtId="34">
    <oc r="B39">
      <v>29644923.665613066</v>
    </oc>
    <nc r="B39">
      <f>SUM(B34:B38)</f>
    </nc>
  </rcc>
  <rcc rId="664" sId="22" numFmtId="34">
    <oc r="C39">
      <v>30973465.049427576</v>
    </oc>
    <nc r="C39">
      <f>SUM(C34:C38)</f>
    </nc>
  </rcc>
  <rcc rId="665" sId="22" numFmtId="34">
    <oc r="D39">
      <v>34031887.478981547</v>
    </oc>
    <nc r="D39">
      <f>SUM(D34:D38)</f>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S98:Y99">
    <dxf>
      <fill>
        <patternFill>
          <bgColor rgb="FFFFFF00"/>
        </patternFill>
      </fill>
    </dxf>
  </rfmt>
  <rcc rId="666" sId="5">
    <oc r="S98" t="inlineStr">
      <is>
        <t>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$457.32 per month for 30 months (2.5 years only as 0.5 years will be recruitment anticipating delayed grant signing), and (b) logistics support per AIDER at $73.17 per month for 30 months. Key activities will be (a) case finding and case holding; (2) profiling of the poor municipalities, (b) development of guidelines, (c) recruitment and training of health AIDERS, (d) provision of logistics support, and (f) monitoring.
FULL cost assumptions in Annex 4.3A</t>
      </is>
    </oc>
    <nc r="S98" t="inlineStr">
      <is>
        <r>
          <t xml:space="preserve">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t>
        </r>
        <r>
          <rPr>
            <sz val="10"/>
            <color rgb="FF00B050"/>
            <rFont val="Arial"/>
            <family val="2"/>
          </rPr>
          <t>$446</t>
        </r>
        <r>
          <rPr>
            <sz val="10"/>
            <rFont val="Arial"/>
            <family val="2"/>
          </rPr>
          <t xml:space="preserve"> per month for 30 months (2.5 years only as 0.5 years will be recruitment anticipating delayed grant signing), and (b) logistics support per AIDER at </t>
        </r>
        <r>
          <rPr>
            <sz val="10"/>
            <color rgb="FF00B050"/>
            <rFont val="Arial"/>
            <family val="2"/>
          </rPr>
          <t>$71</t>
        </r>
        <r>
          <rPr>
            <sz val="10"/>
            <rFont val="Arial"/>
            <family val="2"/>
          </rPr>
          <t xml:space="preserve"> per month for 30 months. Key activities will be (a) case finding and case holding; (2) profiling of the poor municipalities, (b) development of guidelines, (c) recruitment and training of health AIDERS, (d) provision of logistics support, and (f) monitoring.
FULL cost assumptions in Annex 4.3A</t>
        </r>
      </is>
    </nc>
  </rcc>
  <rcv guid="{CE0E8020-2C9F-41F1-9136-031F56EB2C71}" action="delete"/>
  <rdn rId="0" localSheetId="5" customView="1" name="Z_CE0E8020_2C9F_41F1_9136_031F56EB2C71_.wvu.PrintArea" hidden="1" oldHidden="1">
    <formula>'Concept Note'!$A$1:$AB$256</formula>
    <oldFormula>'Concept Note'!$A$1:$AB$256</oldFormula>
  </rdn>
  <rdn rId="0" localSheetId="5" customView="1" name="Z_CE0E8020_2C9F_41F1_9136_031F56EB2C71_.wvu.Cols" hidden="1" oldHidden="1">
    <formula>'Concept Note'!$AJ:$AO</formula>
    <oldFormula>'Concept Note'!$AJ:$AO</oldFormula>
  </rdn>
  <rdn rId="0" localSheetId="6" customView="1" name="Z_CE0E8020_2C9F_41F1_9136_031F56EB2C71_.wvu.Cols" hidden="1" oldHidden="1">
    <formula>'Summary budget'!$A:$I</formula>
    <oldFormula>'Summary budget'!$A:$I</oldFormula>
  </rdn>
  <rcv guid="{CE0E8020-2C9F-41F1-9136-031F56EB2C71}"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 sId="5">
    <o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_x000D__x000D_Above indicative FR will be purchase and maintenance of additional 287 LED-FM (out of total targeted 400 LED-FM units) @ USD 2,136 per microscope with USD 334 annual maintenance cost for each._x000D__x000D_FULL cost assumptions in Annex 4.3A </t>
        </r>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_x000D__x000D_(c) Procure GX cartridges of about 76,500 @ USD 10.28 for Smear (-) cases among vulnerable population_x000D__x000D_Above indicative FR will be purchase and maintenance of additional 287 LED-FM (out of total targeted 400 LED-FM units) @ USD 2,136 per microscope with USD 334 annual maintenance cost for each._x000D__x000D_FULL cost assumptions in Annex 4.3A </t>
        </r>
      </is>
    </nc>
  </rcc>
  <rcc rId="674" sId="5" numFmtId="4">
    <oc r="M91">
      <f>420512*41/42</f>
    </oc>
    <nc r="M91">
      <v>501701</v>
    </nc>
  </rcc>
  <rcc rId="675" sId="5" numFmtId="4">
    <oc r="O91">
      <f>195238*41/42</f>
    </oc>
    <nc r="O91">
      <v>232932</v>
    </nc>
  </rcc>
  <rcc rId="676" sId="5" numFmtId="4">
    <oc r="Q91">
      <f>246300*41/42</f>
    </oc>
    <nc r="Q91">
      <v>293853</v>
    </nc>
  </rcc>
  <rfmt sheetId="5" sqref="S98:Y99" start="0" length="2147483647">
    <dxf>
      <font>
        <color auto="1"/>
      </font>
    </dxf>
  </rfmt>
  <rfmt sheetId="5" sqref="S98:Y99">
    <dxf>
      <fill>
        <patternFill patternType="solid">
          <fgColor indexed="64"/>
          <bgColor theme="0"/>
        </patternFill>
      </fill>
    </dxf>
  </rfmt>
  <rfmt sheetId="5" sqref="S98:Y99">
    <dxf>
      <fill>
        <patternFill patternType="solid">
          <fgColor indexed="64"/>
          <bgColor theme="0"/>
        </patternFill>
      </fill>
    </dxf>
  </rfmt>
  <rcc rId="677" sId="5">
    <oc r="S98" t="inlineStr">
      <is>
        <r>
          <t xml:space="preserve">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(a) salary per AIDER at </t>
        </r>
        <r>
          <rPr>
            <sz val="10"/>
            <rFont val="Arial"/>
            <family val="2"/>
          </rPr>
          <t>$446 per month for 30 months (2.5 years only as 0.5 years will be recruitment anticipating delayed grant signing), and (b) logistics support per AIDER at $71 per month for 30 months. Key activities will be (a) case finding and case holding; (2) profiling of the poor municipalities, (b) development of guidelines, (c) recruitment and training of health AIDERS, (d) provision of logistics support, and (f) monitoring._x000D__x000D_FULL cost assumptions in Annex 4.3A</t>
        </r>
      </is>
    </oc>
    <nc r="S98" t="inlineStr">
      <is>
        <r>
          <t xml:space="preserve">Cost assumptions are based on the current cost of hiring personnel to monitor the health status of LGUs including communication and transportation allowance for a total of 300 AIDERS who will be stationed in the RHU to beef up NTP implementation and performance. Unit cost assumptions include: _x000D__x000D_(a) salary per AIDER at </t>
        </r>
        <r>
          <rPr>
            <sz val="10"/>
            <rFont val="Arial"/>
            <family val="2"/>
          </rPr>
          <t>$446 per month for 30 months (2.5 years only as 0.5 years will be recruitment anticipating delayed grant signing), and _x000D__x000D_(b) logistics support per AIDER at $71 per month for 30 months. _x000D__x000D_Key activities will be (a) case finding and case holding; (2) profiling of the poor municipalities, (b) development of guidelines, (c) recruitment and training of health AIDERS, (d) provision of logistics support, and (f) monitoring._x000D__x000D_FULL cost assumptions in Annex 4.3A</t>
        </r>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1" sId="5">
    <oc r="M64">
      <f>N64*M65</f>
    </oc>
    <nc r="M64">
      <f>N64*M65+M62</f>
    </nc>
  </rcc>
  <rcc rId="682" sId="5">
    <oc r="O64">
      <f>P64*O65</f>
    </oc>
    <nc r="O64">
      <f>P64*O65+O62</f>
    </nc>
  </rcc>
  <rcc rId="683" sId="5">
    <oc r="Q64">
      <f>R64*Q65</f>
    </oc>
    <nc r="Q64">
      <f>R64*Q65+Q62</f>
    </nc>
  </rcc>
  <rcc rId="684" sId="5" numFmtId="4">
    <oc r="M119">
      <v>968</v>
    </oc>
    <nc r="M119">
      <f>968+M117</f>
    </nc>
  </rcc>
  <rcc rId="685" sId="5">
    <oc r="O119">
      <v>1615</v>
    </oc>
    <nc r="O119">
      <f>1268+O117</f>
    </nc>
  </rcc>
  <rcc rId="686" sId="5">
    <oc r="Q119">
      <v>2377</v>
    </oc>
    <nc r="Q119">
      <f>1568+Q117</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S125:Y128">
    <dxf>
      <fill>
        <patternFill patternType="solid">
          <fgColor indexed="64"/>
          <bgColor theme="0"/>
        </patternFill>
      </fill>
    </dxf>
  </rfmt>
  <rfmt sheetId="5" sqref="S125:Y128">
    <dxf>
      <fill>
        <patternFill patternType="solid">
          <fgColor indexed="64"/>
          <bgColor theme="0"/>
        </patternFill>
      </fill>
    </dxf>
  </rfmt>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6" sId="5">
    <o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_x000D__x000D_(c) Procure GX cartridges of about 76,500 @ USD 10.28 for Smear (-) cases among vulnerable population_x000D__x000D_Above indicative FR will be purchase and maintenance of additional 287 LED-FM (out of total targeted 400 LED-FM units) @ USD 2,136 per microscope with USD 334 annual maintenance cost for each._x000D__x000D_FULL cost assumptions in Annex 4.3A </t>
        </r>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_x000D__x000D_(c) Procure GX cartridges of about 76,500 @ USD 11.5 for Smear (-) cases among vulnerable population_x000D__x000D_Above indicative FR will be purchase and maintenance of additional 287 LED-FM (out of total targeted 400 LED-FM units) @ USD 2,136 per microscope with USD 334 annual maintenance cost for each._x000D__x000D_FULL cost assumptions in Annex 4.3A </t>
        </r>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5">
    <oc r="Q39" t="inlineStr">
      <is>
        <t>2750 &amp; 22.5%</t>
      </is>
    </oc>
    <nc r="Q39" t="inlineStr">
      <is>
        <t>3097 &amp; 24.8%</t>
      </is>
    </nc>
  </rcc>
  <rcc rId="701" sId="5">
    <oc r="S39" t="inlineStr">
      <is>
        <t>2800 &amp; 22.6%</t>
      </is>
    </oc>
    <nc r="S39" t="inlineStr">
      <is>
        <t>3609 &amp; 28%</t>
      </is>
    </nc>
  </rcc>
  <rcc rId="702" sId="5" odxf="1" dxf="1" numFmtId="4">
    <oc r="G54">
      <v>214997</v>
    </oc>
    <nc r="G54">
      <v>217354</v>
    </nc>
    <odxf>
      <numFmt numFmtId="0" formatCode="General"/>
    </odxf>
    <ndxf>
      <numFmt numFmtId="3" formatCode="#,##0"/>
    </ndxf>
  </rcc>
  <rcc rId="703" sId="5" numFmtId="4">
    <oc r="M90">
      <f>529719*41/42</f>
    </oc>
    <nc r="M90">
      <v>175929</v>
    </nc>
  </rcc>
  <rcc rId="704" sId="5" numFmtId="4">
    <oc r="O90">
      <f>367253*41/42</f>
    </oc>
    <nc r="O90">
      <v>102625</v>
    </nc>
  </rcc>
  <rcc rId="705" sId="5" numFmtId="4">
    <oc r="Q90">
      <f>228816*41/42</f>
    </oc>
    <nc r="Q90">
      <v>52779</v>
    </nc>
  </rcc>
  <rcc rId="706" sId="5">
    <o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_x000D__x000D_(c) Procure GX cartridges of about 76,500 @ USD 11.5 for Smear (-) cases among vulnerable population_x000D__x000D_Above indicative FR will be purchase and maintenance of additional 287 LED-FM (out of total targeted 400 LED-FM units) @ USD 2,136 per microscope with USD 334 annual maintenance cost for each._x000D__x000D_FULL cost assumptions in Annex 4.3A </t>
        </r>
      </is>
    </oc>
    <nc r="S90" t="inlineStr">
      <is>
        <r>
          <t>Key activities include procurement of LED FM and maintenance of the same to replace/ provide equipment to 113 microscopy sites with high patient load for DSSM. Cost assumptions are based on the prevailing cost of equipment for LED-FM, and calibration/maintenance cost of equipment. Unit cost assumptions include:_x000D__x000D_(a) Cost of 113 LED-FM at $</t>
        </r>
        <r>
          <rPr>
            <b/>
            <sz val="10"/>
            <rFont val="Arial"/>
            <family val="2"/>
          </rPr>
          <t>2,136</t>
        </r>
        <r>
          <rPr>
            <sz val="10"/>
            <rFont val="Arial"/>
            <family val="2"/>
          </rPr>
          <t xml:space="preserve"> per unit (FIND Costing) plus 25% (freight, insurance and Procurement Agent Fees) _x000D__x000D_(b) Maintenance cost of LED-FM per unit per year at $333.66 _x000D__x000D_Above indicative FR will be purchase and maintenance of additional 287 LED-FM (out of total targeted 400 LED-FM units) @ USD 2,136 per microscope with USD 334 annual maintenance cost for each._x000D__x000D_FULL cost assumptions in Annex 4.3A </t>
        </r>
      </is>
    </nc>
  </rcc>
  <rcc rId="707" sId="5">
    <oc r="M125">
      <f>4427862*41/42</f>
    </oc>
    <nc r="M125">
      <f>4427862*41/42+222550</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 sId="5">
    <o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U$2000.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treatment._x000D__x000D__x000D_5)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600,000_x000D__x000D_6) PSMC for drugs and equipments roughly account to USD 2M and nonhealth equipments @ USD 42,000_x000D__x000D_7) special diagnostics for 6% of patients costed at USD 120 per consultation X 36 patients x 17 regions_x000D__x000D_For above indicative funding, additional3,804 patients for treatment and establishment of additional 15 satellite treatment center in the 2014-2016. The same unit costs applies as reflected in #2,3,4,6 &amp; 7: Part of the cost is also cost for training 3-4 staff from each of the 15 additional expansion sites on PMDT management._x000D__x000D_FULL costing in Annex 4.3B_x000D_</t>
      </is>
    </oc>
    <nc r="S129" t="inlineStr">
      <is>
        <t>1)100% of cases detected should be put on treatment_x000D__x000D_2) SLD and ancillary drugs quantification based on existing utilization rate. Drug budget are based on the 3 years target: 9406  cases. Unit cost per 2nd line drug are based on the rate provided by the Global Drug Facility. Cost of 2nd line drugs per patient for the entire duration of treatment is at U$2200. total ancillary for the patients is at USD 380,000_x000D__x000D_3) Health and non-health equipment for 15 expansion sites is @ U$3500 per site._x000D__x000D_4) Patient enabler and other support is based on approved ceiling per Phase 2 grant. Cost for enabler is at U$750 per patient for the entire duration of the treatment._x000D__x000D_5) Manpower augmentation at the treatment facilities cost at U$4.5M for 3 years. This includes MDs and RNs whose charging against project funds will reduce annually (Y1: 178, Y2:122, Y3:78) as they are absorbed by the LGU/Facilities. It also includes training activities for staff roughly @ USD 600,000_x000D__x000D_6) PSMC for drugs and equipments roughly account to USD 2M and nonhealth equipments @ USD 42,000_x000D__x000D_7) special diagnostics for 6% of patients costed at USD 120 per consultation X 36 patients x 17 regions_x000D__x000D_For above indicative funding, additional3,804 patients for treatment and establishment of additional 15 satellite treatment center in the 2014-2016. The same unit costs applies as reflected in #2,3,4,6 &amp; 7: Part of the cost is also cost for training 3-4 staff from each of the 15 additional expansion sites on PMDT management._x000D__x000D_FULL costing in Annex 4.3B_x000D_</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5" sId="22">
    <nc r="F16">
      <f>E16/E21</f>
    </nc>
  </rcc>
  <rcc rId="716" sId="22">
    <nc r="F17">
      <f>E17/E21</f>
    </nc>
  </rcc>
  <rcc rId="717" sId="22">
    <nc r="F18">
      <f>E18/E21</f>
    </nc>
  </rcc>
  <rcc rId="718" sId="22">
    <nc r="F19">
      <f>E19/E21</f>
    </nc>
  </rcc>
  <rcc rId="719" sId="22">
    <nc r="F20">
      <f>E20/E21</f>
    </nc>
  </rcc>
  <rfmt sheetId="22" sqref="F16:F20">
    <dxf>
      <numFmt numFmtId="13" formatCode="0%"/>
    </dxf>
  </rfmt>
  <rcc rId="720" sId="22">
    <nc r="F34">
      <f>E34/E39</f>
    </nc>
  </rcc>
  <rcc rId="721" sId="22">
    <nc r="F35">
      <f>E35/E39</f>
    </nc>
  </rcc>
  <rcc rId="722" sId="22">
    <nc r="F36">
      <f>E36/E39</f>
    </nc>
  </rcc>
  <rcc rId="723" sId="22">
    <nc r="F37">
      <f>E37/E39</f>
    </nc>
  </rcc>
  <rcc rId="724" sId="22">
    <nc r="F38">
      <f>E38/E39</f>
    </nc>
  </rcc>
  <rfmt sheetId="22" sqref="F34:F38">
    <dxf>
      <numFmt numFmtId="13" formatCode="0%"/>
    </dxf>
  </rfmt>
  <rcc rId="725" sId="22">
    <nc r="F25">
      <f>E25/E30</f>
    </nc>
  </rcc>
  <rcc rId="726" sId="22">
    <nc r="F26">
      <f>E26/E30</f>
    </nc>
  </rcc>
  <rcc rId="727" sId="22">
    <nc r="F28">
      <f>E28/E30</f>
    </nc>
  </rcc>
  <rfmt sheetId="22" sqref="F25:F28">
    <dxf>
      <numFmt numFmtId="13" formatCode="0%"/>
    </dxf>
  </rfmt>
  <rfmt sheetId="22" sqref="F25:F28">
    <dxf>
      <numFmt numFmtId="13" formatCode="0%"/>
    </dxf>
  </rfmt>
  <rcc rId="728" sId="22">
    <nc r="F30">
      <f>E30/E39</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2" sId="5">
    <oc r="O129">
      <f>(11927298.9130118*41/42)+391583</f>
    </oc>
    <nc r="O129">
      <f>(11927298.9130118*41/42)+391583+33333.6</f>
    </nc>
  </rcc>
  <rcc rId="733" sId="5">
    <oc r="M129">
      <f>(11768066.6203236*41/42)+391583</f>
    </oc>
    <nc r="M129">
      <f>(11768066.6203236*41/42)+391583+33333.6</f>
    </nc>
  </rcc>
  <rcc rId="734" sId="5">
    <oc r="Q129">
      <f>(14079391.7667675*41/42)+391583</f>
    </oc>
    <nc r="Q129">
      <f>(14079391.7667675*41/42)+391583+33333.6</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O36:P36">
    <dxf>
      <alignment horizontal="general" readingOrder="0"/>
    </dxf>
  </rfmt>
  <rfmt sheetId="5" sqref="O36:P36">
    <dxf>
      <alignment horizontal="center" readingOrder="0"/>
    </dxf>
  </rfmt>
  <rfmt sheetId="5" sqref="O36:P36">
    <dxf>
      <alignment horizontal="general" readingOrder="0"/>
    </dxf>
  </rfmt>
  <rfmt sheetId="5" sqref="O36:P36">
    <dxf>
      <alignment horizontal="left" readingOrder="0"/>
    </dxf>
  </rfmt>
  <rfmt sheetId="5" sqref="O36:P36">
    <dxf>
      <alignment horizontal="center" readingOrder="0"/>
    </dxf>
  </rfmt>
  <rcc rId="738" sId="5" numFmtId="34">
    <nc r="O36">
      <v>217</v>
    </nc>
  </rcc>
  <rfmt sheetId="5" sqref="O36:P36">
    <dxf>
      <alignment horizontal="left" readingOrder="0"/>
    </dxf>
  </rfmt>
  <rfmt sheetId="5" sqref="O36:P36">
    <dxf>
      <alignment horizontal="center" readingOrder="0"/>
    </dxf>
  </rfmt>
  <rcc rId="739" sId="5">
    <oc r="U40" t="inlineStr">
      <is>
        <t>The assumption is by 2016, we will reach 75% treatment success rate.  Targets are 2014-2015-2016 cohorts.    Verify with GF if timeline for cohorts is correct.</t>
      </is>
    </oc>
    <nc r="U40" t="inlineStr">
      <is>
        <r>
          <t xml:space="preserve">The assumption is by 2016, we will reach 75% treatment success rate.  Targets are 2014-2015-2016 cohorts.    </t>
        </r>
        <r>
          <rPr>
            <strike/>
            <sz val="10"/>
            <color rgb="FFFF0000"/>
            <rFont val="Arial"/>
            <family val="2"/>
          </rPr>
          <t>Verify with GF if timeline for cohorts is correct.</t>
        </r>
      </is>
    </nc>
  </rcc>
  <rcc rId="740" sId="5">
    <oc r="I39" t="inlineStr">
      <is>
        <t>1994 &amp; 17.4%</t>
      </is>
    </oc>
    <nc r="I39" t="inlineStr">
      <is>
        <t>1994 
(17.4%)</t>
      </is>
    </nc>
  </rcc>
  <rcc rId="741" sId="5">
    <oc r="O39" t="inlineStr">
      <is>
        <t>2700 &amp; 22.3%</t>
      </is>
    </oc>
    <nc r="O39" t="inlineStr">
      <is>
        <t>2700 
(22.3%)</t>
      </is>
    </nc>
  </rcc>
  <rcc rId="742" sId="5">
    <oc r="Q39" t="inlineStr">
      <is>
        <t>3097 &amp; 24.8%</t>
      </is>
    </oc>
    <nc r="Q39" t="inlineStr">
      <is>
        <t>3097 
(24.8%)</t>
      </is>
    </nc>
  </rcc>
  <rcc rId="743" sId="5">
    <oc r="S39" t="inlineStr">
      <is>
        <t>3609 &amp; 28%</t>
      </is>
    </oc>
    <nc r="S39" t="inlineStr">
      <is>
        <t>3609  
(28%)</t>
      </is>
    </nc>
  </rcc>
  <rfmt sheetId="5" sqref="O39:T39" start="0" length="2147483647">
    <dxf>
      <font>
        <color rgb="FFFF0000"/>
      </font>
    </dxf>
  </rfmt>
  <rcc rId="744" sId="5">
    <nc r="A35">
      <v>1</v>
    </nc>
  </rcc>
  <rcc rId="745" sId="5">
    <nc r="A36">
      <v>2</v>
    </nc>
  </rcc>
  <rcc rId="746" sId="5">
    <nc r="A37">
      <v>3</v>
    </nc>
  </rcc>
  <rcc rId="747" sId="5">
    <nc r="A38">
      <v>4</v>
    </nc>
  </rcc>
  <rcc rId="748" sId="5">
    <nc r="A39">
      <v>5</v>
    </nc>
  </rcc>
  <rcc rId="749" sId="5">
    <nc r="A40">
      <v>6</v>
    </nc>
  </rcc>
  <rcc rId="750" sId="5">
    <nc r="A17">
      <v>1</v>
    </nc>
  </rcc>
  <rcc rId="751" sId="5">
    <nc r="A18">
      <v>2</v>
    </nc>
  </rcc>
  <rcc rId="752" sId="5">
    <nc r="A19">
      <v>3</v>
    </nc>
  </rcc>
  <rcc rId="753" sId="5">
    <nc r="A20">
      <v>4</v>
    </nc>
  </rcc>
  <rcc rId="754" sId="5">
    <nc r="A21">
      <v>5</v>
    </nc>
  </rcc>
  <rdn rId="0" localSheetId="5" customView="1" name="Z_E823EC26_EF2B_442F_BAF4_E4055CE48BD3_.wvu.PrintArea" hidden="1" oldHidden="1">
    <formula>'Concept Note'!$A$1:$AB$256</formula>
  </rdn>
  <rdn rId="0" localSheetId="5" customView="1" name="Z_E823EC26_EF2B_442F_BAF4_E4055CE48BD3_.wvu.Cols" hidden="1" oldHidden="1">
    <formula>'Concept Note'!$AJ:$AO</formula>
  </rdn>
  <rdn rId="0" localSheetId="6" customView="1" name="Z_E823EC26_EF2B_442F_BAF4_E4055CE48BD3_.wvu.Cols" hidden="1" oldHidden="1">
    <formula>'Summary budget'!$A:$I</formula>
  </rdn>
  <rcv guid="{E823EC26-EF2B-442F-BAF4-E4055CE48BD3}"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P74:P76" start="0" length="2147483647">
    <dxf>
      <font>
        <sz val="10"/>
      </font>
    </dxf>
  </rfmt>
  <rfmt sheetId="5" sqref="P78:P79" start="0" length="2147483647">
    <dxf>
      <font>
        <sz val="10"/>
      </font>
    </dxf>
  </rfmt>
  <rfmt sheetId="5" sqref="N109:N120" start="0" length="2147483647">
    <dxf>
      <font>
        <sz val="10"/>
      </font>
    </dxf>
  </rfmt>
  <rfmt sheetId="5" sqref="N115:N116">
    <dxf>
      <numFmt numFmtId="13" formatCode="0%"/>
    </dxf>
  </rfmt>
  <rfmt sheetId="5" sqref="P113:P120" start="0" length="2147483647">
    <dxf>
      <font>
        <sz val="10"/>
      </font>
    </dxf>
  </rfmt>
  <rfmt sheetId="5" sqref="P109:P112" start="0" length="2147483647">
    <dxf>
      <font>
        <sz val="10"/>
      </font>
    </dxf>
  </rfmt>
  <rfmt sheetId="5" sqref="R109:R120" start="0" length="2147483647">
    <dxf>
      <font>
        <sz val="10"/>
      </font>
    </dxf>
  </rfmt>
  <rcc rId="758" sId="5">
    <nc r="R115">
      <f>Q115/Q116</f>
    </nc>
  </rcc>
  <rfmt sheetId="5" sqref="R115:R120">
    <dxf>
      <numFmt numFmtId="13" formatCode="0%"/>
    </dxf>
  </rfmt>
  <rfmt sheetId="5" sqref="R115:R116" start="0" length="2147483647">
    <dxf>
      <font>
        <color rgb="FFFF0000"/>
      </font>
    </dxf>
  </rfmt>
  <rcc rId="759" sId="5">
    <oc r="D160" t="inlineStr">
      <is>
        <t>Please select…</t>
      </is>
    </oc>
    <nc r="D160" t="inlineStr">
      <is>
        <t>PBSP</t>
      </is>
    </nc>
  </rcc>
  <rcc rId="760" sId="5">
    <oc r="D164" t="inlineStr">
      <is>
        <t>Please select…</t>
      </is>
    </oc>
    <nc r="D164" t="inlineStr">
      <is>
        <t>PBSP</t>
      </is>
    </nc>
  </rcc>
  <rfmt sheetId="5" sqref="D160:D167" start="0" length="2147483647">
    <dxf>
      <font>
        <color rgb="FFFF0000"/>
      </font>
    </dxf>
  </rfmt>
  <rfmt sheetId="5" sqref="N152:N167" start="0" length="2147483647">
    <dxf>
      <font>
        <sz val="10"/>
      </font>
    </dxf>
  </rfmt>
  <rfmt sheetId="5" sqref="P152:P167" start="0" length="2147483647">
    <dxf>
      <font>
        <sz val="10"/>
      </font>
    </dxf>
  </rfmt>
  <rfmt sheetId="5" sqref="R152:R167" start="0" length="2147483647">
    <dxf>
      <font>
        <sz val="10"/>
      </font>
    </dxf>
  </rfmt>
  <rcc rId="761" sId="5">
    <nc r="G156" t="inlineStr">
      <is>
        <t>N/A</t>
      </is>
    </nc>
  </rcc>
  <rcc rId="762" sId="5">
    <nc r="G158" t="inlineStr">
      <is>
        <t>N/A</t>
      </is>
    </nc>
  </rcc>
  <rcc rId="763" sId="5">
    <oc r="H156">
      <f>IF($G158&lt;&gt;"",$G156/$G158,"")</f>
    </oc>
    <nc r="H156" t="inlineStr">
      <is>
        <t>N/A</t>
      </is>
    </nc>
  </rcc>
  <rfmt sheetId="5" sqref="G156:H159" start="0" length="2147483647">
    <dxf>
      <font>
        <color rgb="FFFF0000"/>
      </font>
    </dxf>
  </rfmt>
  <rcc rId="764" sId="5">
    <nc r="G160">
      <f>G156</f>
    </nc>
  </rcc>
  <rcc rId="765" sId="5">
    <oc r="H160">
      <f>IF($G162&lt;&gt;"",$G160/$G162,"")</f>
    </oc>
    <nc r="H160">
      <f>H156</f>
    </nc>
  </rcc>
  <rcc rId="766" sId="5">
    <nc r="G162">
      <f>G158</f>
    </nc>
  </rcc>
  <rfmt sheetId="5" sqref="G160:H163" start="0" length="2147483647">
    <dxf>
      <font>
        <color rgb="FFFF0000"/>
      </font>
    </dxf>
  </rfmt>
  <rcv guid="{E823EC26-EF2B-442F-BAF4-E4055CE48BD3}" action="delete"/>
  <rdn rId="0" localSheetId="5" customView="1" name="Z_E823EC26_EF2B_442F_BAF4_E4055CE48BD3_.wvu.PrintArea" hidden="1" oldHidden="1">
    <formula>'Concept Note'!$A$1:$AB$256</formula>
    <oldFormula>'Concept Note'!$A$1:$AB$256</oldFormula>
  </rdn>
  <rdn rId="0" localSheetId="5" customView="1" name="Z_E823EC26_EF2B_442F_BAF4_E4055CE48BD3_.wvu.Cols" hidden="1" oldHidden="1">
    <formula>'Concept Note'!$AJ:$AO</formula>
    <oldFormula>'Concept Note'!$AJ:$AO</oldFormula>
  </rdn>
  <rdn rId="0" localSheetId="6" customView="1" name="Z_E823EC26_EF2B_442F_BAF4_E4055CE48BD3_.wvu.Cols" hidden="1" oldHidden="1">
    <formula>'Summary budget'!$A:$I</formula>
    <oldFormula>'Summary budget'!$A:$I</oldFormula>
  </rdn>
  <rcv guid="{E823EC26-EF2B-442F-BAF4-E4055CE48BD3}"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O39:T39" start="0" length="2147483647">
    <dxf>
      <font>
        <color auto="1"/>
      </font>
    </dxf>
  </rfmt>
  <rcc rId="770" sId="5">
    <oc r="U40" t="inlineStr">
      <is>
        <r>
          <t xml:space="preserve">The assumption is by 2016, we will reach 75% treatment success rate.  Targets are 2014-2015-2016 cohorts.    </t>
        </r>
        <r>
          <rPr>
            <strike/>
            <sz val="10"/>
            <color rgb="FFFF0000"/>
            <rFont val="Arial"/>
            <family val="2"/>
          </rPr>
          <t>Verify with GF if timeline for cohorts is correct.</t>
        </r>
      </is>
    </oc>
    <nc r="U40" t="inlineStr">
      <is>
        <t xml:space="preserve">The assumption is by 2016, we will reach 75% treatment success rate.  Targets are 2014-2015-2016 cohorts.    </t>
      </is>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4" sId="5" numFmtId="4">
    <oc r="M90">
      <v>175929</v>
    </oc>
    <nc r="M90">
      <v>220259</v>
    </nc>
  </rcc>
  <rcc rId="775" sId="5" numFmtId="4">
    <oc r="O90">
      <v>102625</v>
    </oc>
    <nc r="O90">
      <v>128484</v>
    </nc>
  </rcc>
  <rcc rId="776" sId="5" numFmtId="4">
    <oc r="Q90">
      <v>52779</v>
    </oc>
    <nc r="Q90">
      <v>66078</v>
    </nc>
  </rcc>
  <rcc rId="777" sId="5" numFmtId="4">
    <oc r="M91">
      <v>501701</v>
    </oc>
    <nc r="M91">
      <v>513937</v>
    </nc>
  </rcc>
  <rcc rId="778" sId="5" numFmtId="4">
    <oc r="O91">
      <v>232932</v>
    </oc>
    <nc r="O91">
      <v>238614</v>
    </nc>
  </rcc>
  <rcc rId="779" sId="5" numFmtId="4">
    <oc r="Q91">
      <v>293853</v>
    </oc>
    <nc r="Q91">
      <v>301020</v>
    </nc>
  </rcc>
  <rcc rId="780" sId="5">
    <oc r="M129">
      <f>(11768066.6203236*41/42)+391583+33333.6</f>
    </oc>
    <nc r="M129">
      <f>(11768066.6203236*41/42)+397087.7</f>
    </nc>
  </rcc>
  <rcc rId="781" sId="5">
    <oc r="O129">
      <f>(11927298.9130118*41/42)+391583+33333.6</f>
    </oc>
    <nc r="O129">
      <f>(11927298.9130118*41/42)+397087.7</f>
    </nc>
  </rcc>
  <rcc rId="782" sId="5">
    <oc r="Q129">
      <f>(14079391.7667675*41/42)+391583+33333.6</f>
    </oc>
    <nc r="Q129">
      <f>(14079391.7667675*41/42)+397087.7</f>
    </nc>
  </rc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6255A0E-17F2-0E4B-B055-7B9B2A71C25A}" action="delete"/>
  <rdn rId="0" localSheetId="5" customView="1" name="Z_86255A0E_17F2_0E4B_B055_7B9B2A71C25A_.wvu.PrintArea" hidden="1" oldHidden="1">
    <formula>'Concept Note'!$A$1:$AB$256</formula>
    <oldFormula>'Concept Note'!$A$1:$AB$256</oldFormula>
  </rdn>
  <rdn rId="0" localSheetId="5" customView="1" name="Z_86255A0E_17F2_0E4B_B055_7B9B2A71C25A_.wvu.Cols" hidden="1" oldHidden="1">
    <formula>'Concept Note'!$AJ:$AO</formula>
    <oldFormula>'Concept Note'!$AJ:$AO</oldFormula>
  </rdn>
  <rdn rId="0" localSheetId="6" customView="1" name="Z_86255A0E_17F2_0E4B_B055_7B9B2A71C25A_.wvu.Cols" hidden="1" oldHidden="1">
    <formula>'Summary budget'!$A:$I</formula>
    <oldFormula>'Summary budget'!$A:$I</oldFormula>
  </rdn>
  <rcv guid="{86255A0E-17F2-0E4B-B055-7B9B2A71C25A}"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9" sId="5">
    <oc r="Z129" t="inlineStr">
      <is>
        <t xml:space="preserve">Note that the SLD budget being requested  for 2014-2016 is at 86% from the NFM. </t>
      </is>
    </oc>
    <nc r="Z129" t="inlineStr">
      <is>
        <t xml:space="preserve">Note that the SLD budget being requested  for 2014-2016 is at 90% from the NFM. </t>
      </is>
    </nc>
  </rcc>
  <rcv guid="{8263CC96-2145-451B-AD8A-CC38FD628AC9}" action="delete"/>
  <rdn rId="0" localSheetId="5" customView="1" name="Z_8263CC96_2145_451B_AD8A_CC38FD628AC9_.wvu.PrintArea" hidden="1" oldHidden="1">
    <formula>'Concept Note'!$A$1:$AB$256</formula>
    <oldFormula>'Concept Note'!$A$1:$AB$256</oldFormula>
  </rdn>
  <rdn rId="0" localSheetId="5" customView="1" name="Z_8263CC96_2145_451B_AD8A_CC38FD628AC9_.wvu.Cols" hidden="1" oldHidden="1">
    <formula>'Concept Note'!$AJ:$AO</formula>
    <oldFormula>'Concept Note'!$AJ:$AO</oldFormula>
  </rdn>
  <rdn rId="0" localSheetId="6" customView="1" name="Z_8263CC96_2145_451B_AD8A_CC38FD628AC9_.wvu.Cols" hidden="1" oldHidden="1">
    <formula>'Summary budget'!$A:$I</formula>
    <oldFormula>'Summary budget'!$A:$I</oldFormula>
  </rdn>
  <rcv guid="{8263CC96-2145-451B-AD8A-CC38FD628AC9}"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263CC96-2145-451B-AD8A-CC38FD628AC9}" action="delete"/>
  <rdn rId="0" localSheetId="5" customView="1" name="Z_8263CC96_2145_451B_AD8A_CC38FD628AC9_.wvu.PrintArea" hidden="1" oldHidden="1">
    <formula>'Concept Note'!$A$1:$AB$256</formula>
    <oldFormula>'Concept Note'!$A$1:$AB$256</oldFormula>
  </rdn>
  <rdn rId="0" localSheetId="5" customView="1" name="Z_8263CC96_2145_451B_AD8A_CC38FD628AC9_.wvu.Cols" hidden="1" oldHidden="1">
    <formula>'Concept Note'!$AJ:$AO</formula>
    <oldFormula>'Concept Note'!$AJ:$AO</oldFormula>
  </rdn>
  <rdn rId="0" localSheetId="6" customView="1" name="Z_8263CC96_2145_451B_AD8A_CC38FD628AC9_.wvu.Cols" hidden="1" oldHidden="1">
    <formula>'Summary budget'!$A:$I</formula>
    <oldFormula>'Summary budget'!$A:$I</oldFormula>
  </rdn>
  <rcv guid="{8263CC96-2145-451B-AD8A-CC38FD628AC9}"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R115:R116" start="0" length="2147483647">
    <dxf>
      <font>
        <color auto="1"/>
      </font>
    </dxf>
  </rfmt>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228:Y228" start="0" length="0">
    <dxf>
      <border>
        <bottom style="thin">
          <color indexed="64"/>
        </bottom>
      </border>
    </dxf>
  </rfmt>
  <rfmt sheetId="5" sqref="M255:AB255" start="0" length="0">
    <dxf>
      <border>
        <bottom style="thin">
          <color indexed="64"/>
        </bottom>
      </border>
    </dxf>
  </rfmt>
  <rdn rId="0" localSheetId="5" customView="1" name="Z_D193A86F_CAEF_42FB_9ABB_073B57B81A50_.wvu.PrintArea" hidden="1" oldHidden="1">
    <formula>'Concept Note'!$A$1:$AB$255</formula>
  </rdn>
  <rdn rId="0" localSheetId="5" customView="1" name="Z_D193A86F_CAEF_42FB_9ABB_073B57B81A50_.wvu.Cols" hidden="1" oldHidden="1">
    <formula>'Concept Note'!$AJ:$AO</formula>
  </rdn>
  <rdn rId="0" localSheetId="6" customView="1" name="Z_D193A86F_CAEF_42FB_9ABB_073B57B81A50_.wvu.Cols" hidden="1" oldHidden="1">
    <formula>'Summary budget'!$A:$I</formula>
  </rdn>
  <rcv guid="{D193A86F-CAEF-42FB-9ABB-073B57B81A50}"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193A86F-CAEF-42FB-9ABB-073B57B81A50}" action="delete"/>
  <rdn rId="0" localSheetId="5" customView="1" name="Z_D193A86F_CAEF_42FB_9ABB_073B57B81A50_.wvu.PrintArea" hidden="1" oldHidden="1">
    <formula>'Concept Note'!$A$1:$AB$255</formula>
    <oldFormula>'Concept Note'!$A$1:$AB$255</oldFormula>
  </rdn>
  <rdn rId="0" localSheetId="5" customView="1" name="Z_D193A86F_CAEF_42FB_9ABB_073B57B81A50_.wvu.Cols" hidden="1" oldHidden="1">
    <formula>'Concept Note'!$AJ:$AO</formula>
    <oldFormula>'Concept Note'!$AJ:$AO</oldFormula>
  </rdn>
  <rdn rId="0" localSheetId="6" customView="1" name="Z_D193A86F_CAEF_42FB_9ABB_073B57B81A50_.wvu.Cols" hidden="1" oldHidden="1">
    <formula>'Summary budget'!$A:$I</formula>
    <oldFormula>'Summary budget'!$A:$I</oldFormula>
  </rdn>
  <rcv guid="{D193A86F-CAEF-42FB-9ABB-073B57B81A50}"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2" sId="22">
    <nc r="F3" t="inlineStr">
      <is>
        <t>Full Request</t>
      </is>
    </nc>
  </rcc>
  <rfmt sheetId="22" sqref="F3">
    <dxf>
      <font>
        <b/>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auto="1"/>
        </left>
        <right style="thin">
          <color auto="1"/>
        </right>
        <top/>
        <bottom/>
      </border>
    </dxf>
  </rfmt>
  <rfmt sheetId="22" sqref="F4" start="0" length="0">
    <dxf>
      <numFmt numFmtId="3" formatCode="#,##0"/>
    </dxf>
  </rfmt>
  <rcc rId="803" sId="22" odxf="1" dxf="1">
    <nc r="F4">
      <f>B4+D4</f>
    </nc>
    <ndxf>
      <numFmt numFmtId="3" formatCode="#,##0"/>
      <border outline="0">
        <left style="thin">
          <color auto="1"/>
        </left>
        <right style="thin">
          <color auto="1"/>
        </right>
        <top style="thin">
          <color auto="1"/>
        </top>
        <bottom style="thin">
          <color auto="1"/>
        </bottom>
      </border>
    </ndxf>
  </rcc>
  <rcc rId="804" sId="22" odxf="1" dxf="1">
    <nc r="F5">
      <f>B5+D5</f>
    </nc>
    <odxf>
      <numFmt numFmtId="0" formatCode="General"/>
      <border outline="0">
        <left/>
        <right/>
        <top/>
        <bottom/>
      </border>
    </odxf>
    <ndxf>
      <numFmt numFmtId="3" formatCode="#,##0"/>
      <border outline="0">
        <left style="thin">
          <color auto="1"/>
        </left>
        <right style="thin">
          <color auto="1"/>
        </right>
        <top style="thin">
          <color auto="1"/>
        </top>
        <bottom style="thin">
          <color auto="1"/>
        </bottom>
      </border>
    </ndxf>
  </rcc>
  <rcc rId="805" sId="22" odxf="1" dxf="1">
    <nc r="F6">
      <f>B6+D6</f>
    </nc>
    <odxf>
      <numFmt numFmtId="0" formatCode="General"/>
      <border outline="0">
        <left/>
        <right/>
        <top/>
        <bottom/>
      </border>
    </odxf>
    <ndxf>
      <numFmt numFmtId="3" formatCode="#,##0"/>
      <border outline="0">
        <left style="thin">
          <color auto="1"/>
        </left>
        <right style="thin">
          <color auto="1"/>
        </right>
        <top style="thin">
          <color auto="1"/>
        </top>
        <bottom style="thin">
          <color auto="1"/>
        </bottom>
      </border>
    </ndxf>
  </rcc>
  <rcc rId="806" sId="22" odxf="1" dxf="1">
    <nc r="F7">
      <f>B7+D7</f>
    </nc>
    <odxf>
      <numFmt numFmtId="0" formatCode="General"/>
      <border outline="0">
        <left/>
        <right/>
        <top/>
        <bottom/>
      </border>
    </odxf>
    <ndxf>
      <numFmt numFmtId="3" formatCode="#,##0"/>
      <border outline="0">
        <left style="thin">
          <color auto="1"/>
        </left>
        <right style="thin">
          <color auto="1"/>
        </right>
        <top style="thin">
          <color auto="1"/>
        </top>
        <bottom style="thin">
          <color auto="1"/>
        </bottom>
      </border>
    </ndxf>
  </rcc>
  <rcc rId="807" sId="22" odxf="1" dxf="1">
    <nc r="F8">
      <f>B8+D8</f>
    </nc>
    <odxf>
      <numFmt numFmtId="0" formatCode="General"/>
      <border outline="0">
        <left/>
        <right/>
        <top/>
        <bottom/>
      </border>
    </odxf>
    <ndxf>
      <numFmt numFmtId="3" formatCode="#,##0"/>
      <border outline="0">
        <left style="thin">
          <color auto="1"/>
        </left>
        <right style="thin">
          <color auto="1"/>
        </right>
        <top style="thin">
          <color auto="1"/>
        </top>
        <bottom style="thin">
          <color auto="1"/>
        </bottom>
      </border>
    </ndxf>
  </rcc>
  <rfmt sheetId="22" sqref="F9" start="0" length="0">
    <dxf>
      <numFmt numFmtId="3" formatCode="#,##0"/>
    </dxf>
  </rfmt>
  <rcc rId="808" sId="22" odxf="1" dxf="1">
    <nc r="F9">
      <f>SUM(F4:F8)</f>
    </nc>
    <ndxf>
      <font>
        <b/>
        <sz val="12"/>
        <color auto="1"/>
        <name val="Arial"/>
        <scheme val="none"/>
      </font>
      <numFmt numFmtId="168" formatCode="_(* #,##0_);_(* \(#,##0\);_(* &quot;-&quot;??_);_(@_)"/>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fmt sheetId="22" sqref="F3" start="0" length="0">
    <dxf>
      <border>
        <left style="thin">
          <color indexed="64"/>
        </left>
        <right style="thin">
          <color indexed="64"/>
        </right>
        <top style="thin">
          <color indexed="64"/>
        </top>
        <bottom style="thin">
          <color indexed="64"/>
        </bottom>
      </border>
    </dxf>
  </rfmt>
  <rfmt sheetId="22" sqref="F3">
    <dxf>
      <border>
        <left style="thin">
          <color indexed="64"/>
        </left>
        <right style="thin">
          <color indexed="64"/>
        </right>
        <top style="thin">
          <color indexed="64"/>
        </top>
        <bottom style="thin">
          <color indexed="64"/>
        </bottom>
        <vertical style="thin">
          <color indexed="64"/>
        </vertical>
        <horizontal style="thin">
          <color indexed="64"/>
        </horizontal>
      </border>
    </dxf>
  </rfmt>
  <rcc rId="809" sId="22">
    <nc r="G3" t="inlineStr">
      <is>
        <t>% of Full Request</t>
      </is>
    </nc>
  </rcc>
  <rfmt sheetId="22" sqref="G3">
    <dxf>
      <font>
        <b/>
        <i val="0"/>
        <strike val="0"/>
        <condense val="0"/>
        <extend val="0"/>
        <outline val="0"/>
        <shadow val="0"/>
        <u val="none"/>
        <vertAlign val="baseline"/>
        <sz val="10"/>
        <color auto="1"/>
        <name val="Arial"/>
        <scheme val="none"/>
      </font>
      <fill>
        <patternFill patternType="solid">
          <fgColor indexed="64"/>
          <bgColor theme="4" tint="0.79998168889431442"/>
        </patternFill>
      </fill>
      <alignment horizontal="general" vertical="center" textRotation="0" wrapText="0" indent="0" justifyLastLine="0" shrinkToFit="0" readingOrder="0"/>
      <border diagonalUp="0" diagonalDown="0" outline="0">
        <left style="thin">
          <color auto="1"/>
        </left>
        <right style="thin">
          <color auto="1"/>
        </right>
        <top/>
        <bottom/>
      </border>
    </dxf>
  </rfmt>
  <rcc rId="810" sId="22" odxf="1" dxf="1">
    <nc r="G4">
      <f>F4/$F$9</f>
    </nc>
    <odxf>
      <numFmt numFmtId="0" formatCode="General"/>
    </odxf>
    <ndxf>
      <numFmt numFmtId="168" formatCode="_(* #,##0_);_(* \(#,##0\);_(* &quot;-&quot;??_);_(@_)"/>
    </ndxf>
  </rcc>
  <rcc rId="811" sId="22" odxf="1" dxf="1">
    <nc r="G5">
      <f>F5/$F$9</f>
    </nc>
    <odxf>
      <numFmt numFmtId="0" formatCode="General"/>
    </odxf>
    <ndxf>
      <numFmt numFmtId="35" formatCode="_-* #,##0.00_-;\-* #,##0.00_-;_-* &quot;-&quot;??_-;_-@_-"/>
    </ndxf>
  </rcc>
  <rcc rId="812" sId="22" odxf="1" dxf="1">
    <nc r="G6">
      <f>F6/$F$9</f>
    </nc>
    <odxf>
      <numFmt numFmtId="0" formatCode="General"/>
    </odxf>
    <ndxf>
      <numFmt numFmtId="35" formatCode="_-* #,##0.00_-;\-* #,##0.00_-;_-* &quot;-&quot;??_-;_-@_-"/>
    </ndxf>
  </rcc>
  <rcc rId="813" sId="22" odxf="1" dxf="1">
    <nc r="G7">
      <f>F7/$F$9</f>
    </nc>
    <odxf>
      <numFmt numFmtId="0" formatCode="General"/>
    </odxf>
    <ndxf>
      <numFmt numFmtId="35" formatCode="_-* #,##0.00_-;\-* #,##0.00_-;_-* &quot;-&quot;??_-;_-@_-"/>
    </ndxf>
  </rcc>
  <rcc rId="814" sId="22" odxf="1" dxf="1">
    <nc r="G8">
      <f>F8/$F$9</f>
    </nc>
    <odxf>
      <numFmt numFmtId="0" formatCode="General"/>
    </odxf>
    <ndxf>
      <numFmt numFmtId="35" formatCode="_-* #,##0.00_-;\-* #,##0.00_-;_-* &quot;-&quot;??_-;_-@_-"/>
    </ndxf>
  </rcc>
  <rfmt sheetId="22" sqref="G4:G8">
    <dxf>
      <numFmt numFmtId="13" formatCode="0%"/>
    </dxf>
  </rfmt>
  <rfmt sheetId="22" sqref="G9" start="0" length="0">
    <dxf>
      <numFmt numFmtId="13" formatCode="0%"/>
    </dxf>
  </rfmt>
  <rcc rId="815" sId="22" odxf="1" dxf="1">
    <nc r="G9">
      <f>SUM(G4:G8)</f>
    </nc>
    <ndxf>
      <font>
        <sz val="12"/>
        <color auto="1"/>
        <name val="Arial"/>
        <scheme val="none"/>
      </font>
      <fill>
        <patternFill patternType="solid">
          <bgColor theme="5" tint="0.79998168889431442"/>
        </patternFill>
      </fill>
      <alignment vertical="center" readingOrder="0"/>
      <border outline="0">
        <left style="thin">
          <color auto="1"/>
        </left>
        <right style="thin">
          <color auto="1"/>
        </right>
        <top style="thin">
          <color auto="1"/>
        </top>
        <bottom style="thin">
          <color auto="1"/>
        </bottom>
      </border>
    </ndxf>
  </rcc>
  <rfmt sheetId="22" sqref="G3" start="0" length="0">
    <dxf>
      <border>
        <top style="thin">
          <color indexed="64"/>
        </top>
      </border>
    </dxf>
  </rfmt>
  <rfmt sheetId="22" sqref="G3:G8" start="0" length="0">
    <dxf>
      <border>
        <right style="thin">
          <color indexed="64"/>
        </right>
      </border>
    </dxf>
  </rfmt>
  <rfmt sheetId="22" sqref="G3:G8">
    <dxf>
      <border>
        <left style="thin">
          <color indexed="64"/>
        </left>
        <right style="thin">
          <color indexed="64"/>
        </right>
        <top style="thin">
          <color indexed="64"/>
        </top>
        <bottom style="thin">
          <color indexed="64"/>
        </bottom>
        <vertical style="thin">
          <color indexed="64"/>
        </vertical>
        <horizontal style="thin">
          <color indexed="64"/>
        </horizontal>
      </border>
    </dxf>
  </rfmt>
  <rcc rId="816" sId="22">
    <oc r="F30">
      <f>E30/E39</f>
    </oc>
    <nc r="F30"/>
  </rcc>
  <rcv guid="{D193A86F-CAEF-42FB-9ABB-073B57B81A50}" action="delete"/>
  <rdn rId="0" localSheetId="5" customView="1" name="Z_D193A86F_CAEF_42FB_9ABB_073B57B81A50_.wvu.PrintArea" hidden="1" oldHidden="1">
    <formula>'Concept Note'!$A$1:$AB$255</formula>
    <oldFormula>'Concept Note'!$A$1:$AB$255</oldFormula>
  </rdn>
  <rdn rId="0" localSheetId="5" customView="1" name="Z_D193A86F_CAEF_42FB_9ABB_073B57B81A50_.wvu.Cols" hidden="1" oldHidden="1">
    <formula>'Concept Note'!$AJ:$AO</formula>
    <oldFormula>'Concept Note'!$AJ:$AO</oldFormula>
  </rdn>
  <rdn rId="0" localSheetId="6" customView="1" name="Z_D193A86F_CAEF_42FB_9ABB_073B57B81A50_.wvu.Cols" hidden="1" oldHidden="1">
    <formula>'Summary budget'!$A:$I</formula>
    <oldFormula>'Summary budget'!$A:$I</oldFormula>
  </rdn>
  <rcv guid="{D193A86F-CAEF-42FB-9ABB-073B57B81A50}"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193A86F-CAEF-42FB-9ABB-073B57B81A50}" action="delete"/>
  <rdn rId="0" localSheetId="5" customView="1" name="Z_D193A86F_CAEF_42FB_9ABB_073B57B81A50_.wvu.PrintArea" hidden="1" oldHidden="1">
    <formula>'Concept Note'!$A$1:$AB$255</formula>
    <oldFormula>'Concept Note'!$A$1:$AB$255</oldFormula>
  </rdn>
  <rdn rId="0" localSheetId="5" customView="1" name="Z_D193A86F_CAEF_42FB_9ABB_073B57B81A50_.wvu.Cols" hidden="1" oldHidden="1">
    <formula>'Concept Note'!$AJ:$AO</formula>
    <oldFormula>'Concept Note'!$AJ:$AO</oldFormula>
  </rdn>
  <rdn rId="0" localSheetId="6" customView="1" name="Z_D193A86F_CAEF_42FB_9ABB_073B57B81A50_.wvu.Cols" hidden="1" oldHidden="1">
    <formula>'Summary budget'!$A:$I</formula>
    <oldFormula>'Summary budget'!$A:$I</oldFormula>
  </rdn>
  <rcv guid="{D193A86F-CAEF-42FB-9ABB-073B57B81A50}"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F241">
    <dxf>
      <fill>
        <patternFill>
          <bgColor rgb="FFFFFF00"/>
        </patternFill>
      </fill>
    </dxf>
  </rfmt>
  <rfmt sheetId="5" sqref="Q241:R241">
    <dxf>
      <fill>
        <patternFill>
          <bgColor rgb="FFFFFF00"/>
        </patternFill>
      </fill>
    </dxf>
  </rfmt>
  <rcv guid="{D193A86F-CAEF-42FB-9ABB-073B57B81A50}" action="delete"/>
  <rdn rId="0" localSheetId="5" customView="1" name="Z_D193A86F_CAEF_42FB_9ABB_073B57B81A50_.wvu.PrintArea" hidden="1" oldHidden="1">
    <formula>'Concept Note'!$A$1:$AB$255</formula>
    <oldFormula>'Concept Note'!$A$1:$AB$255</oldFormula>
  </rdn>
  <rdn rId="0" localSheetId="5" customView="1" name="Z_D193A86F_CAEF_42FB_9ABB_073B57B81A50_.wvu.Cols" hidden="1" oldHidden="1">
    <formula>'Concept Note'!$AJ:$AO</formula>
    <oldFormula>'Concept Note'!$AJ:$AO</oldFormula>
  </rdn>
  <rdn rId="0" localSheetId="6" customView="1" name="Z_D193A86F_CAEF_42FB_9ABB_073B57B81A50_.wvu.Cols" hidden="1" oldHidden="1">
    <formula>'Summary budget'!$A:$I</formula>
    <oldFormula>'Summary budget'!$A:$I</oldFormula>
  </rdn>
  <rcv guid="{D193A86F-CAEF-42FB-9ABB-073B57B81A50}"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5" customView="1" name="Z_AB7DC012_E038_4AC4_B964_79EBEC1A7DBE_.wvu.PrintArea" hidden="1" oldHidden="1">
    <formula>'Concept Note'!$A$1:$AB$255</formula>
  </rdn>
  <rdn rId="0" localSheetId="5" customView="1" name="Z_AB7DC012_E038_4AC4_B964_79EBEC1A7DBE_.wvu.Cols" hidden="1" oldHidden="1">
    <formula>'Concept Note'!$AJ:$AO</formula>
  </rdn>
  <rdn rId="0" localSheetId="6" customView="1" name="Z_AB7DC012_E038_4AC4_B964_79EBEC1A7DBE_.wvu.Cols" hidden="1" oldHidden="1">
    <formula>'Summary budget'!$A:$I</formula>
  </rdn>
  <rcv guid="{AB7DC012-E038-4AC4-B964-79EBEC1A7DB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7A4670A3-8D11-4A46-90DC-1A187B122047}" name="Svetlana Dupriez" id="-264298849" dateTime="2013-10-18T10:40: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FF00"/>
  </sheetPr>
  <dimension ref="A1"/>
  <sheetViews>
    <sheetView zoomScale="85" zoomScaleNormal="85" zoomScaleSheetLayoutView="85" zoomScalePageLayoutView="85" workbookViewId="0">
      <selection activeCell="T16" sqref="A1:XFD1048576"/>
    </sheetView>
  </sheetViews>
  <sheetFormatPr defaultColWidth="9.140625" defaultRowHeight="15" x14ac:dyDescent="0.2"/>
  <cols>
    <col min="1" max="16384" width="9.140625" style="1"/>
  </cols>
  <sheetData/>
  <sheetProtection insertRows="0" deleteRows="0" sort="0" autoFilter="0"/>
  <customSheetViews>
    <customSheetView guid="{AB7DC012-E038-4AC4-B964-79EBEC1A7DBE}" scale="85" state="hidden">
      <selection activeCell="T16" sqref="A1:XFD1048576"/>
      <pageMargins left="0.7" right="0.7" top="0.75" bottom="0.75" header="0.3" footer="0.3"/>
      <printOptions horizontalCentered="1"/>
      <pageSetup paperSize="9" scale="49" fitToHeight="3" orientation="landscape" cellComments="asDisplayed"/>
      <headerFooter alignWithMargins="0"/>
    </customSheetView>
    <customSheetView guid="{8263CC96-2145-451B-AD8A-CC38FD628AC9}" scale="85" state="hidden">
      <selection activeCell="T16" sqref="A1:XFD1048576"/>
      <pageMargins left="0.7" right="0.7" top="0.75" bottom="0.75" header="0.3" footer="0.3"/>
      <printOptions horizontalCentered="1"/>
      <pageSetup paperSize="9" scale="49" fitToHeight="3" orientation="landscape" cellComments="asDisplayed"/>
      <headerFooter alignWithMargins="0"/>
    </customSheetView>
    <customSheetView guid="{721132AF-EF29-4C83-8A4A-F17ABB4BD7C0}" scale="85" state="hidden">
      <selection activeCell="T16" sqref="A1:XFD1048576"/>
      <pageMargins left="0.7" right="0.7" top="0.75" bottom="0.75" header="0.3" footer="0.3"/>
      <printOptions horizontalCentered="1"/>
      <pageSetup paperSize="9" scale="49" fitToHeight="3" orientation="landscape" cellComments="asDisplayed"/>
      <headerFooter alignWithMargins="0"/>
    </customSheetView>
    <customSheetView guid="{CE0E8020-2C9F-41F1-9136-031F56EB2C71}" scale="85" state="hidden">
      <selection activeCell="T16" sqref="A1:XFD1048576"/>
      <pageMargins left="0.7" right="0.7" top="0.75" bottom="0.75" header="0.3" footer="0.3"/>
      <printOptions horizontalCentered="1"/>
      <headerFooter alignWithMargins="0"/>
    </customSheetView>
    <customSheetView guid="{E823EC26-EF2B-442F-BAF4-E4055CE48BD3}" scale="85" state="hidden">
      <selection activeCell="T16" sqref="A1:XFD1048576"/>
      <pageMargins left="0.7" right="0.7" top="0.75" bottom="0.75" header="0.3" footer="0.3"/>
      <printOptions horizontalCentered="1"/>
      <headerFooter alignWithMargins="0"/>
    </customSheetView>
    <customSheetView guid="{86255A0E-17F2-0E4B-B055-7B9B2A71C25A}" scale="85" state="hidden">
      <selection activeCell="T16" sqref="A1:XFD1048576"/>
      <pageMargins left="0.7" right="0.7" top="0.75" bottom="0.75" header="0.3" footer="0.3"/>
      <printOptions horizontalCentered="1"/>
      <pageSetup paperSize="9" scale="49" fitToHeight="3" orientation="landscape" cellComments="asDisplayed"/>
      <headerFooter alignWithMargins="0"/>
    </customSheetView>
    <customSheetView guid="{D193A86F-CAEF-42FB-9ABB-073B57B81A50}" scale="85" state="hidden">
      <selection activeCell="T16" sqref="A1:XFD1048576"/>
      <pageMargins left="0.7" right="0.7" top="0.75" bottom="0.75" header="0.3" footer="0.3"/>
      <printOptions horizontalCentered="1"/>
      <pageSetup paperSize="9" scale="49" fitToHeight="3" orientation="landscape" cellComments="asDisplayed"/>
      <headerFooter alignWithMargins="0"/>
    </customSheetView>
  </customSheetViews>
  <printOptions horizontalCentered="1"/>
  <pageMargins left="0.7" right="0.7" top="0.75" bottom="0.75" header="0.3" footer="0.3"/>
  <pageSetup paperSize="9" scale="49" fitToHeight="3" orientation="landscape" cellComments="asDisplayed"/>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pageSetUpPr fitToPage="1"/>
  </sheetPr>
  <dimension ref="A1"/>
  <sheetViews>
    <sheetView zoomScale="85" zoomScaleNormal="85" zoomScaleSheetLayoutView="85" zoomScalePageLayoutView="85" workbookViewId="0">
      <selection activeCell="C12" sqref="C12"/>
    </sheetView>
  </sheetViews>
  <sheetFormatPr defaultColWidth="9.140625" defaultRowHeight="15" x14ac:dyDescent="0.2"/>
  <cols>
    <col min="1" max="16384" width="9.140625" style="1"/>
  </cols>
  <sheetData/>
  <sheetProtection insertRows="0" deleteRows="0" sort="0" autoFilter="0"/>
  <customSheetViews>
    <customSheetView guid="{AB7DC012-E038-4AC4-B964-79EBEC1A7DBE}" scale="85" fitToPage="1" state="hidden">
      <selection activeCell="C12" sqref="C12"/>
      <pageMargins left="0.7" right="0.7" top="0.75" bottom="0.75" header="0.3" footer="0.3"/>
      <printOptions horizontalCentered="1"/>
      <pageSetup paperSize="9" fitToHeight="2" orientation="landscape" cellComments="asDisplayed"/>
      <headerFooter alignWithMargins="0"/>
    </customSheetView>
    <customSheetView guid="{8263CC96-2145-451B-AD8A-CC38FD628AC9}" scale="85" fitToPage="1" state="hidden">
      <selection activeCell="C12" sqref="C12"/>
      <pageMargins left="0.7" right="0.7" top="0.75" bottom="0.75" header="0.3" footer="0.3"/>
      <printOptions horizontalCentered="1"/>
      <pageSetup paperSize="9" fitToHeight="2" orientation="landscape" cellComments="asDisplayed"/>
      <headerFooter alignWithMargins="0"/>
    </customSheetView>
    <customSheetView guid="{721132AF-EF29-4C83-8A4A-F17ABB4BD7C0}" scale="85" fitToPage="1" state="hidden">
      <selection activeCell="C12" sqref="C12"/>
      <pageMargins left="0.7" right="0.7" top="0.75" bottom="0.75" header="0.3" footer="0.3"/>
      <printOptions horizontalCentered="1"/>
      <pageSetup paperSize="9" fitToHeight="2" orientation="landscape" cellComments="asDisplayed"/>
      <headerFooter alignWithMargins="0"/>
    </customSheetView>
    <customSheetView guid="{CE0E8020-2C9F-41F1-9136-031F56EB2C71}" scale="85" fitToPage="1" state="hidden">
      <selection activeCell="C12" sqref="C12"/>
      <pageMargins left="0.7" right="0.7" top="0.75" bottom="0.75" header="0.3" footer="0.3"/>
      <printOptions horizontalCentered="1"/>
      <headerFooter alignWithMargins="0"/>
    </customSheetView>
    <customSheetView guid="{E823EC26-EF2B-442F-BAF4-E4055CE48BD3}" scale="85" fitToPage="1" state="hidden">
      <selection activeCell="C12" sqref="C12"/>
      <pageMargins left="0.7" right="0.7" top="0.75" bottom="0.75" header="0.3" footer="0.3"/>
      <printOptions horizontalCentered="1"/>
      <headerFooter alignWithMargins="0"/>
    </customSheetView>
    <customSheetView guid="{86255A0E-17F2-0E4B-B055-7B9B2A71C25A}" scale="85" fitToPage="1" state="hidden">
      <selection activeCell="C12" sqref="C12"/>
      <pageMargins left="0.7" right="0.7" top="0.75" bottom="0.75" header="0.3" footer="0.3"/>
      <printOptions horizontalCentered="1"/>
      <pageSetup paperSize="9" fitToHeight="2" orientation="landscape" cellComments="asDisplayed"/>
      <headerFooter alignWithMargins="0"/>
    </customSheetView>
    <customSheetView guid="{D193A86F-CAEF-42FB-9ABB-073B57B81A50}" scale="85" fitToPage="1" state="hidden">
      <selection activeCell="C12" sqref="C12"/>
      <pageMargins left="0.7" right="0.7" top="0.75" bottom="0.75" header="0.3" footer="0.3"/>
      <printOptions horizontalCentered="1"/>
      <pageSetup paperSize="9" fitToHeight="2" orientation="landscape" cellComments="asDisplayed"/>
      <headerFooter alignWithMargins="0"/>
    </customSheetView>
  </customSheetViews>
  <printOptions horizontalCentered="1"/>
  <pageMargins left="0.7" right="0.7" top="0.75" bottom="0.75" header="0.3" footer="0.3"/>
  <pageSetup paperSize="9" fitToHeight="2" orientation="landscape" cellComments="asDisplayed"/>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FFFF00"/>
    <pageSetUpPr fitToPage="1"/>
  </sheetPr>
  <dimension ref="A1"/>
  <sheetViews>
    <sheetView zoomScale="85" zoomScaleNormal="85" zoomScaleSheetLayoutView="85" zoomScalePageLayoutView="85" workbookViewId="0">
      <selection activeCell="D33" sqref="D33"/>
    </sheetView>
  </sheetViews>
  <sheetFormatPr defaultColWidth="9.140625" defaultRowHeight="15" x14ac:dyDescent="0.2"/>
  <cols>
    <col min="1" max="16384" width="9.140625" style="1"/>
  </cols>
  <sheetData/>
  <sheetProtection insertRows="0" deleteRows="0" sort="0" autoFilter="0"/>
  <customSheetViews>
    <customSheetView guid="{AB7DC012-E038-4AC4-B964-79EBEC1A7DBE}" scale="85" fitToPage="1" state="hidden">
      <selection activeCell="D33" sqref="D33"/>
      <pageMargins left="0.7" right="0.7" top="0.75" bottom="0.75" header="0.3" footer="0.3"/>
      <printOptions horizontalCentered="1"/>
      <pageSetup paperSize="9" fitToHeight="3" orientation="landscape" cellComments="asDisplayed"/>
      <headerFooter alignWithMargins="0"/>
    </customSheetView>
    <customSheetView guid="{8263CC96-2145-451B-AD8A-CC38FD628AC9}" scale="85" fitToPage="1" state="hidden">
      <selection activeCell="D33" sqref="D33"/>
      <pageMargins left="0.7" right="0.7" top="0.75" bottom="0.75" header="0.3" footer="0.3"/>
      <printOptions horizontalCentered="1"/>
      <pageSetup paperSize="9" fitToHeight="3" orientation="landscape" cellComments="asDisplayed"/>
      <headerFooter alignWithMargins="0"/>
    </customSheetView>
    <customSheetView guid="{721132AF-EF29-4C83-8A4A-F17ABB4BD7C0}" scale="85" fitToPage="1" state="hidden">
      <selection activeCell="D33" sqref="D33"/>
      <pageMargins left="0.7" right="0.7" top="0.75" bottom="0.75" header="0.3" footer="0.3"/>
      <printOptions horizontalCentered="1"/>
      <pageSetup paperSize="9" fitToHeight="3" orientation="landscape" cellComments="asDisplayed"/>
      <headerFooter alignWithMargins="0"/>
    </customSheetView>
    <customSheetView guid="{CE0E8020-2C9F-41F1-9136-031F56EB2C71}" scale="85" fitToPage="1" state="hidden">
      <selection activeCell="D33" sqref="D33"/>
      <pageMargins left="0.7" right="0.7" top="0.75" bottom="0.75" header="0.3" footer="0.3"/>
      <printOptions horizontalCentered="1"/>
      <headerFooter alignWithMargins="0"/>
    </customSheetView>
    <customSheetView guid="{E823EC26-EF2B-442F-BAF4-E4055CE48BD3}" scale="85" fitToPage="1" state="hidden">
      <selection activeCell="D33" sqref="D33"/>
      <pageMargins left="0.7" right="0.7" top="0.75" bottom="0.75" header="0.3" footer="0.3"/>
      <printOptions horizontalCentered="1"/>
      <headerFooter alignWithMargins="0"/>
    </customSheetView>
    <customSheetView guid="{86255A0E-17F2-0E4B-B055-7B9B2A71C25A}" scale="85" fitToPage="1" state="hidden">
      <selection activeCell="D33" sqref="D33"/>
      <pageMargins left="0.7" right="0.7" top="0.75" bottom="0.75" header="0.3" footer="0.3"/>
      <printOptions horizontalCentered="1"/>
      <pageSetup paperSize="9" fitToHeight="3" orientation="landscape" cellComments="asDisplayed"/>
      <headerFooter alignWithMargins="0"/>
    </customSheetView>
    <customSheetView guid="{D193A86F-CAEF-42FB-9ABB-073B57B81A50}" scale="85" fitToPage="1" state="hidden">
      <selection activeCell="D33" sqref="D33"/>
      <pageMargins left="0.7" right="0.7" top="0.75" bottom="0.75" header="0.3" footer="0.3"/>
      <printOptions horizontalCentered="1"/>
      <pageSetup paperSize="9" fitToHeight="3" orientation="landscape" cellComments="asDisplayed"/>
      <headerFooter alignWithMargins="0"/>
    </customSheetView>
  </customSheetViews>
  <printOptions horizontalCentered="1"/>
  <pageMargins left="0.7" right="0.7" top="0.75" bottom="0.75" header="0.3" footer="0.3"/>
  <pageSetup paperSize="9" fitToHeight="3" orientation="landscape" cellComments="asDisplayed"/>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B84"/>
  <sheetViews>
    <sheetView topLeftCell="A34" zoomScale="85" zoomScaleNormal="85" zoomScaleSheetLayoutView="25" zoomScalePageLayoutView="85" workbookViewId="0">
      <selection activeCell="A7" sqref="A7:Y7"/>
    </sheetView>
  </sheetViews>
  <sheetFormatPr defaultColWidth="9.140625" defaultRowHeight="15" x14ac:dyDescent="0.2"/>
  <cols>
    <col min="1" max="3" width="9.140625" style="73"/>
    <col min="4" max="4" width="13.28515625" style="73" customWidth="1"/>
    <col min="5" max="9" width="9.140625" style="73"/>
    <col min="10" max="10" width="13.42578125" style="73" customWidth="1"/>
    <col min="11" max="16384" width="9.140625" style="73"/>
  </cols>
  <sheetData>
    <row r="1" spans="1:28" ht="18" x14ac:dyDescent="0.2">
      <c r="A1" s="145" t="str">
        <f ca="1">Translations!A81</f>
        <v xml:space="preserve">Modular Approach - Concept Note </v>
      </c>
      <c r="B1" s="146"/>
      <c r="C1" s="146"/>
      <c r="D1" s="146"/>
      <c r="E1" s="146"/>
      <c r="F1" s="146"/>
      <c r="G1" s="146"/>
      <c r="H1" s="146"/>
      <c r="I1" s="146"/>
      <c r="J1" s="146"/>
      <c r="K1" s="146"/>
      <c r="L1" s="146"/>
      <c r="M1" s="146"/>
      <c r="N1" s="78"/>
      <c r="O1" s="93" t="str">
        <f ca="1">Translations!$A$80</f>
        <v>Language:</v>
      </c>
      <c r="P1" s="473" t="s">
        <v>538</v>
      </c>
      <c r="Q1" s="474"/>
      <c r="R1" s="474"/>
      <c r="S1" s="474"/>
      <c r="T1" s="475"/>
      <c r="U1" s="132"/>
      <c r="V1" s="133"/>
      <c r="W1" s="133"/>
      <c r="X1" s="133"/>
      <c r="Y1" s="133"/>
      <c r="Z1" s="147"/>
      <c r="AA1" s="85"/>
      <c r="AB1" s="85"/>
    </row>
    <row r="2" spans="1:28" ht="18" x14ac:dyDescent="0.2">
      <c r="A2" s="144" t="str">
        <f ca="1">Translations!$A$7</f>
        <v>A. Program details</v>
      </c>
      <c r="B2" s="126"/>
      <c r="C2" s="126"/>
      <c r="D2" s="126"/>
      <c r="E2" s="126"/>
      <c r="F2" s="126"/>
      <c r="G2" s="126"/>
      <c r="H2" s="126"/>
      <c r="I2" s="126"/>
      <c r="J2" s="126"/>
      <c r="K2" s="126"/>
      <c r="L2" s="126"/>
      <c r="M2" s="126"/>
      <c r="N2" s="140"/>
      <c r="O2" s="140"/>
      <c r="P2" s="140"/>
      <c r="Q2" s="140"/>
      <c r="R2" s="140"/>
      <c r="S2" s="140"/>
      <c r="T2" s="140"/>
      <c r="U2" s="151"/>
      <c r="V2" s="149"/>
      <c r="W2" s="149"/>
      <c r="X2" s="149"/>
      <c r="Y2" s="149"/>
      <c r="Z2" s="150"/>
      <c r="AA2" s="85"/>
      <c r="AB2" s="85"/>
    </row>
    <row r="3" spans="1:28" x14ac:dyDescent="0.2">
      <c r="A3" s="339" t="str">
        <f ca="1">Translations!$A$8</f>
        <v>Country / Applicant:</v>
      </c>
      <c r="B3" s="340"/>
      <c r="C3" s="341"/>
      <c r="D3" s="352" t="str">
        <f ca="1">Translations!A72</f>
        <v>Please select…</v>
      </c>
      <c r="E3" s="352"/>
      <c r="F3" s="352"/>
      <c r="G3" s="353"/>
      <c r="H3" s="354" t="str">
        <f ca="1">Translations!$A$13</f>
        <v>Principal Recipients</v>
      </c>
      <c r="I3" s="355"/>
      <c r="J3" s="356"/>
      <c r="K3" s="476"/>
      <c r="L3" s="476"/>
      <c r="M3" s="476"/>
      <c r="N3" s="476"/>
      <c r="O3" s="476"/>
      <c r="P3" s="476"/>
      <c r="Q3" s="476"/>
      <c r="R3" s="476"/>
      <c r="S3" s="477" t="str">
        <f>IFERROR(VLOOKUP(K3,Definitions!R:S,2,FALSE),"")</f>
        <v/>
      </c>
      <c r="T3" s="478"/>
      <c r="U3" s="354" t="str">
        <f ca="1">Translations!$A$77</f>
        <v>Total requested
amount</v>
      </c>
      <c r="V3" s="355"/>
      <c r="W3" s="355"/>
      <c r="X3" s="355"/>
      <c r="Y3" s="355"/>
      <c r="Z3" s="386"/>
      <c r="AA3" s="85"/>
      <c r="AB3" s="85"/>
    </row>
    <row r="4" spans="1:28" x14ac:dyDescent="0.2">
      <c r="A4" s="339" t="str">
        <f ca="1">Translations!$A$9</f>
        <v>Component:</v>
      </c>
      <c r="B4" s="340"/>
      <c r="C4" s="341"/>
      <c r="D4" s="342" t="str">
        <f ca="1">Translations!A72</f>
        <v>Please select…</v>
      </c>
      <c r="E4" s="342"/>
      <c r="F4" s="342"/>
      <c r="G4" s="343"/>
      <c r="H4" s="357"/>
      <c r="I4" s="358"/>
      <c r="J4" s="359"/>
      <c r="K4" s="479"/>
      <c r="L4" s="479"/>
      <c r="M4" s="479"/>
      <c r="N4" s="479"/>
      <c r="O4" s="479"/>
      <c r="P4" s="479"/>
      <c r="Q4" s="479"/>
      <c r="R4" s="479"/>
      <c r="S4" s="489" t="str">
        <f>IFERROR(VLOOKUP(K4,Definitions!R:S,2,FALSE),"")</f>
        <v/>
      </c>
      <c r="T4" s="490"/>
      <c r="U4" s="357"/>
      <c r="V4" s="358"/>
      <c r="W4" s="358"/>
      <c r="X4" s="358"/>
      <c r="Y4" s="358"/>
      <c r="Z4" s="405"/>
      <c r="AA4" s="85"/>
      <c r="AB4" s="85"/>
    </row>
    <row r="5" spans="1:28" x14ac:dyDescent="0.2">
      <c r="A5" s="339" t="str">
        <f ca="1">Translations!$A$10</f>
        <v>Start Year:</v>
      </c>
      <c r="B5" s="340"/>
      <c r="C5" s="341"/>
      <c r="D5" s="342" t="str">
        <f ca="1">Translations!A72</f>
        <v>Please select…</v>
      </c>
      <c r="E5" s="342"/>
      <c r="F5" s="342"/>
      <c r="G5" s="343"/>
      <c r="H5" s="344" t="str">
        <f ca="1">Translations!$A$14</f>
        <v>(Please select from list or add a new one)</v>
      </c>
      <c r="I5" s="345"/>
      <c r="J5" s="346"/>
      <c r="K5" s="479"/>
      <c r="L5" s="479"/>
      <c r="M5" s="479"/>
      <c r="N5" s="479"/>
      <c r="O5" s="479"/>
      <c r="P5" s="479"/>
      <c r="Q5" s="479"/>
      <c r="R5" s="479"/>
      <c r="S5" s="489" t="str">
        <f>IFERROR(VLOOKUP(K5,Definitions!R:S,2,FALSE),"")</f>
        <v/>
      </c>
      <c r="T5" s="490"/>
      <c r="U5" s="491" t="str">
        <f ca="1">Translations!$A$78</f>
        <v>Indicative</v>
      </c>
      <c r="V5" s="492"/>
      <c r="W5" s="492"/>
      <c r="X5" s="492"/>
      <c r="Y5" s="493">
        <f ca="1">SUMIF(A:A,Translations!$A$84,F:F)</f>
        <v>0</v>
      </c>
      <c r="Z5" s="494"/>
      <c r="AA5" s="85"/>
      <c r="AB5" s="85"/>
    </row>
    <row r="6" spans="1:28" x14ac:dyDescent="0.2">
      <c r="A6" s="339" t="str">
        <f ca="1">Translations!$A$11</f>
        <v>Start Month:</v>
      </c>
      <c r="B6" s="340"/>
      <c r="C6" s="341"/>
      <c r="D6" s="350" t="str">
        <f ca="1">Translations!A72</f>
        <v>Please select…</v>
      </c>
      <c r="E6" s="350"/>
      <c r="F6" s="350"/>
      <c r="G6" s="351"/>
      <c r="H6" s="347"/>
      <c r="I6" s="348"/>
      <c r="J6" s="349"/>
      <c r="K6" s="479"/>
      <c r="L6" s="479"/>
      <c r="M6" s="479"/>
      <c r="N6" s="479"/>
      <c r="O6" s="479"/>
      <c r="P6" s="479"/>
      <c r="Q6" s="479"/>
      <c r="R6" s="479"/>
      <c r="S6" s="495" t="str">
        <f>IFERROR(VLOOKUP(K6,Definitions!R:S,2,FALSE),"")</f>
        <v/>
      </c>
      <c r="T6" s="496"/>
      <c r="U6" s="497" t="str">
        <f ca="1">Translations!$A$79</f>
        <v>Above indicative</v>
      </c>
      <c r="V6" s="498"/>
      <c r="W6" s="498"/>
      <c r="X6" s="498"/>
      <c r="Y6" s="499">
        <f ca="1">SUMIF(J:J,Translations!$A$85,Q:Q)</f>
        <v>0</v>
      </c>
      <c r="Z6" s="500"/>
      <c r="AA6" s="85"/>
      <c r="AB6" s="85"/>
    </row>
    <row r="7" spans="1:28" x14ac:dyDescent="0.2">
      <c r="A7" s="360"/>
      <c r="B7" s="360"/>
      <c r="C7" s="360"/>
      <c r="D7" s="360"/>
      <c r="E7" s="360"/>
      <c r="F7" s="360"/>
      <c r="G7" s="360"/>
      <c r="H7" s="360"/>
      <c r="I7" s="360"/>
      <c r="J7" s="360"/>
      <c r="K7" s="360"/>
      <c r="L7" s="360"/>
      <c r="M7" s="360"/>
      <c r="N7" s="360"/>
      <c r="O7" s="360"/>
      <c r="P7" s="360"/>
      <c r="Q7" s="360"/>
      <c r="R7" s="360"/>
      <c r="S7" s="360"/>
      <c r="T7" s="360"/>
      <c r="U7" s="360"/>
      <c r="V7" s="360"/>
      <c r="W7" s="360"/>
      <c r="X7" s="360"/>
      <c r="Y7" s="360"/>
      <c r="Z7" s="148"/>
      <c r="AA7" s="85"/>
      <c r="AB7" s="85"/>
    </row>
    <row r="8" spans="1:28" ht="15.75" x14ac:dyDescent="0.2">
      <c r="A8" s="368" t="str">
        <f ca="1">Translations!$A$25</f>
        <v>B. Program goals and impact indicators</v>
      </c>
      <c r="B8" s="369"/>
      <c r="C8" s="369"/>
      <c r="D8" s="369"/>
      <c r="E8" s="369"/>
      <c r="F8" s="369"/>
      <c r="G8" s="369"/>
      <c r="H8" s="369"/>
      <c r="I8" s="369"/>
      <c r="J8" s="369"/>
      <c r="K8" s="369"/>
      <c r="L8" s="369"/>
      <c r="M8" s="369"/>
      <c r="N8" s="369"/>
      <c r="O8" s="369"/>
      <c r="P8" s="369"/>
      <c r="Q8" s="369"/>
      <c r="R8" s="369"/>
      <c r="S8" s="369"/>
      <c r="T8" s="369"/>
      <c r="U8" s="369"/>
      <c r="V8" s="369"/>
      <c r="W8" s="369"/>
      <c r="X8" s="369"/>
      <c r="Y8" s="369"/>
      <c r="Z8" s="370"/>
      <c r="AA8" s="85"/>
      <c r="AB8" s="85"/>
    </row>
    <row r="9" spans="1:28" x14ac:dyDescent="0.2">
      <c r="A9" s="339" t="str">
        <f ca="1">Translations!$A$26</f>
        <v xml:space="preserve">  Goals:</v>
      </c>
      <c r="B9" s="340"/>
      <c r="C9" s="340"/>
      <c r="D9" s="340"/>
      <c r="E9" s="340"/>
      <c r="F9" s="340"/>
      <c r="G9" s="340"/>
      <c r="H9" s="340"/>
      <c r="I9" s="340"/>
      <c r="J9" s="340"/>
      <c r="K9" s="340"/>
      <c r="L9" s="340"/>
      <c r="M9" s="340"/>
      <c r="N9" s="340"/>
      <c r="O9" s="340"/>
      <c r="P9" s="340"/>
      <c r="Q9" s="340"/>
      <c r="R9" s="340"/>
      <c r="S9" s="340"/>
      <c r="T9" s="340"/>
      <c r="U9" s="340"/>
      <c r="V9" s="340"/>
      <c r="W9" s="340"/>
      <c r="X9" s="340"/>
      <c r="Y9" s="340"/>
      <c r="Z9" s="361"/>
      <c r="AA9" s="85"/>
      <c r="AB9" s="85"/>
    </row>
    <row r="10" spans="1:28" x14ac:dyDescent="0.2">
      <c r="A10" s="152">
        <v>1</v>
      </c>
      <c r="B10" s="371"/>
      <c r="C10" s="372"/>
      <c r="D10" s="372"/>
      <c r="E10" s="372"/>
      <c r="F10" s="372"/>
      <c r="G10" s="372"/>
      <c r="H10" s="372"/>
      <c r="I10" s="372"/>
      <c r="J10" s="372"/>
      <c r="K10" s="372"/>
      <c r="L10" s="372"/>
      <c r="M10" s="372"/>
      <c r="N10" s="372"/>
      <c r="O10" s="372"/>
      <c r="P10" s="372"/>
      <c r="Q10" s="372"/>
      <c r="R10" s="372"/>
      <c r="S10" s="372"/>
      <c r="T10" s="372"/>
      <c r="U10" s="372"/>
      <c r="V10" s="372"/>
      <c r="W10" s="372"/>
      <c r="X10" s="372"/>
      <c r="Y10" s="372"/>
      <c r="Z10" s="373"/>
      <c r="AA10" s="85"/>
      <c r="AB10" s="85"/>
    </row>
    <row r="11" spans="1:28" x14ac:dyDescent="0.2">
      <c r="A11" s="155">
        <v>2</v>
      </c>
      <c r="B11" s="362"/>
      <c r="C11" s="363"/>
      <c r="D11" s="363"/>
      <c r="E11" s="363"/>
      <c r="F11" s="363"/>
      <c r="G11" s="363"/>
      <c r="H11" s="363"/>
      <c r="I11" s="363"/>
      <c r="J11" s="363"/>
      <c r="K11" s="363"/>
      <c r="L11" s="363"/>
      <c r="M11" s="363"/>
      <c r="N11" s="363"/>
      <c r="O11" s="363"/>
      <c r="P11" s="363"/>
      <c r="Q11" s="363"/>
      <c r="R11" s="363"/>
      <c r="S11" s="363"/>
      <c r="T11" s="363"/>
      <c r="U11" s="363"/>
      <c r="V11" s="363"/>
      <c r="W11" s="363"/>
      <c r="X11" s="363"/>
      <c r="Y11" s="363"/>
      <c r="Z11" s="364"/>
      <c r="AA11" s="85"/>
      <c r="AB11" s="85"/>
    </row>
    <row r="12" spans="1:28" x14ac:dyDescent="0.2">
      <c r="A12" s="154">
        <v>3</v>
      </c>
      <c r="B12" s="365"/>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7"/>
      <c r="AA12" s="85"/>
      <c r="AB12" s="85"/>
    </row>
    <row r="13" spans="1:28" x14ac:dyDescent="0.2">
      <c r="A13" s="105"/>
      <c r="B13" s="105"/>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c r="AA13" s="85"/>
      <c r="AB13" s="85"/>
    </row>
    <row r="14" spans="1:28" x14ac:dyDescent="0.2">
      <c r="A14" s="402" t="str">
        <f ca="1">Translations!$A$27</f>
        <v>Linked to goal(s) #</v>
      </c>
      <c r="B14" s="354" t="str">
        <f ca="1">Translations!$A$28</f>
        <v>Impact indicator</v>
      </c>
      <c r="C14" s="355"/>
      <c r="D14" s="355"/>
      <c r="E14" s="355"/>
      <c r="F14" s="355"/>
      <c r="G14" s="355"/>
      <c r="H14" s="386"/>
      <c r="I14" s="374" t="str">
        <f ca="1">Translations!$A$29</f>
        <v>Baseline</v>
      </c>
      <c r="J14" s="375"/>
      <c r="K14" s="375"/>
      <c r="L14" s="375"/>
      <c r="M14" s="375"/>
      <c r="N14" s="376"/>
      <c r="O14" s="374" t="str">
        <f ca="1">Translations!$A$30</f>
        <v>Targets</v>
      </c>
      <c r="P14" s="375"/>
      <c r="Q14" s="375"/>
      <c r="R14" s="375"/>
      <c r="S14" s="375"/>
      <c r="T14" s="376"/>
      <c r="U14" s="377" t="str">
        <f ca="1">Translations!$A$73</f>
        <v>Comments and Assumptions</v>
      </c>
      <c r="V14" s="378"/>
      <c r="W14" s="378"/>
      <c r="X14" s="378"/>
      <c r="Y14" s="378"/>
      <c r="Z14" s="379"/>
      <c r="AA14" s="85"/>
      <c r="AB14" s="85"/>
    </row>
    <row r="15" spans="1:28" x14ac:dyDescent="0.2">
      <c r="A15" s="403"/>
      <c r="B15" s="357"/>
      <c r="C15" s="358"/>
      <c r="D15" s="358"/>
      <c r="E15" s="358"/>
      <c r="F15" s="358"/>
      <c r="G15" s="358"/>
      <c r="H15" s="405"/>
      <c r="I15" s="354" t="str">
        <f ca="1">Translations!$A$31</f>
        <v>Value</v>
      </c>
      <c r="J15" s="386"/>
      <c r="K15" s="389" t="str">
        <f ca="1">Translations!$A$32</f>
        <v xml:space="preserve">Year </v>
      </c>
      <c r="L15" s="354" t="str">
        <f ca="1">Translations!$A$33</f>
        <v>Source</v>
      </c>
      <c r="M15" s="355"/>
      <c r="N15" s="386"/>
      <c r="O15" s="374" t="str">
        <f ca="1">Translations!$A$34</f>
        <v>Year 1</v>
      </c>
      <c r="P15" s="376"/>
      <c r="Q15" s="374" t="str">
        <f ca="1">Translations!$A$35</f>
        <v>Year 2</v>
      </c>
      <c r="R15" s="376"/>
      <c r="S15" s="374" t="str">
        <f ca="1">Translations!$A$36</f>
        <v>Year 3</v>
      </c>
      <c r="T15" s="376"/>
      <c r="U15" s="380"/>
      <c r="V15" s="381"/>
      <c r="W15" s="381"/>
      <c r="X15" s="381"/>
      <c r="Y15" s="381"/>
      <c r="Z15" s="382"/>
      <c r="AA15" s="85"/>
      <c r="AB15" s="85"/>
    </row>
    <row r="16" spans="1:28" x14ac:dyDescent="0.2">
      <c r="A16" s="404"/>
      <c r="B16" s="387"/>
      <c r="C16" s="391"/>
      <c r="D16" s="391"/>
      <c r="E16" s="391"/>
      <c r="F16" s="391"/>
      <c r="G16" s="391"/>
      <c r="H16" s="388"/>
      <c r="I16" s="387"/>
      <c r="J16" s="388"/>
      <c r="K16" s="390"/>
      <c r="L16" s="387"/>
      <c r="M16" s="391"/>
      <c r="N16" s="388"/>
      <c r="O16" s="392">
        <f ca="1">IFERROR(IF(MonthIndex&lt;7,StartYearSelected,StartYearSelected+1),"")</f>
        <v>2014</v>
      </c>
      <c r="P16" s="393"/>
      <c r="Q16" s="392">
        <f ca="1">IFERROR(O16+1,"")</f>
        <v>2015</v>
      </c>
      <c r="R16" s="393"/>
      <c r="S16" s="392">
        <f ca="1">IFERROR(Q16+1,"")</f>
        <v>2016</v>
      </c>
      <c r="T16" s="393"/>
      <c r="U16" s="383"/>
      <c r="V16" s="384"/>
      <c r="W16" s="384"/>
      <c r="X16" s="384"/>
      <c r="Y16" s="384"/>
      <c r="Z16" s="385"/>
      <c r="AA16" s="85"/>
      <c r="AB16" s="85"/>
    </row>
    <row r="17" spans="1:28" ht="30" customHeight="1" x14ac:dyDescent="0.2">
      <c r="A17" s="76"/>
      <c r="B17" s="397" t="str">
        <f ca="1">Translations!A72</f>
        <v>Please select…</v>
      </c>
      <c r="C17" s="352"/>
      <c r="D17" s="352"/>
      <c r="E17" s="352"/>
      <c r="F17" s="352"/>
      <c r="G17" s="352"/>
      <c r="H17" s="398"/>
      <c r="I17" s="394"/>
      <c r="J17" s="395"/>
      <c r="K17" s="87"/>
      <c r="L17" s="399" t="str">
        <f ca="1">Translations!$A$72</f>
        <v>Please select…</v>
      </c>
      <c r="M17" s="400"/>
      <c r="N17" s="401"/>
      <c r="O17" s="394"/>
      <c r="P17" s="395"/>
      <c r="Q17" s="394"/>
      <c r="R17" s="395"/>
      <c r="S17" s="394"/>
      <c r="T17" s="396"/>
      <c r="U17" s="97"/>
      <c r="V17" s="98"/>
      <c r="W17" s="98"/>
      <c r="X17" s="98"/>
      <c r="Y17" s="98"/>
      <c r="Z17" s="99"/>
      <c r="AA17" s="85"/>
      <c r="AB17" s="85"/>
    </row>
    <row r="18" spans="1:28" ht="30" customHeight="1" x14ac:dyDescent="0.2">
      <c r="A18" s="79"/>
      <c r="B18" s="406" t="str">
        <f ca="1">Translations!A72</f>
        <v>Please select…</v>
      </c>
      <c r="C18" s="342"/>
      <c r="D18" s="342"/>
      <c r="E18" s="342"/>
      <c r="F18" s="342"/>
      <c r="G18" s="342"/>
      <c r="H18" s="407"/>
      <c r="I18" s="408"/>
      <c r="J18" s="409"/>
      <c r="K18" s="88"/>
      <c r="L18" s="410" t="str">
        <f ca="1">Translations!$A$72</f>
        <v>Please select…</v>
      </c>
      <c r="M18" s="411"/>
      <c r="N18" s="412"/>
      <c r="O18" s="408"/>
      <c r="P18" s="409"/>
      <c r="Q18" s="408"/>
      <c r="R18" s="409"/>
      <c r="S18" s="408"/>
      <c r="T18" s="413"/>
      <c r="U18" s="97"/>
      <c r="V18" s="98"/>
      <c r="W18" s="98"/>
      <c r="X18" s="98"/>
      <c r="Y18" s="98"/>
      <c r="Z18" s="99"/>
      <c r="AA18" s="85"/>
      <c r="AB18" s="85"/>
    </row>
    <row r="19" spans="1:28" ht="30" customHeight="1" x14ac:dyDescent="0.2">
      <c r="A19" s="80"/>
      <c r="B19" s="406" t="str">
        <f ca="1">Translations!A72</f>
        <v>Please select…</v>
      </c>
      <c r="C19" s="342"/>
      <c r="D19" s="342"/>
      <c r="E19" s="342"/>
      <c r="F19" s="342"/>
      <c r="G19" s="342"/>
      <c r="H19" s="407"/>
      <c r="I19" s="408"/>
      <c r="J19" s="409"/>
      <c r="K19" s="88"/>
      <c r="L19" s="410" t="str">
        <f ca="1">Translations!$A$72</f>
        <v>Please select…</v>
      </c>
      <c r="M19" s="411"/>
      <c r="N19" s="412"/>
      <c r="O19" s="408"/>
      <c r="P19" s="409"/>
      <c r="Q19" s="408"/>
      <c r="R19" s="409"/>
      <c r="S19" s="408"/>
      <c r="T19" s="413"/>
      <c r="U19" s="97"/>
      <c r="V19" s="98"/>
      <c r="W19" s="98"/>
      <c r="X19" s="98"/>
      <c r="Y19" s="98"/>
      <c r="Z19" s="99"/>
      <c r="AA19" s="85"/>
      <c r="AB19" s="85"/>
    </row>
    <row r="20" spans="1:28" ht="30" customHeight="1" x14ac:dyDescent="0.2">
      <c r="A20" s="80"/>
      <c r="B20" s="406" t="str">
        <f ca="1">Translations!A72</f>
        <v>Please select…</v>
      </c>
      <c r="C20" s="342"/>
      <c r="D20" s="342"/>
      <c r="E20" s="342"/>
      <c r="F20" s="342"/>
      <c r="G20" s="342"/>
      <c r="H20" s="407"/>
      <c r="I20" s="408"/>
      <c r="J20" s="409"/>
      <c r="K20" s="88"/>
      <c r="L20" s="410" t="str">
        <f ca="1">Translations!$A$72</f>
        <v>Please select…</v>
      </c>
      <c r="M20" s="411"/>
      <c r="N20" s="412"/>
      <c r="O20" s="408"/>
      <c r="P20" s="409"/>
      <c r="Q20" s="408"/>
      <c r="R20" s="409"/>
      <c r="S20" s="408"/>
      <c r="T20" s="413"/>
      <c r="U20" s="97"/>
      <c r="V20" s="98"/>
      <c r="W20" s="98"/>
      <c r="X20" s="98"/>
      <c r="Y20" s="98"/>
      <c r="Z20" s="99"/>
      <c r="AA20" s="85"/>
      <c r="AB20" s="85"/>
    </row>
    <row r="21" spans="1:28" ht="30" customHeight="1" x14ac:dyDescent="0.2">
      <c r="A21" s="84"/>
      <c r="B21" s="501" t="str">
        <f ca="1">Translations!A72</f>
        <v>Please select…</v>
      </c>
      <c r="C21" s="350"/>
      <c r="D21" s="350"/>
      <c r="E21" s="350"/>
      <c r="F21" s="350"/>
      <c r="G21" s="350"/>
      <c r="H21" s="502"/>
      <c r="I21" s="424"/>
      <c r="J21" s="425"/>
      <c r="K21" s="89"/>
      <c r="L21" s="426" t="str">
        <f ca="1">Translations!$A$72</f>
        <v>Please select…</v>
      </c>
      <c r="M21" s="427"/>
      <c r="N21" s="428"/>
      <c r="O21" s="424"/>
      <c r="P21" s="425"/>
      <c r="Q21" s="424"/>
      <c r="R21" s="425"/>
      <c r="S21" s="424"/>
      <c r="T21" s="429"/>
      <c r="U21" s="97"/>
      <c r="V21" s="98"/>
      <c r="W21" s="98"/>
      <c r="X21" s="98"/>
      <c r="Y21" s="98"/>
      <c r="Z21" s="99"/>
      <c r="AA21" s="85"/>
      <c r="AB21" s="85"/>
    </row>
    <row r="22" spans="1:28" x14ac:dyDescent="0.2">
      <c r="A22" s="106"/>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85"/>
      <c r="AB22" s="85"/>
    </row>
    <row r="23" spans="1:28" ht="15.75" x14ac:dyDescent="0.2">
      <c r="A23" s="368" t="str">
        <f ca="1">Translations!$A$41</f>
        <v>C. Program objectives and outcome indicators</v>
      </c>
      <c r="B23" s="369"/>
      <c r="C23" s="369"/>
      <c r="D23" s="369"/>
      <c r="E23" s="369"/>
      <c r="F23" s="369"/>
      <c r="G23" s="369"/>
      <c r="H23" s="369"/>
      <c r="I23" s="369"/>
      <c r="J23" s="369"/>
      <c r="K23" s="369"/>
      <c r="L23" s="369"/>
      <c r="M23" s="369"/>
      <c r="N23" s="369"/>
      <c r="O23" s="369"/>
      <c r="P23" s="369"/>
      <c r="Q23" s="369"/>
      <c r="R23" s="369"/>
      <c r="S23" s="369"/>
      <c r="T23" s="369"/>
      <c r="U23" s="369"/>
      <c r="V23" s="369"/>
      <c r="W23" s="369"/>
      <c r="X23" s="369"/>
      <c r="Y23" s="369"/>
      <c r="Z23" s="370"/>
      <c r="AA23" s="85"/>
      <c r="AB23" s="85"/>
    </row>
    <row r="24" spans="1:28" x14ac:dyDescent="0.2">
      <c r="A24" s="339" t="str">
        <f ca="1">Translations!$A$42</f>
        <v xml:space="preserve">     Objectives:</v>
      </c>
      <c r="B24" s="340"/>
      <c r="C24" s="340"/>
      <c r="D24" s="340"/>
      <c r="E24" s="340"/>
      <c r="F24" s="340"/>
      <c r="G24" s="340"/>
      <c r="H24" s="340"/>
      <c r="I24" s="340"/>
      <c r="J24" s="340"/>
      <c r="K24" s="340"/>
      <c r="L24" s="340"/>
      <c r="M24" s="340"/>
      <c r="N24" s="340"/>
      <c r="O24" s="340"/>
      <c r="P24" s="340"/>
      <c r="Q24" s="340"/>
      <c r="R24" s="340"/>
      <c r="S24" s="340"/>
      <c r="T24" s="340"/>
      <c r="U24" s="340"/>
      <c r="V24" s="340"/>
      <c r="W24" s="340"/>
      <c r="X24" s="340"/>
      <c r="Y24" s="340"/>
      <c r="Z24" s="361"/>
      <c r="AA24" s="85"/>
      <c r="AB24" s="85"/>
    </row>
    <row r="25" spans="1:28" ht="30" customHeight="1" x14ac:dyDescent="0.2">
      <c r="A25" s="152">
        <v>1</v>
      </c>
      <c r="B25" s="371"/>
      <c r="C25" s="372"/>
      <c r="D25" s="372"/>
      <c r="E25" s="372"/>
      <c r="F25" s="372"/>
      <c r="G25" s="372"/>
      <c r="H25" s="372"/>
      <c r="I25" s="372"/>
      <c r="J25" s="372"/>
      <c r="K25" s="372"/>
      <c r="L25" s="372"/>
      <c r="M25" s="372"/>
      <c r="N25" s="372"/>
      <c r="O25" s="372"/>
      <c r="P25" s="372"/>
      <c r="Q25" s="372"/>
      <c r="R25" s="372"/>
      <c r="S25" s="372"/>
      <c r="T25" s="372"/>
      <c r="U25" s="372"/>
      <c r="V25" s="372"/>
      <c r="W25" s="372"/>
      <c r="X25" s="372"/>
      <c r="Y25" s="372"/>
      <c r="Z25" s="373"/>
      <c r="AA25" s="85"/>
      <c r="AB25" s="85"/>
    </row>
    <row r="26" spans="1:28" ht="30" customHeight="1" x14ac:dyDescent="0.2">
      <c r="A26" s="153">
        <v>2</v>
      </c>
      <c r="B26" s="362"/>
      <c r="C26" s="363"/>
      <c r="D26" s="363"/>
      <c r="E26" s="363"/>
      <c r="F26" s="363"/>
      <c r="G26" s="363"/>
      <c r="H26" s="363"/>
      <c r="I26" s="363"/>
      <c r="J26" s="363"/>
      <c r="K26" s="363"/>
      <c r="L26" s="363"/>
      <c r="M26" s="363"/>
      <c r="N26" s="363"/>
      <c r="O26" s="363"/>
      <c r="P26" s="363"/>
      <c r="Q26" s="363"/>
      <c r="R26" s="363"/>
      <c r="S26" s="363"/>
      <c r="T26" s="363"/>
      <c r="U26" s="363"/>
      <c r="V26" s="363"/>
      <c r="W26" s="363"/>
      <c r="X26" s="363"/>
      <c r="Y26" s="363"/>
      <c r="Z26" s="364"/>
      <c r="AA26" s="85"/>
      <c r="AB26" s="85"/>
    </row>
    <row r="27" spans="1:28" ht="30" customHeight="1" x14ac:dyDescent="0.2">
      <c r="A27" s="153">
        <v>3</v>
      </c>
      <c r="B27" s="362"/>
      <c r="C27" s="363"/>
      <c r="D27" s="363"/>
      <c r="E27" s="363"/>
      <c r="F27" s="363"/>
      <c r="G27" s="363"/>
      <c r="H27" s="363"/>
      <c r="I27" s="363"/>
      <c r="J27" s="363"/>
      <c r="K27" s="363"/>
      <c r="L27" s="363"/>
      <c r="M27" s="363"/>
      <c r="N27" s="363"/>
      <c r="O27" s="363"/>
      <c r="P27" s="363"/>
      <c r="Q27" s="363"/>
      <c r="R27" s="363"/>
      <c r="S27" s="363"/>
      <c r="T27" s="363"/>
      <c r="U27" s="363"/>
      <c r="V27" s="363"/>
      <c r="W27" s="363"/>
      <c r="X27" s="363"/>
      <c r="Y27" s="363"/>
      <c r="Z27" s="364"/>
      <c r="AA27" s="85"/>
      <c r="AB27" s="85"/>
    </row>
    <row r="28" spans="1:28" ht="30" customHeight="1" x14ac:dyDescent="0.2">
      <c r="A28" s="153">
        <v>4</v>
      </c>
      <c r="B28" s="362"/>
      <c r="C28" s="363"/>
      <c r="D28" s="363"/>
      <c r="E28" s="363"/>
      <c r="F28" s="363"/>
      <c r="G28" s="363"/>
      <c r="H28" s="363"/>
      <c r="I28" s="363"/>
      <c r="J28" s="363"/>
      <c r="K28" s="363"/>
      <c r="L28" s="363"/>
      <c r="M28" s="363"/>
      <c r="N28" s="363"/>
      <c r="O28" s="363"/>
      <c r="P28" s="363"/>
      <c r="Q28" s="363"/>
      <c r="R28" s="363"/>
      <c r="S28" s="363"/>
      <c r="T28" s="363"/>
      <c r="U28" s="363"/>
      <c r="V28" s="363"/>
      <c r="W28" s="363"/>
      <c r="X28" s="363"/>
      <c r="Y28" s="363"/>
      <c r="Z28" s="364"/>
      <c r="AA28" s="85"/>
      <c r="AB28" s="85"/>
    </row>
    <row r="29" spans="1:28" ht="30" customHeight="1" x14ac:dyDescent="0.2">
      <c r="A29" s="153">
        <v>5</v>
      </c>
      <c r="B29" s="362"/>
      <c r="C29" s="363"/>
      <c r="D29" s="363"/>
      <c r="E29" s="363"/>
      <c r="F29" s="363"/>
      <c r="G29" s="363"/>
      <c r="H29" s="363"/>
      <c r="I29" s="363"/>
      <c r="J29" s="363"/>
      <c r="K29" s="363"/>
      <c r="L29" s="363"/>
      <c r="M29" s="363"/>
      <c r="N29" s="363"/>
      <c r="O29" s="363"/>
      <c r="P29" s="363"/>
      <c r="Q29" s="363"/>
      <c r="R29" s="363"/>
      <c r="S29" s="363"/>
      <c r="T29" s="363"/>
      <c r="U29" s="363"/>
      <c r="V29" s="363"/>
      <c r="W29" s="363"/>
      <c r="X29" s="363"/>
      <c r="Y29" s="363"/>
      <c r="Z29" s="364"/>
      <c r="AA29" s="85"/>
      <c r="AB29" s="85"/>
    </row>
    <row r="30" spans="1:28" ht="30" customHeight="1" x14ac:dyDescent="0.2">
      <c r="A30" s="154">
        <v>6</v>
      </c>
      <c r="B30" s="365"/>
      <c r="C30" s="366"/>
      <c r="D30" s="366"/>
      <c r="E30" s="366"/>
      <c r="F30" s="366"/>
      <c r="G30" s="366"/>
      <c r="H30" s="366"/>
      <c r="I30" s="366"/>
      <c r="J30" s="366"/>
      <c r="K30" s="366"/>
      <c r="L30" s="366"/>
      <c r="M30" s="366"/>
      <c r="N30" s="366"/>
      <c r="O30" s="366"/>
      <c r="P30" s="366"/>
      <c r="Q30" s="366"/>
      <c r="R30" s="366"/>
      <c r="S30" s="366"/>
      <c r="T30" s="366"/>
      <c r="U30" s="366"/>
      <c r="V30" s="366"/>
      <c r="W30" s="366"/>
      <c r="X30" s="366"/>
      <c r="Y30" s="366"/>
      <c r="Z30" s="367"/>
      <c r="AA30" s="85"/>
      <c r="AB30" s="85"/>
    </row>
    <row r="31" spans="1:28" x14ac:dyDescent="0.2">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83"/>
    </row>
    <row r="32" spans="1:28" x14ac:dyDescent="0.2">
      <c r="A32" s="402" t="str">
        <f ca="1">Translations!$A$43</f>
        <v xml:space="preserve">Linked to objective(s) # </v>
      </c>
      <c r="B32" s="354" t="str">
        <f ca="1">Translations!A44</f>
        <v>Outcome indicator</v>
      </c>
      <c r="C32" s="355"/>
      <c r="D32" s="355"/>
      <c r="E32" s="355"/>
      <c r="F32" s="355"/>
      <c r="G32" s="355"/>
      <c r="H32" s="386"/>
      <c r="I32" s="374" t="str">
        <f ca="1">Translations!$A$29</f>
        <v>Baseline</v>
      </c>
      <c r="J32" s="375"/>
      <c r="K32" s="375"/>
      <c r="L32" s="375"/>
      <c r="M32" s="375"/>
      <c r="N32" s="376"/>
      <c r="O32" s="374" t="str">
        <f ca="1">Translations!$A$30</f>
        <v>Targets</v>
      </c>
      <c r="P32" s="375"/>
      <c r="Q32" s="375"/>
      <c r="R32" s="375"/>
      <c r="S32" s="375"/>
      <c r="T32" s="376"/>
      <c r="U32" s="377" t="str">
        <f ca="1">Translations!$A$73</f>
        <v>Comments and Assumptions</v>
      </c>
      <c r="V32" s="378"/>
      <c r="W32" s="378"/>
      <c r="X32" s="378"/>
      <c r="Y32" s="378"/>
      <c r="Z32" s="379"/>
      <c r="AA32" s="134"/>
      <c r="AB32" s="135"/>
    </row>
    <row r="33" spans="1:28" x14ac:dyDescent="0.2">
      <c r="A33" s="403"/>
      <c r="B33" s="357"/>
      <c r="C33" s="358"/>
      <c r="D33" s="358"/>
      <c r="E33" s="358"/>
      <c r="F33" s="358"/>
      <c r="G33" s="358"/>
      <c r="H33" s="405"/>
      <c r="I33" s="354" t="str">
        <f ca="1">Translations!$A$31</f>
        <v>Value</v>
      </c>
      <c r="J33" s="386"/>
      <c r="K33" s="389" t="str">
        <f ca="1">Translations!$A$32</f>
        <v xml:space="preserve">Year </v>
      </c>
      <c r="L33" s="354" t="str">
        <f ca="1">Translations!$A$33</f>
        <v>Source</v>
      </c>
      <c r="M33" s="355"/>
      <c r="N33" s="386"/>
      <c r="O33" s="374" t="str">
        <f ca="1">Translations!$A$34</f>
        <v>Year 1</v>
      </c>
      <c r="P33" s="376"/>
      <c r="Q33" s="374" t="str">
        <f ca="1">Translations!$A$35</f>
        <v>Year 2</v>
      </c>
      <c r="R33" s="376"/>
      <c r="S33" s="374" t="str">
        <f ca="1">Translations!$A$36</f>
        <v>Year 3</v>
      </c>
      <c r="T33" s="376"/>
      <c r="U33" s="380"/>
      <c r="V33" s="381"/>
      <c r="W33" s="381"/>
      <c r="X33" s="381"/>
      <c r="Y33" s="381"/>
      <c r="Z33" s="382"/>
      <c r="AA33" s="134"/>
      <c r="AB33" s="135"/>
    </row>
    <row r="34" spans="1:28" x14ac:dyDescent="0.2">
      <c r="A34" s="404"/>
      <c r="B34" s="387"/>
      <c r="C34" s="391"/>
      <c r="D34" s="391"/>
      <c r="E34" s="391"/>
      <c r="F34" s="391"/>
      <c r="G34" s="391"/>
      <c r="H34" s="388"/>
      <c r="I34" s="387"/>
      <c r="J34" s="388"/>
      <c r="K34" s="390"/>
      <c r="L34" s="387"/>
      <c r="M34" s="391"/>
      <c r="N34" s="388"/>
      <c r="O34" s="392">
        <f ca="1">O16</f>
        <v>2014</v>
      </c>
      <c r="P34" s="393"/>
      <c r="Q34" s="392">
        <f ca="1">Q16</f>
        <v>2015</v>
      </c>
      <c r="R34" s="393"/>
      <c r="S34" s="392">
        <f ca="1">S16</f>
        <v>2016</v>
      </c>
      <c r="T34" s="393"/>
      <c r="U34" s="383"/>
      <c r="V34" s="384"/>
      <c r="W34" s="384"/>
      <c r="X34" s="384"/>
      <c r="Y34" s="384"/>
      <c r="Z34" s="385"/>
      <c r="AA34" s="134"/>
      <c r="AB34" s="135"/>
    </row>
    <row r="35" spans="1:28" ht="30" customHeight="1" x14ac:dyDescent="0.2">
      <c r="A35" s="76"/>
      <c r="B35" s="397" t="str">
        <f ca="1">Translations!$A$72</f>
        <v>Please select…</v>
      </c>
      <c r="C35" s="352"/>
      <c r="D35" s="352"/>
      <c r="E35" s="352"/>
      <c r="F35" s="352"/>
      <c r="G35" s="352"/>
      <c r="H35" s="398"/>
      <c r="I35" s="394"/>
      <c r="J35" s="395"/>
      <c r="K35" s="87"/>
      <c r="L35" s="399" t="str">
        <f ca="1">Translations!$A$72</f>
        <v>Please select…</v>
      </c>
      <c r="M35" s="400"/>
      <c r="N35" s="401"/>
      <c r="O35" s="394"/>
      <c r="P35" s="395"/>
      <c r="Q35" s="394"/>
      <c r="R35" s="395"/>
      <c r="S35" s="394"/>
      <c r="T35" s="396"/>
      <c r="U35" s="107"/>
      <c r="V35" s="108"/>
      <c r="W35" s="108"/>
      <c r="X35" s="108"/>
      <c r="Y35" s="108"/>
      <c r="Z35" s="109"/>
      <c r="AA35" s="137"/>
      <c r="AB35" s="138"/>
    </row>
    <row r="36" spans="1:28" ht="30" customHeight="1" x14ac:dyDescent="0.2">
      <c r="A36" s="79"/>
      <c r="B36" s="418" t="str">
        <f ca="1">Translations!$A$72</f>
        <v>Please select…</v>
      </c>
      <c r="C36" s="419"/>
      <c r="D36" s="419"/>
      <c r="E36" s="419"/>
      <c r="F36" s="419"/>
      <c r="G36" s="419"/>
      <c r="H36" s="420"/>
      <c r="I36" s="408"/>
      <c r="J36" s="409"/>
      <c r="K36" s="88"/>
      <c r="L36" s="410" t="str">
        <f ca="1">Translations!$A$72</f>
        <v>Please select…</v>
      </c>
      <c r="M36" s="411"/>
      <c r="N36" s="412"/>
      <c r="O36" s="408"/>
      <c r="P36" s="409"/>
      <c r="Q36" s="408"/>
      <c r="R36" s="409"/>
      <c r="S36" s="408"/>
      <c r="T36" s="413"/>
      <c r="U36" s="110"/>
      <c r="V36" s="111"/>
      <c r="W36" s="111"/>
      <c r="X36" s="111"/>
      <c r="Y36" s="111"/>
      <c r="Z36" s="112"/>
      <c r="AA36" s="137"/>
      <c r="AB36" s="138"/>
    </row>
    <row r="37" spans="1:28" ht="30" customHeight="1" x14ac:dyDescent="0.2">
      <c r="A37" s="80"/>
      <c r="B37" s="418" t="str">
        <f ca="1">Translations!$A$72</f>
        <v>Please select…</v>
      </c>
      <c r="C37" s="419"/>
      <c r="D37" s="419"/>
      <c r="E37" s="419"/>
      <c r="F37" s="419"/>
      <c r="G37" s="419"/>
      <c r="H37" s="420"/>
      <c r="I37" s="408"/>
      <c r="J37" s="409"/>
      <c r="K37" s="88"/>
      <c r="L37" s="410" t="str">
        <f ca="1">Translations!$A$72</f>
        <v>Please select…</v>
      </c>
      <c r="M37" s="411"/>
      <c r="N37" s="412"/>
      <c r="O37" s="408"/>
      <c r="P37" s="409"/>
      <c r="Q37" s="408"/>
      <c r="R37" s="409"/>
      <c r="S37" s="408"/>
      <c r="T37" s="413"/>
      <c r="U37" s="110"/>
      <c r="V37" s="111"/>
      <c r="W37" s="111"/>
      <c r="X37" s="111"/>
      <c r="Y37" s="111"/>
      <c r="Z37" s="112"/>
      <c r="AA37" s="137"/>
      <c r="AB37" s="138"/>
    </row>
    <row r="38" spans="1:28" ht="30" customHeight="1" x14ac:dyDescent="0.2">
      <c r="A38" s="80"/>
      <c r="B38" s="418" t="str">
        <f ca="1">Translations!$A$72</f>
        <v>Please select…</v>
      </c>
      <c r="C38" s="419"/>
      <c r="D38" s="419"/>
      <c r="E38" s="419"/>
      <c r="F38" s="419"/>
      <c r="G38" s="419"/>
      <c r="H38" s="420"/>
      <c r="I38" s="408"/>
      <c r="J38" s="409"/>
      <c r="K38" s="88"/>
      <c r="L38" s="410" t="str">
        <f ca="1">Translations!$A$72</f>
        <v>Please select…</v>
      </c>
      <c r="M38" s="411"/>
      <c r="N38" s="412"/>
      <c r="O38" s="408"/>
      <c r="P38" s="409"/>
      <c r="Q38" s="408"/>
      <c r="R38" s="409"/>
      <c r="S38" s="408"/>
      <c r="T38" s="413"/>
      <c r="U38" s="110"/>
      <c r="V38" s="111"/>
      <c r="W38" s="111"/>
      <c r="X38" s="111"/>
      <c r="Y38" s="111"/>
      <c r="Z38" s="112"/>
      <c r="AA38" s="137"/>
      <c r="AB38" s="138"/>
    </row>
    <row r="39" spans="1:28" ht="30" customHeight="1" x14ac:dyDescent="0.2">
      <c r="A39" s="84"/>
      <c r="B39" s="421" t="str">
        <f ca="1">Translations!$A$72</f>
        <v>Please select…</v>
      </c>
      <c r="C39" s="422"/>
      <c r="D39" s="422"/>
      <c r="E39" s="422"/>
      <c r="F39" s="422"/>
      <c r="G39" s="422"/>
      <c r="H39" s="423"/>
      <c r="I39" s="424"/>
      <c r="J39" s="425"/>
      <c r="K39" s="89"/>
      <c r="L39" s="426" t="str">
        <f ca="1">Translations!$A$72</f>
        <v>Please select…</v>
      </c>
      <c r="M39" s="427"/>
      <c r="N39" s="428"/>
      <c r="O39" s="424"/>
      <c r="P39" s="425"/>
      <c r="Q39" s="424"/>
      <c r="R39" s="425"/>
      <c r="S39" s="424"/>
      <c r="T39" s="429"/>
      <c r="U39" s="113"/>
      <c r="V39" s="114"/>
      <c r="W39" s="114"/>
      <c r="X39" s="114"/>
      <c r="Y39" s="114"/>
      <c r="Z39" s="115"/>
      <c r="AA39" s="137"/>
      <c r="AB39" s="138"/>
    </row>
    <row r="40" spans="1:28" x14ac:dyDescent="0.2">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row>
    <row r="41" spans="1:28" ht="15.75" x14ac:dyDescent="0.2">
      <c r="A41" s="430" t="str">
        <f ca="1">Translations!A74</f>
        <v>D. Modules</v>
      </c>
      <c r="B41" s="431"/>
      <c r="C41" s="431"/>
      <c r="D41" s="431"/>
      <c r="E41" s="431"/>
      <c r="F41" s="431"/>
      <c r="G41" s="431"/>
      <c r="H41" s="431"/>
      <c r="I41" s="431"/>
      <c r="J41" s="431"/>
      <c r="K41" s="431"/>
      <c r="L41" s="431"/>
      <c r="M41" s="431"/>
      <c r="N41" s="431"/>
      <c r="O41" s="431"/>
      <c r="P41" s="431"/>
      <c r="Q41" s="431"/>
      <c r="R41" s="431"/>
      <c r="S41" s="431"/>
      <c r="T41" s="431"/>
      <c r="U41" s="431"/>
      <c r="V41" s="431"/>
      <c r="W41" s="431"/>
      <c r="X41" s="431"/>
      <c r="Y41" s="431"/>
      <c r="Z41" s="431"/>
      <c r="AA41" s="431"/>
      <c r="AB41" s="432"/>
    </row>
    <row r="42" spans="1:28" ht="15.75" x14ac:dyDescent="0.2">
      <c r="A42" s="101"/>
      <c r="B42" s="102"/>
      <c r="C42" s="102"/>
      <c r="D42" s="102"/>
      <c r="E42" s="102"/>
      <c r="F42" s="102"/>
      <c r="G42" s="102"/>
      <c r="H42" s="102"/>
      <c r="I42" s="102"/>
      <c r="J42" s="102"/>
      <c r="K42" s="102"/>
      <c r="L42" s="102"/>
      <c r="M42" s="102"/>
      <c r="N42" s="102"/>
      <c r="O42" s="102"/>
      <c r="P42" s="103"/>
      <c r="Q42" s="103"/>
      <c r="R42" s="103"/>
      <c r="S42" s="103"/>
      <c r="T42" s="103"/>
      <c r="U42" s="103"/>
      <c r="V42" s="103"/>
      <c r="W42" s="103"/>
      <c r="X42" s="103"/>
      <c r="Y42" s="103"/>
      <c r="Z42" s="92"/>
      <c r="AA42" s="92"/>
      <c r="AB42" s="92"/>
    </row>
    <row r="43" spans="1:28" ht="15.75" x14ac:dyDescent="0.2">
      <c r="A43" s="433" t="str">
        <f ca="1">Translations!$A$75</f>
        <v>Module</v>
      </c>
      <c r="B43" s="434"/>
      <c r="C43" s="178">
        <v>1</v>
      </c>
      <c r="D43" s="435" t="str">
        <f ca="1">Translations!$A$72</f>
        <v>Please select…</v>
      </c>
      <c r="E43" s="435"/>
      <c r="F43" s="435"/>
      <c r="G43" s="435"/>
      <c r="H43" s="435"/>
      <c r="I43" s="435"/>
      <c r="J43" s="435"/>
      <c r="K43" s="139"/>
      <c r="L43" s="140"/>
      <c r="M43" s="140"/>
      <c r="N43" s="140"/>
      <c r="O43" s="140"/>
      <c r="P43" s="140"/>
      <c r="Q43" s="140"/>
      <c r="R43" s="140"/>
      <c r="S43" s="140"/>
      <c r="T43" s="140"/>
      <c r="U43" s="140"/>
      <c r="V43" s="140"/>
      <c r="W43" s="140"/>
      <c r="X43" s="140"/>
      <c r="Y43" s="140"/>
      <c r="Z43" s="140"/>
      <c r="AA43" s="140"/>
      <c r="AB43" s="77"/>
    </row>
    <row r="44" spans="1:28" ht="15.75" x14ac:dyDescent="0.2">
      <c r="A44" s="144" t="str">
        <f ca="1">Translations!$A$76</f>
        <v>Measurement framework for module</v>
      </c>
      <c r="B44" s="160"/>
      <c r="C44" s="160"/>
      <c r="D44" s="160"/>
      <c r="E44" s="160"/>
      <c r="F44" s="160"/>
      <c r="G44" s="100"/>
      <c r="H44" s="100"/>
      <c r="I44" s="100"/>
      <c r="J44" s="100"/>
      <c r="K44" s="100"/>
      <c r="L44" s="100"/>
      <c r="M44" s="100"/>
      <c r="N44" s="100"/>
      <c r="O44" s="100"/>
      <c r="P44" s="100"/>
      <c r="Q44" s="100"/>
      <c r="R44" s="414"/>
      <c r="S44" s="414"/>
      <c r="T44" s="414"/>
      <c r="U44" s="414"/>
      <c r="V44" s="414"/>
      <c r="W44" s="414"/>
      <c r="X44" s="414"/>
      <c r="Y44" s="414"/>
      <c r="Z44" s="414"/>
      <c r="AA44" s="414"/>
      <c r="AB44" s="415"/>
    </row>
    <row r="45" spans="1:28" x14ac:dyDescent="0.2">
      <c r="A45" s="355" t="str">
        <f ca="1">Translations!$A$49</f>
        <v xml:space="preserve">Coverage/Output indicator </v>
      </c>
      <c r="B45" s="355"/>
      <c r="C45" s="386"/>
      <c r="D45" s="354" t="str">
        <f ca="1">Translations!$A$67</f>
        <v>Responsible Principal Recipient(s)</v>
      </c>
      <c r="E45" s="354" t="str">
        <f ca="1">Translations!$A$66</f>
        <v>Tied to</v>
      </c>
      <c r="F45" s="386"/>
      <c r="G45" s="354" t="str">
        <f ca="1">Translations!$A$29</f>
        <v>Baseline</v>
      </c>
      <c r="H45" s="355"/>
      <c r="I45" s="355"/>
      <c r="J45" s="386"/>
      <c r="K45" s="354"/>
      <c r="L45" s="355"/>
      <c r="M45" s="374" t="str">
        <f ca="1">Translations!$A$30</f>
        <v>Targets</v>
      </c>
      <c r="N45" s="375"/>
      <c r="O45" s="375"/>
      <c r="P45" s="375"/>
      <c r="Q45" s="375"/>
      <c r="R45" s="376"/>
      <c r="S45" s="505" t="str">
        <f ca="1">Translations!$A$82</f>
        <v>Target assumptions</v>
      </c>
      <c r="T45" s="506"/>
      <c r="U45" s="506"/>
      <c r="V45" s="506"/>
      <c r="W45" s="506"/>
      <c r="X45" s="506"/>
      <c r="Y45" s="506"/>
      <c r="Z45" s="506"/>
      <c r="AA45" s="506"/>
      <c r="AB45" s="507"/>
    </row>
    <row r="46" spans="1:28" x14ac:dyDescent="0.2">
      <c r="A46" s="358"/>
      <c r="B46" s="358"/>
      <c r="C46" s="405"/>
      <c r="D46" s="357"/>
      <c r="E46" s="357"/>
      <c r="F46" s="405"/>
      <c r="G46" s="387"/>
      <c r="H46" s="391"/>
      <c r="I46" s="391"/>
      <c r="J46" s="388"/>
      <c r="K46" s="357"/>
      <c r="L46" s="358"/>
      <c r="M46" s="374" t="str">
        <f ca="1">Translations!$A$34</f>
        <v>Year 1</v>
      </c>
      <c r="N46" s="376"/>
      <c r="O46" s="374" t="str">
        <f ca="1">Translations!$A$35</f>
        <v>Year 2</v>
      </c>
      <c r="P46" s="376"/>
      <c r="Q46" s="374" t="str">
        <f ca="1">Translations!$A$36</f>
        <v>Year 3</v>
      </c>
      <c r="R46" s="376"/>
      <c r="S46" s="508" t="str">
        <f ca="1">Translations!$A$83</f>
        <v>Please describe: 1) overall assumptions used in calculating targets, 2) anticipated rate of scale-up, 3) population size estimates, 4) description of indicator/package of services, 5) data source, 6) other relevant information</v>
      </c>
      <c r="T46" s="509"/>
      <c r="U46" s="509"/>
      <c r="V46" s="509"/>
      <c r="W46" s="509"/>
      <c r="X46" s="509"/>
      <c r="Y46" s="509"/>
      <c r="Z46" s="509"/>
      <c r="AA46" s="509"/>
      <c r="AB46" s="510"/>
    </row>
    <row r="47" spans="1:28" x14ac:dyDescent="0.2">
      <c r="A47" s="358"/>
      <c r="B47" s="358"/>
      <c r="C47" s="405"/>
      <c r="D47" s="357"/>
      <c r="E47" s="357"/>
      <c r="F47" s="405"/>
      <c r="G47" s="136" t="s">
        <v>15</v>
      </c>
      <c r="H47" s="389" t="s">
        <v>14</v>
      </c>
      <c r="I47" s="389" t="str">
        <f ca="1">Translations!$A$32</f>
        <v xml:space="preserve">Year </v>
      </c>
      <c r="J47" s="389" t="str">
        <f ca="1">Translations!$A$33</f>
        <v>Source</v>
      </c>
      <c r="K47" s="357"/>
      <c r="L47" s="416"/>
      <c r="M47" s="156" t="s">
        <v>15</v>
      </c>
      <c r="N47" s="503" t="s">
        <v>14</v>
      </c>
      <c r="O47" s="156" t="s">
        <v>15</v>
      </c>
      <c r="P47" s="503" t="s">
        <v>14</v>
      </c>
      <c r="Q47" s="156" t="s">
        <v>15</v>
      </c>
      <c r="R47" s="503" t="s">
        <v>14</v>
      </c>
      <c r="S47" s="508"/>
      <c r="T47" s="509"/>
      <c r="U47" s="509"/>
      <c r="V47" s="509"/>
      <c r="W47" s="509"/>
      <c r="X47" s="509"/>
      <c r="Y47" s="509"/>
      <c r="Z47" s="509"/>
      <c r="AA47" s="509"/>
      <c r="AB47" s="510"/>
    </row>
    <row r="48" spans="1:28" x14ac:dyDescent="0.2">
      <c r="A48" s="391"/>
      <c r="B48" s="391"/>
      <c r="C48" s="388"/>
      <c r="D48" s="387"/>
      <c r="E48" s="387"/>
      <c r="F48" s="388"/>
      <c r="G48" s="130" t="s">
        <v>13</v>
      </c>
      <c r="H48" s="390"/>
      <c r="I48" s="390"/>
      <c r="J48" s="390"/>
      <c r="K48" s="387"/>
      <c r="L48" s="417"/>
      <c r="M48" s="157" t="s">
        <v>13</v>
      </c>
      <c r="N48" s="504"/>
      <c r="O48" s="157" t="s">
        <v>13</v>
      </c>
      <c r="P48" s="504"/>
      <c r="Q48" s="157" t="s">
        <v>13</v>
      </c>
      <c r="R48" s="504"/>
      <c r="S48" s="511"/>
      <c r="T48" s="512"/>
      <c r="U48" s="512"/>
      <c r="V48" s="512"/>
      <c r="W48" s="512"/>
      <c r="X48" s="512"/>
      <c r="Y48" s="512"/>
      <c r="Z48" s="512"/>
      <c r="AA48" s="512"/>
      <c r="AB48" s="513"/>
    </row>
    <row r="49" spans="1:28" x14ac:dyDescent="0.2">
      <c r="A49" s="516"/>
      <c r="B49" s="517"/>
      <c r="C49" s="518"/>
      <c r="D49" s="525" t="str">
        <f ca="1">Translations!$A$72</f>
        <v>Please select…</v>
      </c>
      <c r="E49" s="528" t="str">
        <f ca="1">Translations!$A$72</f>
        <v>Please select…</v>
      </c>
      <c r="F49" s="529"/>
      <c r="G49" s="534"/>
      <c r="H49" s="514" t="str">
        <f>IF($G51&lt;&gt;"",$G49/$G51,"")</f>
        <v/>
      </c>
      <c r="I49" s="537"/>
      <c r="J49" s="540" t="str">
        <f ca="1">Translations!$A$72</f>
        <v>Please select…</v>
      </c>
      <c r="K49" s="543" t="str">
        <f ca="1">Translations!$A$78</f>
        <v>Indicative</v>
      </c>
      <c r="L49" s="544"/>
      <c r="M49" s="183"/>
      <c r="N49" s="514" t="str">
        <f>IF(M50&lt;&gt;"",M49/M50,"")</f>
        <v/>
      </c>
      <c r="O49" s="185"/>
      <c r="P49" s="514" t="str">
        <f>IF(O50&lt;&gt;"",O49/O50,"")</f>
        <v/>
      </c>
      <c r="Q49" s="185"/>
      <c r="R49" s="514" t="str">
        <f>IF(Q50&lt;&gt;"",Q49/Q50,"")</f>
        <v/>
      </c>
      <c r="S49" s="480"/>
      <c r="T49" s="481"/>
      <c r="U49" s="481"/>
      <c r="V49" s="481"/>
      <c r="W49" s="481"/>
      <c r="X49" s="481"/>
      <c r="Y49" s="481"/>
      <c r="Z49" s="481"/>
      <c r="AA49" s="481"/>
      <c r="AB49" s="482"/>
    </row>
    <row r="50" spans="1:28" x14ac:dyDescent="0.2">
      <c r="A50" s="519"/>
      <c r="B50" s="520"/>
      <c r="C50" s="521"/>
      <c r="D50" s="526"/>
      <c r="E50" s="530"/>
      <c r="F50" s="531"/>
      <c r="G50" s="535"/>
      <c r="H50" s="536"/>
      <c r="I50" s="538"/>
      <c r="J50" s="541"/>
      <c r="K50" s="545"/>
      <c r="L50" s="546"/>
      <c r="M50" s="184"/>
      <c r="N50" s="515"/>
      <c r="O50" s="186"/>
      <c r="P50" s="515"/>
      <c r="Q50" s="186"/>
      <c r="R50" s="515"/>
      <c r="S50" s="483"/>
      <c r="T50" s="484"/>
      <c r="U50" s="484"/>
      <c r="V50" s="484"/>
      <c r="W50" s="484"/>
      <c r="X50" s="484"/>
      <c r="Y50" s="484"/>
      <c r="Z50" s="484"/>
      <c r="AA50" s="484"/>
      <c r="AB50" s="485"/>
    </row>
    <row r="51" spans="1:28" x14ac:dyDescent="0.2">
      <c r="A51" s="519"/>
      <c r="B51" s="520"/>
      <c r="C51" s="521"/>
      <c r="D51" s="526"/>
      <c r="E51" s="530"/>
      <c r="F51" s="531"/>
      <c r="G51" s="534"/>
      <c r="H51" s="536"/>
      <c r="I51" s="538"/>
      <c r="J51" s="541"/>
      <c r="K51" s="547" t="str">
        <f ca="1">Translations!$A$79</f>
        <v>Above indicative</v>
      </c>
      <c r="L51" s="548"/>
      <c r="M51" s="183"/>
      <c r="N51" s="514" t="str">
        <f>IF(M52&lt;&gt;"",M51/M52,"")</f>
        <v/>
      </c>
      <c r="O51" s="185"/>
      <c r="P51" s="514" t="str">
        <f>IF(O52&lt;&gt;"",O51/O52,"")</f>
        <v/>
      </c>
      <c r="Q51" s="185"/>
      <c r="R51" s="514" t="str">
        <f>IF(Q52&lt;&gt;"",Q51/Q52,"")</f>
        <v/>
      </c>
      <c r="S51" s="483"/>
      <c r="T51" s="484"/>
      <c r="U51" s="484"/>
      <c r="V51" s="484"/>
      <c r="W51" s="484"/>
      <c r="X51" s="484"/>
      <c r="Y51" s="484"/>
      <c r="Z51" s="484"/>
      <c r="AA51" s="484"/>
      <c r="AB51" s="485"/>
    </row>
    <row r="52" spans="1:28" x14ac:dyDescent="0.2">
      <c r="A52" s="522"/>
      <c r="B52" s="523"/>
      <c r="C52" s="524"/>
      <c r="D52" s="527"/>
      <c r="E52" s="532"/>
      <c r="F52" s="533"/>
      <c r="G52" s="535"/>
      <c r="H52" s="515"/>
      <c r="I52" s="539"/>
      <c r="J52" s="542"/>
      <c r="K52" s="549"/>
      <c r="L52" s="550"/>
      <c r="M52" s="184"/>
      <c r="N52" s="515"/>
      <c r="O52" s="186"/>
      <c r="P52" s="515"/>
      <c r="Q52" s="186"/>
      <c r="R52" s="515"/>
      <c r="S52" s="486"/>
      <c r="T52" s="487"/>
      <c r="U52" s="487"/>
      <c r="V52" s="487"/>
      <c r="W52" s="487"/>
      <c r="X52" s="487"/>
      <c r="Y52" s="487"/>
      <c r="Z52" s="487"/>
      <c r="AA52" s="487"/>
      <c r="AB52" s="488"/>
    </row>
    <row r="53" spans="1:28" x14ac:dyDescent="0.2">
      <c r="A53" s="516"/>
      <c r="B53" s="517"/>
      <c r="C53" s="518"/>
      <c r="D53" s="525" t="str">
        <f ca="1">Translations!$A$72</f>
        <v>Please select…</v>
      </c>
      <c r="E53" s="528" t="str">
        <f ca="1">Translations!$A$72</f>
        <v>Please select…</v>
      </c>
      <c r="F53" s="529"/>
      <c r="G53" s="534"/>
      <c r="H53" s="514" t="str">
        <f>IF($G55&lt;&gt;"",$G53/$G55,"")</f>
        <v/>
      </c>
      <c r="I53" s="537"/>
      <c r="J53" s="540" t="str">
        <f ca="1">Translations!$A$72</f>
        <v>Please select…</v>
      </c>
      <c r="K53" s="543" t="str">
        <f ca="1">Translations!$A$78</f>
        <v>Indicative</v>
      </c>
      <c r="L53" s="544"/>
      <c r="M53" s="183"/>
      <c r="N53" s="514" t="str">
        <f>IF(M54&lt;&gt;"",M53/M54,"")</f>
        <v/>
      </c>
      <c r="O53" s="185"/>
      <c r="P53" s="514" t="str">
        <f>IF(O54&lt;&gt;"",O53/O54,"")</f>
        <v/>
      </c>
      <c r="Q53" s="185"/>
      <c r="R53" s="514" t="str">
        <f>IF(Q54&lt;&gt;"",Q53/Q54,"")</f>
        <v/>
      </c>
      <c r="S53" s="480"/>
      <c r="T53" s="481"/>
      <c r="U53" s="481"/>
      <c r="V53" s="481"/>
      <c r="W53" s="481"/>
      <c r="X53" s="481"/>
      <c r="Y53" s="481"/>
      <c r="Z53" s="481"/>
      <c r="AA53" s="481"/>
      <c r="AB53" s="482"/>
    </row>
    <row r="54" spans="1:28" x14ac:dyDescent="0.2">
      <c r="A54" s="519"/>
      <c r="B54" s="520"/>
      <c r="C54" s="521"/>
      <c r="D54" s="526"/>
      <c r="E54" s="530"/>
      <c r="F54" s="531"/>
      <c r="G54" s="535"/>
      <c r="H54" s="536"/>
      <c r="I54" s="538"/>
      <c r="J54" s="541"/>
      <c r="K54" s="545"/>
      <c r="L54" s="546"/>
      <c r="M54" s="184"/>
      <c r="N54" s="515"/>
      <c r="O54" s="186"/>
      <c r="P54" s="515"/>
      <c r="Q54" s="186"/>
      <c r="R54" s="515"/>
      <c r="S54" s="483"/>
      <c r="T54" s="484"/>
      <c r="U54" s="484"/>
      <c r="V54" s="484"/>
      <c r="W54" s="484"/>
      <c r="X54" s="484"/>
      <c r="Y54" s="484"/>
      <c r="Z54" s="484"/>
      <c r="AA54" s="484"/>
      <c r="AB54" s="485"/>
    </row>
    <row r="55" spans="1:28" x14ac:dyDescent="0.2">
      <c r="A55" s="519"/>
      <c r="B55" s="520"/>
      <c r="C55" s="521"/>
      <c r="D55" s="526"/>
      <c r="E55" s="530"/>
      <c r="F55" s="531"/>
      <c r="G55" s="534"/>
      <c r="H55" s="536"/>
      <c r="I55" s="538"/>
      <c r="J55" s="541"/>
      <c r="K55" s="547" t="str">
        <f ca="1">Translations!$A$79</f>
        <v>Above indicative</v>
      </c>
      <c r="L55" s="548"/>
      <c r="M55" s="183"/>
      <c r="N55" s="514" t="str">
        <f>IF(M56&lt;&gt;"",M55/M56,"")</f>
        <v/>
      </c>
      <c r="O55" s="185"/>
      <c r="P55" s="514" t="str">
        <f>IF(O56&lt;&gt;"",O55/O56,"")</f>
        <v/>
      </c>
      <c r="Q55" s="185"/>
      <c r="R55" s="514" t="str">
        <f>IF(Q56&lt;&gt;"",Q55/Q56,"")</f>
        <v/>
      </c>
      <c r="S55" s="483"/>
      <c r="T55" s="484"/>
      <c r="U55" s="484"/>
      <c r="V55" s="484"/>
      <c r="W55" s="484"/>
      <c r="X55" s="484"/>
      <c r="Y55" s="484"/>
      <c r="Z55" s="484"/>
      <c r="AA55" s="484"/>
      <c r="AB55" s="485"/>
    </row>
    <row r="56" spans="1:28" x14ac:dyDescent="0.2">
      <c r="A56" s="522"/>
      <c r="B56" s="523"/>
      <c r="C56" s="524"/>
      <c r="D56" s="527"/>
      <c r="E56" s="532"/>
      <c r="F56" s="533"/>
      <c r="G56" s="535"/>
      <c r="H56" s="515"/>
      <c r="I56" s="539"/>
      <c r="J56" s="542"/>
      <c r="K56" s="549"/>
      <c r="L56" s="550"/>
      <c r="M56" s="184"/>
      <c r="N56" s="515"/>
      <c r="O56" s="186"/>
      <c r="P56" s="515"/>
      <c r="Q56" s="186"/>
      <c r="R56" s="515"/>
      <c r="S56" s="486"/>
      <c r="T56" s="487"/>
      <c r="U56" s="487"/>
      <c r="V56" s="487"/>
      <c r="W56" s="487"/>
      <c r="X56" s="487"/>
      <c r="Y56" s="487"/>
      <c r="Z56" s="487"/>
      <c r="AA56" s="487"/>
      <c r="AB56" s="488"/>
    </row>
    <row r="57" spans="1:28" x14ac:dyDescent="0.2">
      <c r="A57" s="516"/>
      <c r="B57" s="517"/>
      <c r="C57" s="518"/>
      <c r="D57" s="525" t="str">
        <f ca="1">Translations!$A$72</f>
        <v>Please select…</v>
      </c>
      <c r="E57" s="528" t="str">
        <f ca="1">Translations!$A$72</f>
        <v>Please select…</v>
      </c>
      <c r="F57" s="529"/>
      <c r="G57" s="534"/>
      <c r="H57" s="514" t="str">
        <f>IF($G59&lt;&gt;"",$G57/$G59,"")</f>
        <v/>
      </c>
      <c r="I57" s="537"/>
      <c r="J57" s="540" t="str">
        <f ca="1">Translations!$A$72</f>
        <v>Please select…</v>
      </c>
      <c r="K57" s="543" t="str">
        <f ca="1">Translations!$A$78</f>
        <v>Indicative</v>
      </c>
      <c r="L57" s="544"/>
      <c r="M57" s="183"/>
      <c r="N57" s="514" t="str">
        <f>IF(M58&lt;&gt;"",M57/M58,"")</f>
        <v/>
      </c>
      <c r="O57" s="185"/>
      <c r="P57" s="514" t="str">
        <f>IF(O58&lt;&gt;"",O57/O58,"")</f>
        <v/>
      </c>
      <c r="Q57" s="185"/>
      <c r="R57" s="514" t="str">
        <f>IF(Q58&lt;&gt;"",Q57/Q58,"")</f>
        <v/>
      </c>
      <c r="S57" s="480"/>
      <c r="T57" s="481"/>
      <c r="U57" s="481"/>
      <c r="V57" s="481"/>
      <c r="W57" s="481"/>
      <c r="X57" s="481"/>
      <c r="Y57" s="481"/>
      <c r="Z57" s="481"/>
      <c r="AA57" s="481"/>
      <c r="AB57" s="482"/>
    </row>
    <row r="58" spans="1:28" x14ac:dyDescent="0.2">
      <c r="A58" s="519"/>
      <c r="B58" s="520"/>
      <c r="C58" s="521"/>
      <c r="D58" s="526"/>
      <c r="E58" s="530"/>
      <c r="F58" s="531"/>
      <c r="G58" s="535"/>
      <c r="H58" s="536"/>
      <c r="I58" s="538"/>
      <c r="J58" s="541"/>
      <c r="K58" s="545"/>
      <c r="L58" s="546"/>
      <c r="M58" s="184"/>
      <c r="N58" s="515"/>
      <c r="O58" s="186"/>
      <c r="P58" s="515"/>
      <c r="Q58" s="186"/>
      <c r="R58" s="515"/>
      <c r="S58" s="483"/>
      <c r="T58" s="484"/>
      <c r="U58" s="484"/>
      <c r="V58" s="484"/>
      <c r="W58" s="484"/>
      <c r="X58" s="484"/>
      <c r="Y58" s="484"/>
      <c r="Z58" s="484"/>
      <c r="AA58" s="484"/>
      <c r="AB58" s="485"/>
    </row>
    <row r="59" spans="1:28" x14ac:dyDescent="0.2">
      <c r="A59" s="519"/>
      <c r="B59" s="520"/>
      <c r="C59" s="521"/>
      <c r="D59" s="526"/>
      <c r="E59" s="530"/>
      <c r="F59" s="531"/>
      <c r="G59" s="534"/>
      <c r="H59" s="536"/>
      <c r="I59" s="538"/>
      <c r="J59" s="541"/>
      <c r="K59" s="547" t="str">
        <f ca="1">Translations!$A$79</f>
        <v>Above indicative</v>
      </c>
      <c r="L59" s="548"/>
      <c r="M59" s="183"/>
      <c r="N59" s="514" t="str">
        <f>IF(M60&lt;&gt;"",M59/M60,"")</f>
        <v/>
      </c>
      <c r="O59" s="185"/>
      <c r="P59" s="514" t="str">
        <f>IF(O60&lt;&gt;"",O59/O60,"")</f>
        <v/>
      </c>
      <c r="Q59" s="185"/>
      <c r="R59" s="514" t="str">
        <f>IF(Q60&lt;&gt;"",Q59/Q60,"")</f>
        <v/>
      </c>
      <c r="S59" s="483"/>
      <c r="T59" s="484"/>
      <c r="U59" s="484"/>
      <c r="V59" s="484"/>
      <c r="W59" s="484"/>
      <c r="X59" s="484"/>
      <c r="Y59" s="484"/>
      <c r="Z59" s="484"/>
      <c r="AA59" s="484"/>
      <c r="AB59" s="485"/>
    </row>
    <row r="60" spans="1:28" x14ac:dyDescent="0.2">
      <c r="A60" s="522"/>
      <c r="B60" s="523"/>
      <c r="C60" s="524"/>
      <c r="D60" s="527"/>
      <c r="E60" s="532"/>
      <c r="F60" s="533"/>
      <c r="G60" s="535"/>
      <c r="H60" s="515"/>
      <c r="I60" s="539"/>
      <c r="J60" s="542"/>
      <c r="K60" s="549"/>
      <c r="L60" s="550"/>
      <c r="M60" s="184"/>
      <c r="N60" s="515"/>
      <c r="O60" s="186"/>
      <c r="P60" s="515"/>
      <c r="Q60" s="186"/>
      <c r="R60" s="515"/>
      <c r="S60" s="486"/>
      <c r="T60" s="487"/>
      <c r="U60" s="487"/>
      <c r="V60" s="487"/>
      <c r="W60" s="487"/>
      <c r="X60" s="487"/>
      <c r="Y60" s="487"/>
      <c r="Z60" s="487"/>
      <c r="AA60" s="487"/>
      <c r="AB60" s="488"/>
    </row>
    <row r="61" spans="1:28" ht="15.75" x14ac:dyDescent="0.2">
      <c r="A61" s="144" t="str">
        <f ca="1">Translations!$A$87</f>
        <v>Module budget</v>
      </c>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7"/>
    </row>
    <row r="62" spans="1:28" x14ac:dyDescent="0.2">
      <c r="A62" s="555" t="str">
        <f ca="1">Translations!$A$84</f>
        <v>Indicative request for entire module</v>
      </c>
      <c r="B62" s="556"/>
      <c r="C62" s="556"/>
      <c r="D62" s="556"/>
      <c r="E62" s="557"/>
      <c r="F62" s="167">
        <f ca="1">SUMIF($K65:$K84,Translations!$A$78,$M65:$M84)+SUMIF($K65:$K84,Translations!$A$78,$O65:$O84)+SUMIF($K65:$K84,Translations!$A$78,$Q65:$Q84)</f>
        <v>0</v>
      </c>
      <c r="G62" s="166"/>
      <c r="H62" s="166"/>
      <c r="I62" s="164"/>
      <c r="J62" s="558" t="str">
        <f ca="1">Translations!$A$85</f>
        <v>Above indicative request for entire module</v>
      </c>
      <c r="K62" s="559"/>
      <c r="L62" s="559"/>
      <c r="M62" s="559"/>
      <c r="N62" s="559"/>
      <c r="O62" s="559"/>
      <c r="P62" s="559"/>
      <c r="Q62" s="560">
        <f ca="1">SUMIF($K65:$K84,Translations!$A$79,$M65:$M84)+SUMIF($K65:$K84,Translations!$A$79,$O65:$O84)+SUMIF($K65:$K84,Translations!$A$79,$Q65:$Q84)</f>
        <v>0</v>
      </c>
      <c r="R62" s="561"/>
      <c r="S62" s="562"/>
      <c r="T62" s="562"/>
      <c r="U62" s="562"/>
      <c r="V62" s="164"/>
      <c r="W62" s="164"/>
      <c r="X62" s="164"/>
      <c r="Y62" s="164"/>
      <c r="Z62" s="164"/>
      <c r="AA62" s="164"/>
      <c r="AB62" s="165"/>
    </row>
    <row r="63" spans="1:28" x14ac:dyDescent="0.2">
      <c r="A63" s="354" t="str">
        <f ca="1">Translations!$A$86</f>
        <v>Intervention</v>
      </c>
      <c r="B63" s="355"/>
      <c r="C63" s="386"/>
      <c r="D63" s="563" t="str">
        <f ca="1">Translations!$A$88</f>
        <v>Description of Intervention</v>
      </c>
      <c r="E63" s="564"/>
      <c r="F63" s="564"/>
      <c r="G63" s="564"/>
      <c r="H63" s="564"/>
      <c r="I63" s="565"/>
      <c r="J63" s="389" t="str">
        <f ca="1">Translations!$A$67</f>
        <v>Responsible Principal Recipient(s)</v>
      </c>
      <c r="K63" s="354" t="str">
        <f ca="1">Translations!$A$90</f>
        <v>Intervention budget (request to the Global Fund only)</v>
      </c>
      <c r="L63" s="355"/>
      <c r="M63" s="355"/>
      <c r="N63" s="355"/>
      <c r="O63" s="355"/>
      <c r="P63" s="355"/>
      <c r="Q63" s="355"/>
      <c r="R63" s="386"/>
      <c r="S63" s="563" t="str">
        <f ca="1">Translations!$A$91</f>
        <v>Cost Assumptions for the request to the Global Fund</v>
      </c>
      <c r="T63" s="564"/>
      <c r="U63" s="564"/>
      <c r="V63" s="564"/>
      <c r="W63" s="564"/>
      <c r="X63" s="564"/>
      <c r="Y63" s="565"/>
      <c r="Z63" s="551" t="str">
        <f ca="1">Translations!$A$93</f>
        <v>Other funding received for this intervention (including scope of activities funded)</v>
      </c>
      <c r="AA63" s="551"/>
      <c r="AB63" s="551"/>
    </row>
    <row r="64" spans="1:28" ht="40.5" customHeight="1" x14ac:dyDescent="0.2">
      <c r="A64" s="387"/>
      <c r="B64" s="391"/>
      <c r="C64" s="388"/>
      <c r="D64" s="552" t="str">
        <f ca="1">Translations!$A$89</f>
        <v>Please describe 1) rationale for Global Fund support, 2) linkages to national strategic plan, 3) target population &amp; geographic scope,  4) implementation approach, and 5) other relevant information. Please differentiate between scope of indicative and above indicative request</v>
      </c>
      <c r="E64" s="553"/>
      <c r="F64" s="553"/>
      <c r="G64" s="553"/>
      <c r="H64" s="553"/>
      <c r="I64" s="554"/>
      <c r="J64" s="390"/>
      <c r="K64" s="128"/>
      <c r="L64" s="129"/>
      <c r="M64" s="374" t="str">
        <f ca="1">Translations!$A$34</f>
        <v>Year 1</v>
      </c>
      <c r="N64" s="376"/>
      <c r="O64" s="551" t="str">
        <f ca="1">Translations!$A$35</f>
        <v>Year 2</v>
      </c>
      <c r="P64" s="551"/>
      <c r="Q64" s="551" t="str">
        <f ca="1">Translations!$A$36</f>
        <v>Year 3</v>
      </c>
      <c r="R64" s="551"/>
      <c r="S64" s="552" t="str">
        <f ca="1">Translations!$A$92</f>
        <v>Please describe: 1) cost assumptions and data sources, 2) key activities, 3) other relevant information. Please differentiate between indicative and above indicative</v>
      </c>
      <c r="T64" s="553"/>
      <c r="U64" s="553"/>
      <c r="V64" s="553"/>
      <c r="W64" s="553"/>
      <c r="X64" s="553"/>
      <c r="Y64" s="554"/>
      <c r="Z64" s="551"/>
      <c r="AA64" s="551"/>
      <c r="AB64" s="551"/>
    </row>
    <row r="65" spans="1:28" x14ac:dyDescent="0.2">
      <c r="A65" s="454" t="str">
        <f ca="1">Translations!$A$72</f>
        <v>Please select…</v>
      </c>
      <c r="B65" s="455"/>
      <c r="C65" s="456"/>
      <c r="D65" s="566"/>
      <c r="E65" s="567"/>
      <c r="F65" s="567"/>
      <c r="G65" s="567"/>
      <c r="H65" s="567"/>
      <c r="I65" s="568"/>
      <c r="J65" s="575"/>
      <c r="K65" s="447" t="str">
        <f ca="1">Translations!$A$78</f>
        <v>Indicative</v>
      </c>
      <c r="L65" s="448"/>
      <c r="M65" s="449"/>
      <c r="N65" s="450"/>
      <c r="O65" s="451"/>
      <c r="P65" s="452"/>
      <c r="Q65" s="451"/>
      <c r="R65" s="452"/>
      <c r="S65" s="453"/>
      <c r="T65" s="453"/>
      <c r="U65" s="453"/>
      <c r="V65" s="453"/>
      <c r="W65" s="453"/>
      <c r="X65" s="453"/>
      <c r="Y65" s="453"/>
      <c r="Z65" s="455"/>
      <c r="AA65" s="455"/>
      <c r="AB65" s="456"/>
    </row>
    <row r="66" spans="1:28" x14ac:dyDescent="0.2">
      <c r="A66" s="468"/>
      <c r="B66" s="469"/>
      <c r="C66" s="470"/>
      <c r="D66" s="569"/>
      <c r="E66" s="570"/>
      <c r="F66" s="570"/>
      <c r="G66" s="570"/>
      <c r="H66" s="570"/>
      <c r="I66" s="571"/>
      <c r="J66" s="576"/>
      <c r="K66" s="460" t="str">
        <f ca="1">Translations!$A$79</f>
        <v>Above indicative</v>
      </c>
      <c r="L66" s="461"/>
      <c r="M66" s="462"/>
      <c r="N66" s="463"/>
      <c r="O66" s="464"/>
      <c r="P66" s="465"/>
      <c r="Q66" s="466"/>
      <c r="R66" s="467"/>
      <c r="S66" s="453"/>
      <c r="T66" s="453"/>
      <c r="U66" s="453"/>
      <c r="V66" s="453"/>
      <c r="W66" s="453"/>
      <c r="X66" s="453"/>
      <c r="Y66" s="453"/>
      <c r="Z66" s="458"/>
      <c r="AA66" s="458"/>
      <c r="AB66" s="459"/>
    </row>
    <row r="67" spans="1:28" x14ac:dyDescent="0.2">
      <c r="A67" s="468"/>
      <c r="B67" s="469"/>
      <c r="C67" s="470"/>
      <c r="D67" s="569"/>
      <c r="E67" s="570"/>
      <c r="F67" s="570"/>
      <c r="G67" s="570"/>
      <c r="H67" s="570"/>
      <c r="I67" s="571"/>
      <c r="J67" s="471"/>
      <c r="K67" s="447" t="str">
        <f ca="1">Translations!$A$78</f>
        <v>Indicative</v>
      </c>
      <c r="L67" s="448"/>
      <c r="M67" s="449"/>
      <c r="N67" s="450"/>
      <c r="O67" s="451"/>
      <c r="P67" s="452"/>
      <c r="Q67" s="451"/>
      <c r="R67" s="452"/>
      <c r="S67" s="453"/>
      <c r="T67" s="453"/>
      <c r="U67" s="453"/>
      <c r="V67" s="453"/>
      <c r="W67" s="453"/>
      <c r="X67" s="453"/>
      <c r="Y67" s="453"/>
      <c r="Z67" s="454"/>
      <c r="AA67" s="455"/>
      <c r="AB67" s="456"/>
    </row>
    <row r="68" spans="1:28" x14ac:dyDescent="0.2">
      <c r="A68" s="457"/>
      <c r="B68" s="458"/>
      <c r="C68" s="459"/>
      <c r="D68" s="572"/>
      <c r="E68" s="573"/>
      <c r="F68" s="573"/>
      <c r="G68" s="573"/>
      <c r="H68" s="573"/>
      <c r="I68" s="574"/>
      <c r="J68" s="472"/>
      <c r="K68" s="460" t="str">
        <f ca="1">Translations!$A$79</f>
        <v>Above indicative</v>
      </c>
      <c r="L68" s="461"/>
      <c r="M68" s="462"/>
      <c r="N68" s="463"/>
      <c r="O68" s="464"/>
      <c r="P68" s="465"/>
      <c r="Q68" s="466"/>
      <c r="R68" s="467"/>
      <c r="S68" s="453"/>
      <c r="T68" s="453"/>
      <c r="U68" s="453"/>
      <c r="V68" s="453"/>
      <c r="W68" s="453"/>
      <c r="X68" s="453"/>
      <c r="Y68" s="453"/>
      <c r="Z68" s="457"/>
      <c r="AA68" s="458"/>
      <c r="AB68" s="459"/>
    </row>
    <row r="69" spans="1:28" x14ac:dyDescent="0.2">
      <c r="A69" s="454" t="str">
        <f ca="1">Translations!$A$72</f>
        <v>Please select…</v>
      </c>
      <c r="B69" s="455"/>
      <c r="C69" s="456"/>
      <c r="D69" s="436"/>
      <c r="E69" s="437"/>
      <c r="F69" s="437"/>
      <c r="G69" s="437"/>
      <c r="H69" s="437"/>
      <c r="I69" s="438"/>
      <c r="J69" s="445"/>
      <c r="K69" s="447" t="str">
        <f ca="1">Translations!$A$78</f>
        <v>Indicative</v>
      </c>
      <c r="L69" s="448"/>
      <c r="M69" s="449"/>
      <c r="N69" s="450"/>
      <c r="O69" s="451"/>
      <c r="P69" s="452"/>
      <c r="Q69" s="451"/>
      <c r="R69" s="452"/>
      <c r="S69" s="453"/>
      <c r="T69" s="453"/>
      <c r="U69" s="453"/>
      <c r="V69" s="453"/>
      <c r="W69" s="453"/>
      <c r="X69" s="453"/>
      <c r="Y69" s="453"/>
      <c r="Z69" s="454"/>
      <c r="AA69" s="455"/>
      <c r="AB69" s="456"/>
    </row>
    <row r="70" spans="1:28" x14ac:dyDescent="0.2">
      <c r="A70" s="468"/>
      <c r="B70" s="469"/>
      <c r="C70" s="470"/>
      <c r="D70" s="439"/>
      <c r="E70" s="440"/>
      <c r="F70" s="440"/>
      <c r="G70" s="440"/>
      <c r="H70" s="440"/>
      <c r="I70" s="441"/>
      <c r="J70" s="446"/>
      <c r="K70" s="460" t="str">
        <f ca="1">Translations!$A$79</f>
        <v>Above indicative</v>
      </c>
      <c r="L70" s="461"/>
      <c r="M70" s="462"/>
      <c r="N70" s="463"/>
      <c r="O70" s="464"/>
      <c r="P70" s="465"/>
      <c r="Q70" s="466"/>
      <c r="R70" s="467"/>
      <c r="S70" s="453"/>
      <c r="T70" s="453"/>
      <c r="U70" s="453"/>
      <c r="V70" s="453"/>
      <c r="W70" s="453"/>
      <c r="X70" s="453"/>
      <c r="Y70" s="453"/>
      <c r="Z70" s="457"/>
      <c r="AA70" s="458"/>
      <c r="AB70" s="459"/>
    </row>
    <row r="71" spans="1:28" x14ac:dyDescent="0.2">
      <c r="A71" s="468"/>
      <c r="B71" s="469"/>
      <c r="C71" s="470"/>
      <c r="D71" s="439"/>
      <c r="E71" s="440"/>
      <c r="F71" s="440"/>
      <c r="G71" s="440"/>
      <c r="H71" s="440"/>
      <c r="I71" s="441"/>
      <c r="J71" s="471"/>
      <c r="K71" s="447" t="str">
        <f ca="1">Translations!$A$78</f>
        <v>Indicative</v>
      </c>
      <c r="L71" s="448"/>
      <c r="M71" s="449"/>
      <c r="N71" s="450"/>
      <c r="O71" s="451"/>
      <c r="P71" s="452"/>
      <c r="Q71" s="451"/>
      <c r="R71" s="452"/>
      <c r="S71" s="453"/>
      <c r="T71" s="453"/>
      <c r="U71" s="453"/>
      <c r="V71" s="453"/>
      <c r="W71" s="453"/>
      <c r="X71" s="453"/>
      <c r="Y71" s="453"/>
      <c r="Z71" s="454"/>
      <c r="AA71" s="455"/>
      <c r="AB71" s="456"/>
    </row>
    <row r="72" spans="1:28" x14ac:dyDescent="0.2">
      <c r="A72" s="457"/>
      <c r="B72" s="458"/>
      <c r="C72" s="459"/>
      <c r="D72" s="442"/>
      <c r="E72" s="443"/>
      <c r="F72" s="443"/>
      <c r="G72" s="443"/>
      <c r="H72" s="443"/>
      <c r="I72" s="444"/>
      <c r="J72" s="472"/>
      <c r="K72" s="460" t="str">
        <f ca="1">Translations!$A$79</f>
        <v>Above indicative</v>
      </c>
      <c r="L72" s="461"/>
      <c r="M72" s="462"/>
      <c r="N72" s="463"/>
      <c r="O72" s="464"/>
      <c r="P72" s="465"/>
      <c r="Q72" s="466"/>
      <c r="R72" s="467"/>
      <c r="S72" s="453"/>
      <c r="T72" s="453"/>
      <c r="U72" s="453"/>
      <c r="V72" s="453"/>
      <c r="W72" s="453"/>
      <c r="X72" s="453"/>
      <c r="Y72" s="453"/>
      <c r="Z72" s="457"/>
      <c r="AA72" s="458"/>
      <c r="AB72" s="459"/>
    </row>
    <row r="73" spans="1:28" x14ac:dyDescent="0.2">
      <c r="A73" s="454" t="str">
        <f ca="1">Translations!$A$72</f>
        <v>Please select…</v>
      </c>
      <c r="B73" s="455"/>
      <c r="C73" s="456"/>
      <c r="D73" s="436"/>
      <c r="E73" s="437"/>
      <c r="F73" s="437"/>
      <c r="G73" s="437"/>
      <c r="H73" s="437"/>
      <c r="I73" s="438"/>
      <c r="J73" s="445"/>
      <c r="K73" s="447" t="str">
        <f ca="1">Translations!$A$78</f>
        <v>Indicative</v>
      </c>
      <c r="L73" s="448"/>
      <c r="M73" s="449"/>
      <c r="N73" s="450"/>
      <c r="O73" s="451"/>
      <c r="P73" s="452"/>
      <c r="Q73" s="451"/>
      <c r="R73" s="452"/>
      <c r="S73" s="453"/>
      <c r="T73" s="453"/>
      <c r="U73" s="453"/>
      <c r="V73" s="453"/>
      <c r="W73" s="453"/>
      <c r="X73" s="453"/>
      <c r="Y73" s="453"/>
      <c r="Z73" s="577"/>
      <c r="AA73" s="578"/>
      <c r="AB73" s="579"/>
    </row>
    <row r="74" spans="1:28" x14ac:dyDescent="0.2">
      <c r="A74" s="468"/>
      <c r="B74" s="469"/>
      <c r="C74" s="470"/>
      <c r="D74" s="439"/>
      <c r="E74" s="440"/>
      <c r="F74" s="440"/>
      <c r="G74" s="440"/>
      <c r="H74" s="440"/>
      <c r="I74" s="441"/>
      <c r="J74" s="446"/>
      <c r="K74" s="460" t="str">
        <f ca="1">Translations!$A$79</f>
        <v>Above indicative</v>
      </c>
      <c r="L74" s="461"/>
      <c r="M74" s="462"/>
      <c r="N74" s="463"/>
      <c r="O74" s="117"/>
      <c r="P74" s="117"/>
      <c r="Q74" s="464"/>
      <c r="R74" s="465"/>
      <c r="S74" s="453"/>
      <c r="T74" s="453"/>
      <c r="U74" s="453"/>
      <c r="V74" s="453"/>
      <c r="W74" s="453"/>
      <c r="X74" s="453"/>
      <c r="Y74" s="453"/>
      <c r="Z74" s="580"/>
      <c r="AA74" s="581"/>
      <c r="AB74" s="582"/>
    </row>
    <row r="75" spans="1:28" x14ac:dyDescent="0.2">
      <c r="A75" s="468"/>
      <c r="B75" s="469"/>
      <c r="C75" s="470"/>
      <c r="D75" s="439"/>
      <c r="E75" s="440"/>
      <c r="F75" s="440"/>
      <c r="G75" s="440"/>
      <c r="H75" s="440"/>
      <c r="I75" s="441"/>
      <c r="J75" s="471"/>
      <c r="K75" s="447" t="str">
        <f ca="1">Translations!$A$78</f>
        <v>Indicative</v>
      </c>
      <c r="L75" s="448"/>
      <c r="M75" s="449"/>
      <c r="N75" s="450"/>
      <c r="O75" s="451"/>
      <c r="P75" s="452"/>
      <c r="Q75" s="451"/>
      <c r="R75" s="452"/>
      <c r="S75" s="453"/>
      <c r="T75" s="453"/>
      <c r="U75" s="453"/>
      <c r="V75" s="453"/>
      <c r="W75" s="453"/>
      <c r="X75" s="453"/>
      <c r="Y75" s="453"/>
      <c r="Z75" s="454"/>
      <c r="AA75" s="455"/>
      <c r="AB75" s="456"/>
    </row>
    <row r="76" spans="1:28" x14ac:dyDescent="0.2">
      <c r="A76" s="457"/>
      <c r="B76" s="458"/>
      <c r="C76" s="459"/>
      <c r="D76" s="442"/>
      <c r="E76" s="443"/>
      <c r="F76" s="443"/>
      <c r="G76" s="443"/>
      <c r="H76" s="443"/>
      <c r="I76" s="444"/>
      <c r="J76" s="472"/>
      <c r="K76" s="460" t="str">
        <f ca="1">Translations!$A$79</f>
        <v>Above indicative</v>
      </c>
      <c r="L76" s="461"/>
      <c r="M76" s="462"/>
      <c r="N76" s="463"/>
      <c r="O76" s="464"/>
      <c r="P76" s="465"/>
      <c r="Q76" s="466"/>
      <c r="R76" s="467"/>
      <c r="S76" s="453"/>
      <c r="T76" s="453"/>
      <c r="U76" s="453"/>
      <c r="V76" s="453"/>
      <c r="W76" s="453"/>
      <c r="X76" s="453"/>
      <c r="Y76" s="453"/>
      <c r="Z76" s="457"/>
      <c r="AA76" s="458"/>
      <c r="AB76" s="459"/>
    </row>
    <row r="77" spans="1:28" x14ac:dyDescent="0.2">
      <c r="A77" s="454" t="str">
        <f ca="1">Translations!$A$72</f>
        <v>Please select…</v>
      </c>
      <c r="B77" s="455"/>
      <c r="C77" s="456"/>
      <c r="D77" s="436"/>
      <c r="E77" s="437"/>
      <c r="F77" s="437"/>
      <c r="G77" s="437"/>
      <c r="H77" s="437"/>
      <c r="I77" s="438"/>
      <c r="J77" s="445"/>
      <c r="K77" s="447" t="str">
        <f ca="1">Translations!$A$78</f>
        <v>Indicative</v>
      </c>
      <c r="L77" s="448"/>
      <c r="M77" s="449"/>
      <c r="N77" s="450"/>
      <c r="O77" s="451"/>
      <c r="P77" s="452"/>
      <c r="Q77" s="451"/>
      <c r="R77" s="452"/>
      <c r="S77" s="453"/>
      <c r="T77" s="453"/>
      <c r="U77" s="453"/>
      <c r="V77" s="453"/>
      <c r="W77" s="453"/>
      <c r="X77" s="453"/>
      <c r="Y77" s="453"/>
      <c r="Z77" s="454"/>
      <c r="AA77" s="455"/>
      <c r="AB77" s="456"/>
    </row>
    <row r="78" spans="1:28" x14ac:dyDescent="0.2">
      <c r="A78" s="468"/>
      <c r="B78" s="469"/>
      <c r="C78" s="470"/>
      <c r="D78" s="439"/>
      <c r="E78" s="440"/>
      <c r="F78" s="440"/>
      <c r="G78" s="440"/>
      <c r="H78" s="440"/>
      <c r="I78" s="441"/>
      <c r="J78" s="446"/>
      <c r="K78" s="460" t="str">
        <f ca="1">Translations!$A$79</f>
        <v>Above indicative</v>
      </c>
      <c r="L78" s="461"/>
      <c r="M78" s="462"/>
      <c r="N78" s="463"/>
      <c r="O78" s="464"/>
      <c r="P78" s="465"/>
      <c r="Q78" s="466"/>
      <c r="R78" s="467"/>
      <c r="S78" s="453"/>
      <c r="T78" s="453"/>
      <c r="U78" s="453"/>
      <c r="V78" s="453"/>
      <c r="W78" s="453"/>
      <c r="X78" s="453"/>
      <c r="Y78" s="453"/>
      <c r="Z78" s="457"/>
      <c r="AA78" s="458"/>
      <c r="AB78" s="459"/>
    </row>
    <row r="79" spans="1:28" x14ac:dyDescent="0.2">
      <c r="A79" s="468"/>
      <c r="B79" s="469"/>
      <c r="C79" s="470"/>
      <c r="D79" s="439"/>
      <c r="E79" s="440"/>
      <c r="F79" s="440"/>
      <c r="G79" s="440"/>
      <c r="H79" s="440"/>
      <c r="I79" s="441"/>
      <c r="J79" s="471"/>
      <c r="K79" s="447" t="str">
        <f ca="1">Translations!$A$78</f>
        <v>Indicative</v>
      </c>
      <c r="L79" s="448"/>
      <c r="M79" s="449"/>
      <c r="N79" s="450"/>
      <c r="O79" s="451"/>
      <c r="P79" s="452"/>
      <c r="Q79" s="451"/>
      <c r="R79" s="452"/>
      <c r="S79" s="453"/>
      <c r="T79" s="453"/>
      <c r="U79" s="453"/>
      <c r="V79" s="453"/>
      <c r="W79" s="453"/>
      <c r="X79" s="453"/>
      <c r="Y79" s="453"/>
      <c r="Z79" s="454"/>
      <c r="AA79" s="455"/>
      <c r="AB79" s="456"/>
    </row>
    <row r="80" spans="1:28" x14ac:dyDescent="0.2">
      <c r="A80" s="457"/>
      <c r="B80" s="458"/>
      <c r="C80" s="459"/>
      <c r="D80" s="442"/>
      <c r="E80" s="443"/>
      <c r="F80" s="443"/>
      <c r="G80" s="443"/>
      <c r="H80" s="443"/>
      <c r="I80" s="444"/>
      <c r="J80" s="472"/>
      <c r="K80" s="460" t="str">
        <f ca="1">Translations!$A$79</f>
        <v>Above indicative</v>
      </c>
      <c r="L80" s="461"/>
      <c r="M80" s="462"/>
      <c r="N80" s="463"/>
      <c r="O80" s="464"/>
      <c r="P80" s="465"/>
      <c r="Q80" s="466"/>
      <c r="R80" s="467"/>
      <c r="S80" s="453"/>
      <c r="T80" s="453"/>
      <c r="U80" s="453"/>
      <c r="V80" s="453"/>
      <c r="W80" s="453"/>
      <c r="X80" s="453"/>
      <c r="Y80" s="453"/>
      <c r="Z80" s="457"/>
      <c r="AA80" s="458"/>
      <c r="AB80" s="459"/>
    </row>
    <row r="81" spans="1:28" x14ac:dyDescent="0.2">
      <c r="A81" s="454" t="str">
        <f ca="1">Translations!$A$72</f>
        <v>Please select…</v>
      </c>
      <c r="B81" s="455"/>
      <c r="C81" s="456"/>
      <c r="D81" s="436"/>
      <c r="E81" s="437"/>
      <c r="F81" s="437"/>
      <c r="G81" s="437"/>
      <c r="H81" s="437"/>
      <c r="I81" s="438"/>
      <c r="J81" s="445"/>
      <c r="K81" s="447" t="str">
        <f ca="1">Translations!$A$78</f>
        <v>Indicative</v>
      </c>
      <c r="L81" s="448"/>
      <c r="M81" s="449"/>
      <c r="N81" s="450"/>
      <c r="O81" s="451"/>
      <c r="P81" s="452"/>
      <c r="Q81" s="451"/>
      <c r="R81" s="452"/>
      <c r="S81" s="453"/>
      <c r="T81" s="453"/>
      <c r="U81" s="453"/>
      <c r="V81" s="453"/>
      <c r="W81" s="453"/>
      <c r="X81" s="453"/>
      <c r="Y81" s="453"/>
      <c r="Z81" s="454"/>
      <c r="AA81" s="455"/>
      <c r="AB81" s="456"/>
    </row>
    <row r="82" spans="1:28" x14ac:dyDescent="0.2">
      <c r="A82" s="468"/>
      <c r="B82" s="469"/>
      <c r="C82" s="470"/>
      <c r="D82" s="439"/>
      <c r="E82" s="440"/>
      <c r="F82" s="440"/>
      <c r="G82" s="440"/>
      <c r="H82" s="440"/>
      <c r="I82" s="441"/>
      <c r="J82" s="446"/>
      <c r="K82" s="460" t="str">
        <f ca="1">Translations!$A$79</f>
        <v>Above indicative</v>
      </c>
      <c r="L82" s="461"/>
      <c r="M82" s="462"/>
      <c r="N82" s="463"/>
      <c r="O82" s="464"/>
      <c r="P82" s="465"/>
      <c r="Q82" s="466"/>
      <c r="R82" s="467"/>
      <c r="S82" s="453"/>
      <c r="T82" s="453"/>
      <c r="U82" s="453"/>
      <c r="V82" s="453"/>
      <c r="W82" s="453"/>
      <c r="X82" s="453"/>
      <c r="Y82" s="453"/>
      <c r="Z82" s="457"/>
      <c r="AA82" s="458"/>
      <c r="AB82" s="459"/>
    </row>
    <row r="83" spans="1:28" x14ac:dyDescent="0.2">
      <c r="A83" s="468"/>
      <c r="B83" s="469"/>
      <c r="C83" s="470"/>
      <c r="D83" s="439"/>
      <c r="E83" s="440"/>
      <c r="F83" s="440"/>
      <c r="G83" s="440"/>
      <c r="H83" s="440"/>
      <c r="I83" s="441"/>
      <c r="J83" s="445"/>
      <c r="K83" s="447" t="str">
        <f ca="1">Translations!$A$78</f>
        <v>Indicative</v>
      </c>
      <c r="L83" s="448"/>
      <c r="M83" s="449"/>
      <c r="N83" s="450"/>
      <c r="O83" s="451"/>
      <c r="P83" s="452"/>
      <c r="Q83" s="451"/>
      <c r="R83" s="452"/>
      <c r="S83" s="453"/>
      <c r="T83" s="453"/>
      <c r="U83" s="453"/>
      <c r="V83" s="453"/>
      <c r="W83" s="453"/>
      <c r="X83" s="453"/>
      <c r="Y83" s="453"/>
      <c r="Z83" s="453"/>
      <c r="AA83" s="453"/>
      <c r="AB83" s="453"/>
    </row>
    <row r="84" spans="1:28" x14ac:dyDescent="0.2">
      <c r="A84" s="457"/>
      <c r="B84" s="458"/>
      <c r="C84" s="459"/>
      <c r="D84" s="442"/>
      <c r="E84" s="443"/>
      <c r="F84" s="443"/>
      <c r="G84" s="443"/>
      <c r="H84" s="443"/>
      <c r="I84" s="444"/>
      <c r="J84" s="446"/>
      <c r="K84" s="460" t="str">
        <f ca="1">Translations!$A$79</f>
        <v>Above indicative</v>
      </c>
      <c r="L84" s="461"/>
      <c r="M84" s="464"/>
      <c r="N84" s="465"/>
      <c r="O84" s="464"/>
      <c r="P84" s="465"/>
      <c r="Q84" s="464"/>
      <c r="R84" s="465"/>
      <c r="S84" s="453"/>
      <c r="T84" s="453"/>
      <c r="U84" s="453"/>
      <c r="V84" s="453"/>
      <c r="W84" s="453"/>
      <c r="X84" s="453"/>
      <c r="Y84" s="453"/>
      <c r="Z84" s="453"/>
      <c r="AA84" s="453"/>
      <c r="AB84" s="453"/>
    </row>
  </sheetData>
  <sheetProtection formatCells="0" formatColumns="0" formatRows="0" insertRows="0" deleteRows="0" selectLockedCells="1" sort="0" autoFilter="0"/>
  <customSheetViews>
    <customSheetView guid="{AB7DC012-E038-4AC4-B964-79EBEC1A7DBE}" scale="85" fitToPage="1" topLeftCell="A34">
      <selection activeCell="A7" sqref="A7:Y7"/>
      <pageMargins left="0.7" right="0.7" top="0.75" bottom="0.75" header="0.3" footer="0.3"/>
      <pageSetup paperSize="8" scale="31" fitToHeight="0" orientation="landscape"/>
      <headerFooter alignWithMargins="0"/>
    </customSheetView>
    <customSheetView guid="{8263CC96-2145-451B-AD8A-CC38FD628AC9}" scale="85" fitToPage="1" topLeftCell="A34">
      <selection activeCell="A7" sqref="A7:Y7"/>
      <pageMargins left="0.7" right="0.7" top="0.75" bottom="0.75" header="0.3" footer="0.3"/>
      <pageSetup paperSize="8" scale="31" fitToHeight="0" orientation="landscape"/>
      <headerFooter alignWithMargins="0"/>
    </customSheetView>
    <customSheetView guid="{721132AF-EF29-4C83-8A4A-F17ABB4BD7C0}" scale="85" fitToPage="1" topLeftCell="A34">
      <selection activeCell="A7" sqref="A7:Y7"/>
      <pageMargins left="0.7" right="0.7" top="0.75" bottom="0.75" header="0.3" footer="0.3"/>
      <pageSetup paperSize="8" scale="31" fitToHeight="0" orientation="landscape"/>
      <headerFooter alignWithMargins="0"/>
    </customSheetView>
    <customSheetView guid="{CE0E8020-2C9F-41F1-9136-031F56EB2C71}" scale="85" fitToPage="1" topLeftCell="A34">
      <selection activeCell="A7" sqref="A7:Y7"/>
      <pageMargins left="0.7" right="0.7" top="0.75" bottom="0.75" header="0.3" footer="0.3"/>
      <headerFooter alignWithMargins="0"/>
    </customSheetView>
    <customSheetView guid="{E823EC26-EF2B-442F-BAF4-E4055CE48BD3}" scale="85" fitToPage="1" topLeftCell="A34">
      <selection activeCell="A7" sqref="A7:Y7"/>
      <pageMargins left="0.7" right="0.7" top="0.75" bottom="0.75" header="0.3" footer="0.3"/>
      <headerFooter alignWithMargins="0"/>
    </customSheetView>
    <customSheetView guid="{86255A0E-17F2-0E4B-B055-7B9B2A71C25A}" scale="85" fitToPage="1" topLeftCell="A34">
      <selection activeCell="A7" sqref="A7:Y7"/>
      <pageMargins left="0.7" right="0.7" top="0.75" bottom="0.75" header="0.3" footer="0.3"/>
      <pageSetup paperSize="8" scale="31" fitToHeight="0" orientation="landscape"/>
      <headerFooter alignWithMargins="0"/>
    </customSheetView>
    <customSheetView guid="{D193A86F-CAEF-42FB-9ABB-073B57B81A50}" scale="85" fitToPage="1" topLeftCell="A34">
      <selection activeCell="A7" sqref="A7:Y7"/>
      <pageMargins left="0.7" right="0.7" top="0.75" bottom="0.75" header="0.3" footer="0.3"/>
      <pageSetup paperSize="8" scale="31" fitToHeight="0" orientation="landscape"/>
      <headerFooter alignWithMargins="0"/>
    </customSheetView>
  </customSheetViews>
  <mergeCells count="332">
    <mergeCell ref="A73:C76"/>
    <mergeCell ref="D73:I76"/>
    <mergeCell ref="J73:J74"/>
    <mergeCell ref="S73:Y74"/>
    <mergeCell ref="Z73:AB74"/>
    <mergeCell ref="J75:J76"/>
    <mergeCell ref="S75:Y76"/>
    <mergeCell ref="A77:C80"/>
    <mergeCell ref="S79:Y80"/>
    <mergeCell ref="K75:L75"/>
    <mergeCell ref="M75:N75"/>
    <mergeCell ref="O75:P75"/>
    <mergeCell ref="Q75:R75"/>
    <mergeCell ref="Z79:AB80"/>
    <mergeCell ref="K80:L80"/>
    <mergeCell ref="M80:N80"/>
    <mergeCell ref="O80:P80"/>
    <mergeCell ref="Q80:R80"/>
    <mergeCell ref="A69:C72"/>
    <mergeCell ref="D69:I72"/>
    <mergeCell ref="J69:J70"/>
    <mergeCell ref="S69:Y70"/>
    <mergeCell ref="K69:L69"/>
    <mergeCell ref="M69:N69"/>
    <mergeCell ref="A65:C68"/>
    <mergeCell ref="D65:I68"/>
    <mergeCell ref="J65:J66"/>
    <mergeCell ref="K65:L65"/>
    <mergeCell ref="S65:Y66"/>
    <mergeCell ref="Q71:R71"/>
    <mergeCell ref="K72:L72"/>
    <mergeCell ref="M72:N72"/>
    <mergeCell ref="O72:P72"/>
    <mergeCell ref="Q72:R72"/>
    <mergeCell ref="Z65:AB66"/>
    <mergeCell ref="J67:J68"/>
    <mergeCell ref="S67:Y68"/>
    <mergeCell ref="Z67:AB68"/>
    <mergeCell ref="M65:N65"/>
    <mergeCell ref="O65:P65"/>
    <mergeCell ref="Q65:R65"/>
    <mergeCell ref="K66:L66"/>
    <mergeCell ref="M66:N66"/>
    <mergeCell ref="O66:P66"/>
    <mergeCell ref="Q66:R66"/>
    <mergeCell ref="K68:L68"/>
    <mergeCell ref="M68:N68"/>
    <mergeCell ref="O68:P68"/>
    <mergeCell ref="Q68:R68"/>
    <mergeCell ref="K67:L67"/>
    <mergeCell ref="M67:N67"/>
    <mergeCell ref="O67:P67"/>
    <mergeCell ref="Q67:R67"/>
    <mergeCell ref="Z63:AB64"/>
    <mergeCell ref="D64:I64"/>
    <mergeCell ref="M64:N64"/>
    <mergeCell ref="O64:P64"/>
    <mergeCell ref="Q64:R64"/>
    <mergeCell ref="S64:Y64"/>
    <mergeCell ref="A62:E62"/>
    <mergeCell ref="J62:P62"/>
    <mergeCell ref="Q62:R62"/>
    <mergeCell ref="S62:U62"/>
    <mergeCell ref="A63:C64"/>
    <mergeCell ref="D63:I63"/>
    <mergeCell ref="J63:J64"/>
    <mergeCell ref="K63:R63"/>
    <mergeCell ref="S63:Y63"/>
    <mergeCell ref="S57:AB60"/>
    <mergeCell ref="G59:G60"/>
    <mergeCell ref="K59:L60"/>
    <mergeCell ref="N59:N60"/>
    <mergeCell ref="P59:P60"/>
    <mergeCell ref="R59:R60"/>
    <mergeCell ref="N55:N56"/>
    <mergeCell ref="P55:P56"/>
    <mergeCell ref="R55:R56"/>
    <mergeCell ref="N57:N58"/>
    <mergeCell ref="P57:P58"/>
    <mergeCell ref="R57:R58"/>
    <mergeCell ref="S53:AB56"/>
    <mergeCell ref="A57:C60"/>
    <mergeCell ref="D57:D60"/>
    <mergeCell ref="E57:F60"/>
    <mergeCell ref="G57:G58"/>
    <mergeCell ref="H57:H60"/>
    <mergeCell ref="I57:I60"/>
    <mergeCell ref="J57:J60"/>
    <mergeCell ref="G51:G52"/>
    <mergeCell ref="K51:L52"/>
    <mergeCell ref="K57:L58"/>
    <mergeCell ref="D49:D52"/>
    <mergeCell ref="E49:F52"/>
    <mergeCell ref="G49:G50"/>
    <mergeCell ref="N51:N52"/>
    <mergeCell ref="P51:P52"/>
    <mergeCell ref="R51:R52"/>
    <mergeCell ref="A53:C56"/>
    <mergeCell ref="D53:D56"/>
    <mergeCell ref="E53:F56"/>
    <mergeCell ref="G53:G54"/>
    <mergeCell ref="H53:H56"/>
    <mergeCell ref="H49:H52"/>
    <mergeCell ref="I49:I52"/>
    <mergeCell ref="J49:J52"/>
    <mergeCell ref="K49:L50"/>
    <mergeCell ref="N49:N50"/>
    <mergeCell ref="P49:P50"/>
    <mergeCell ref="K53:L54"/>
    <mergeCell ref="N53:N54"/>
    <mergeCell ref="P53:P54"/>
    <mergeCell ref="R53:R54"/>
    <mergeCell ref="I53:I56"/>
    <mergeCell ref="J53:J56"/>
    <mergeCell ref="G55:G56"/>
    <mergeCell ref="R49:R50"/>
    <mergeCell ref="K55:L56"/>
    <mergeCell ref="A49:C52"/>
    <mergeCell ref="J47:J48"/>
    <mergeCell ref="N47:N48"/>
    <mergeCell ref="P47:P48"/>
    <mergeCell ref="R47:R48"/>
    <mergeCell ref="M45:R45"/>
    <mergeCell ref="S45:AB45"/>
    <mergeCell ref="M46:N46"/>
    <mergeCell ref="O46:P46"/>
    <mergeCell ref="Q46:R46"/>
    <mergeCell ref="S46:AB48"/>
    <mergeCell ref="I38:J38"/>
    <mergeCell ref="L38:N38"/>
    <mergeCell ref="O38:P38"/>
    <mergeCell ref="Q38:R38"/>
    <mergeCell ref="S38:T38"/>
    <mergeCell ref="B37:H37"/>
    <mergeCell ref="I37:J37"/>
    <mergeCell ref="L37:N37"/>
    <mergeCell ref="O37:P37"/>
    <mergeCell ref="Q37:R37"/>
    <mergeCell ref="S37:T37"/>
    <mergeCell ref="B21:H21"/>
    <mergeCell ref="I21:J21"/>
    <mergeCell ref="L21:N21"/>
    <mergeCell ref="O21:P21"/>
    <mergeCell ref="Q21:R21"/>
    <mergeCell ref="S21:T21"/>
    <mergeCell ref="B20:H20"/>
    <mergeCell ref="I20:J20"/>
    <mergeCell ref="L20:N20"/>
    <mergeCell ref="O20:P20"/>
    <mergeCell ref="Q20:R20"/>
    <mergeCell ref="S20:T20"/>
    <mergeCell ref="A23:Z23"/>
    <mergeCell ref="B25:Z25"/>
    <mergeCell ref="A32:A34"/>
    <mergeCell ref="B32:H34"/>
    <mergeCell ref="I32:N32"/>
    <mergeCell ref="O32:T32"/>
    <mergeCell ref="U32:Z34"/>
    <mergeCell ref="B29:Z29"/>
    <mergeCell ref="B30:Z30"/>
    <mergeCell ref="A24:Z24"/>
    <mergeCell ref="B26:Z26"/>
    <mergeCell ref="B27:Z27"/>
    <mergeCell ref="B28:Z28"/>
    <mergeCell ref="S4:T4"/>
    <mergeCell ref="K5:R5"/>
    <mergeCell ref="S5:T5"/>
    <mergeCell ref="U5:X5"/>
    <mergeCell ref="Y5:Z5"/>
    <mergeCell ref="K6:R6"/>
    <mergeCell ref="S6:T6"/>
    <mergeCell ref="U6:X6"/>
    <mergeCell ref="Y6:Z6"/>
    <mergeCell ref="P1:T1"/>
    <mergeCell ref="K3:R3"/>
    <mergeCell ref="S3:T3"/>
    <mergeCell ref="U3:Z4"/>
    <mergeCell ref="K4:R4"/>
    <mergeCell ref="O84:P84"/>
    <mergeCell ref="Q84:R84"/>
    <mergeCell ref="M82:N82"/>
    <mergeCell ref="O82:P82"/>
    <mergeCell ref="Q82:R82"/>
    <mergeCell ref="M83:N83"/>
    <mergeCell ref="O83:P83"/>
    <mergeCell ref="Q83:R83"/>
    <mergeCell ref="M84:N84"/>
    <mergeCell ref="K73:L73"/>
    <mergeCell ref="M73:N73"/>
    <mergeCell ref="O73:P73"/>
    <mergeCell ref="Q73:R73"/>
    <mergeCell ref="K74:L74"/>
    <mergeCell ref="M74:N74"/>
    <mergeCell ref="Q74:R74"/>
    <mergeCell ref="K71:L71"/>
    <mergeCell ref="S71:Y72"/>
    <mergeCell ref="S49:AB52"/>
    <mergeCell ref="A81:C84"/>
    <mergeCell ref="J83:J84"/>
    <mergeCell ref="K77:L77"/>
    <mergeCell ref="M77:N77"/>
    <mergeCell ref="O77:P77"/>
    <mergeCell ref="Q77:R77"/>
    <mergeCell ref="J71:J72"/>
    <mergeCell ref="Z77:AB78"/>
    <mergeCell ref="K78:L78"/>
    <mergeCell ref="M78:N78"/>
    <mergeCell ref="O78:P78"/>
    <mergeCell ref="Q78:R78"/>
    <mergeCell ref="J79:J80"/>
    <mergeCell ref="K79:L79"/>
    <mergeCell ref="M79:N79"/>
    <mergeCell ref="O79:P79"/>
    <mergeCell ref="Q79:R79"/>
    <mergeCell ref="D77:I80"/>
    <mergeCell ref="J77:J78"/>
    <mergeCell ref="S77:Y78"/>
    <mergeCell ref="K76:L76"/>
    <mergeCell ref="M76:N76"/>
    <mergeCell ref="O76:P76"/>
    <mergeCell ref="Q76:R76"/>
    <mergeCell ref="D81:I84"/>
    <mergeCell ref="J81:J82"/>
    <mergeCell ref="K81:L81"/>
    <mergeCell ref="M81:N81"/>
    <mergeCell ref="O81:P81"/>
    <mergeCell ref="Q81:R81"/>
    <mergeCell ref="S81:Y82"/>
    <mergeCell ref="Z69:AB70"/>
    <mergeCell ref="K70:L70"/>
    <mergeCell ref="M70:N70"/>
    <mergeCell ref="O70:P70"/>
    <mergeCell ref="Q70:R70"/>
    <mergeCell ref="O69:P69"/>
    <mergeCell ref="Q69:R69"/>
    <mergeCell ref="M71:N71"/>
    <mergeCell ref="O71:P71"/>
    <mergeCell ref="Z71:AB72"/>
    <mergeCell ref="Z81:AB82"/>
    <mergeCell ref="K82:L82"/>
    <mergeCell ref="K83:L83"/>
    <mergeCell ref="S83:Y84"/>
    <mergeCell ref="Z83:AB84"/>
    <mergeCell ref="K84:L84"/>
    <mergeCell ref="Z75:AB76"/>
    <mergeCell ref="R44:AB44"/>
    <mergeCell ref="A45:C48"/>
    <mergeCell ref="D45:D48"/>
    <mergeCell ref="E45:F48"/>
    <mergeCell ref="G45:J46"/>
    <mergeCell ref="K45:L48"/>
    <mergeCell ref="H47:H48"/>
    <mergeCell ref="I47:I48"/>
    <mergeCell ref="B36:H36"/>
    <mergeCell ref="I36:J36"/>
    <mergeCell ref="L36:N36"/>
    <mergeCell ref="O36:P36"/>
    <mergeCell ref="Q36:R36"/>
    <mergeCell ref="S36:T36"/>
    <mergeCell ref="B39:H39"/>
    <mergeCell ref="I39:J39"/>
    <mergeCell ref="L39:N39"/>
    <mergeCell ref="O39:P39"/>
    <mergeCell ref="Q39:R39"/>
    <mergeCell ref="S39:T39"/>
    <mergeCell ref="A41:AB41"/>
    <mergeCell ref="A43:B43"/>
    <mergeCell ref="D43:J43"/>
    <mergeCell ref="B38:H38"/>
    <mergeCell ref="B35:H35"/>
    <mergeCell ref="I35:J35"/>
    <mergeCell ref="O34:P34"/>
    <mergeCell ref="Q34:R34"/>
    <mergeCell ref="S34:T34"/>
    <mergeCell ref="O35:P35"/>
    <mergeCell ref="I33:J34"/>
    <mergeCell ref="K33:K34"/>
    <mergeCell ref="L33:N34"/>
    <mergeCell ref="O33:P33"/>
    <mergeCell ref="Q33:R33"/>
    <mergeCell ref="S33:T33"/>
    <mergeCell ref="L35:N35"/>
    <mergeCell ref="Q35:R35"/>
    <mergeCell ref="S35:T35"/>
    <mergeCell ref="B19:H19"/>
    <mergeCell ref="I19:J19"/>
    <mergeCell ref="L19:N19"/>
    <mergeCell ref="O19:P19"/>
    <mergeCell ref="Q19:R19"/>
    <mergeCell ref="S19:T19"/>
    <mergeCell ref="B18:H18"/>
    <mergeCell ref="I18:J18"/>
    <mergeCell ref="L18:N18"/>
    <mergeCell ref="O18:P18"/>
    <mergeCell ref="Q18:R18"/>
    <mergeCell ref="S18:T18"/>
    <mergeCell ref="O17:P17"/>
    <mergeCell ref="Q17:R17"/>
    <mergeCell ref="S17:T17"/>
    <mergeCell ref="B17:H17"/>
    <mergeCell ref="I17:J17"/>
    <mergeCell ref="L17:N17"/>
    <mergeCell ref="A14:A16"/>
    <mergeCell ref="B14:H16"/>
    <mergeCell ref="I14:N14"/>
    <mergeCell ref="A7:Y7"/>
    <mergeCell ref="A9:Z9"/>
    <mergeCell ref="B11:Z11"/>
    <mergeCell ref="B12:Z12"/>
    <mergeCell ref="A8:Z8"/>
    <mergeCell ref="B10:Z10"/>
    <mergeCell ref="O14:T14"/>
    <mergeCell ref="U14:Z16"/>
    <mergeCell ref="I15:J16"/>
    <mergeCell ref="K15:K16"/>
    <mergeCell ref="L15:N16"/>
    <mergeCell ref="O15:P15"/>
    <mergeCell ref="Q15:R15"/>
    <mergeCell ref="S15:T15"/>
    <mergeCell ref="O16:P16"/>
    <mergeCell ref="Q16:R16"/>
    <mergeCell ref="S16:T16"/>
    <mergeCell ref="A5:C5"/>
    <mergeCell ref="D5:G5"/>
    <mergeCell ref="H5:J6"/>
    <mergeCell ref="A6:C6"/>
    <mergeCell ref="D6:G6"/>
    <mergeCell ref="A3:C3"/>
    <mergeCell ref="D3:G3"/>
    <mergeCell ref="H3:J4"/>
    <mergeCell ref="A4:C4"/>
    <mergeCell ref="D4:G4"/>
  </mergeCells>
  <dataValidations count="14">
    <dataValidation type="list" allowBlank="1" showInputMessage="1" showErrorMessage="1" sqref="D43:J43">
      <formula1>ModulesInCmp</formula1>
    </dataValidation>
    <dataValidation type="list" allowBlank="1" prompt="Please select a data source" sqref="L35:N39">
      <formula1>DataSrcInCmp</formula1>
    </dataValidation>
    <dataValidation type="list" allowBlank="1" showInputMessage="1" showErrorMessage="1" sqref="L17:N21 J49:J60">
      <formula1>DataSrcInCmp</formula1>
    </dataValidation>
    <dataValidation type="list" allowBlank="1" showInputMessage="1" showErrorMessage="1" sqref="B35:H39">
      <formula1>OutcomeIndInCmp</formula1>
    </dataValidation>
    <dataValidation type="list" allowBlank="1" prompt="Please select an indicator" sqref="B17:H21">
      <formula1>ImpactIndInCmp</formula1>
    </dataValidation>
    <dataValidation type="list" allowBlank="1" showInputMessage="1" showErrorMessage="1" sqref="J65:J84">
      <formula1>$S$3:$S$6</formula1>
    </dataValidation>
    <dataValidation type="list" allowBlank="1" showInputMessage="1" sqref="D49:D60">
      <formula1>$S$3:$S$6</formula1>
    </dataValidation>
    <dataValidation type="list" allowBlank="1" showInputMessage="1" showErrorMessage="1" sqref="K3:K6 L5:R6">
      <formula1>PRsInApplicant</formula1>
    </dataValidation>
    <dataValidation type="list" allowBlank="1" showInputMessage="1" showErrorMessage="1" sqref="P1">
      <formula1>"English,French,Spanish,Russian"</formula1>
    </dataValidation>
    <dataValidation type="list" allowBlank="1" showInputMessage="1" showErrorMessage="1" sqref="E49:F60">
      <formula1>TiedTo</formula1>
    </dataValidation>
    <dataValidation allowBlank="1" showInputMessage="1" sqref="U35:U39 U17:U21 U14 AA35:AA39 U32 AA32 Z7"/>
    <dataValidation type="list" allowBlank="1" showInputMessage="1" showErrorMessage="1" sqref="D5:G5">
      <formula1>Years</formula1>
    </dataValidation>
    <dataValidation type="list" allowBlank="1" showInputMessage="1" sqref="D3:G3">
      <formula1>Country_Applicant</formula1>
    </dataValidation>
    <dataValidation type="list" allowBlank="1" showInputMessage="1" showErrorMessage="1" sqref="D6:G6">
      <formula1>Months</formula1>
    </dataValidation>
  </dataValidations>
  <pageMargins left="0.7" right="0.7" top="0.75" bottom="0.75" header="0.3" footer="0.3"/>
  <pageSetup paperSize="8" scale="31" fitToHeight="0" orientation="landscape"/>
  <headerFooter alignWithMargins="0"/>
  <legacyDrawing r:id="rId1"/>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OFFSET(Interven!$E$1,MATCH(AM44,Interven!$A:$A,0)-1,0,COUNTIF(Interven!$A:$A,AM44),1)</xm:f>
          </x14:formula1>
          <xm:sqref>A81:C84</xm:sqref>
        </x14:dataValidation>
        <x14:dataValidation type="list" allowBlank="1" showInputMessage="1" showErrorMessage="1">
          <x14:formula1>
            <xm:f>OFFSET(Interven!$E$1,MATCH(AM44,Interven!$A:$A,0)-1,0,COUNTIF(Interven!$A:$A,AM44),1)</xm:f>
          </x14:formula1>
          <xm:sqref>A77:C80</xm:sqref>
        </x14:dataValidation>
        <x14:dataValidation type="list" allowBlank="1" showInputMessage="1" showErrorMessage="1">
          <x14:formula1>
            <xm:f>OFFSET(Interven!$E$1,MATCH(AM44,Interven!$A:$A,0)-1,0,COUNTIF(Interven!$A:$A,AM44),1)</xm:f>
          </x14:formula1>
          <xm:sqref>A73:C76</xm:sqref>
        </x14:dataValidation>
        <x14:dataValidation type="list" allowBlank="1" showInputMessage="1" showErrorMessage="1">
          <x14:formula1>
            <xm:f>OFFSET(Interven!$E$1,MATCH(AM44,Interven!$A:$A,0)-1,0,COUNTIF(Interven!$A:$A,AM44),1)</xm:f>
          </x14:formula1>
          <xm:sqref>A69:C72</xm:sqref>
        </x14:dataValidation>
        <x14:dataValidation type="list" allowBlank="1" showInputMessage="1" showErrorMessage="1">
          <x14:formula1>
            <xm:f>OFFSET(Interven!$E$1,MATCH(AM44,Interven!$A:$A,0)-1,0,COUNTIF(Interven!$A:$A,AM44),1)</xm:f>
          </x14:formula1>
          <xm:sqref>A65:C68</xm:sqref>
        </x14:dataValidation>
        <x14:dataValidation type="list" allowBlank="1" showInputMessage="1">
          <x14:formula1>
            <xm:f>Cmp!$C$2:$C$5</xm:f>
          </x14:formula1>
          <xm:sqref>D4:G4</xm:sqref>
        </x14:dataValidation>
        <x14:dataValidation type="list" allowBlank="1" showInputMessage="1" showErrorMessage="1">
          <x14:formula1>
            <xm:f>OFFSET('Coverage ind'!$E$1,MATCH(AM44,'Coverage ind'!$A:$A,0)-1,0,COUNTIF('Coverage ind'!$A:$A,AM44),1)</xm:f>
          </x14:formula1>
          <xm:sqref>A57:C60</xm:sqref>
        </x14:dataValidation>
        <x14:dataValidation type="list" allowBlank="1" showInputMessage="1" showErrorMessage="1">
          <x14:formula1>
            <xm:f>OFFSET('Coverage ind'!$E$1,MATCH(AM44,'Coverage ind'!$A:$A,0)-1,0,COUNTIF('Coverage ind'!$A:$A,AM44),1)</xm:f>
          </x14:formula1>
          <xm:sqref>A53:C56</xm:sqref>
        </x14:dataValidation>
        <x14:dataValidation type="list" allowBlank="1" showInputMessage="1" showErrorMessage="1">
          <x14:formula1>
            <xm:f>OFFSET('Coverage ind'!$E$1,MATCH(AM44,'Coverage ind'!$A:$A,0)-1,0,COUNTIF('Coverage ind'!$A:$A,AM44),1)</xm:f>
          </x14:formula1>
          <xm:sqref>A49:C52</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BZ256"/>
  <sheetViews>
    <sheetView tabSelected="1" view="pageBreakPreview" zoomScale="90" zoomScaleNormal="100" zoomScaleSheetLayoutView="90" zoomScalePageLayoutView="60" workbookViewId="0">
      <selection activeCell="D1" sqref="D1"/>
    </sheetView>
  </sheetViews>
  <sheetFormatPr defaultColWidth="9.140625" defaultRowHeight="15" x14ac:dyDescent="0.2"/>
  <cols>
    <col min="1" max="1" width="9.7109375" style="1" customWidth="1"/>
    <col min="2" max="2" width="16.7109375" style="1" customWidth="1"/>
    <col min="3" max="3" width="10.7109375" style="1" customWidth="1"/>
    <col min="4" max="4" width="13.7109375" style="1" customWidth="1"/>
    <col min="5" max="5" width="4.42578125" style="1" customWidth="1"/>
    <col min="6" max="6" width="13.7109375" style="1" customWidth="1"/>
    <col min="7" max="7" width="10.42578125" style="1" customWidth="1"/>
    <col min="8" max="8" width="11.42578125" style="1" customWidth="1"/>
    <col min="9" max="9" width="18.7109375" style="1" customWidth="1"/>
    <col min="10" max="10" width="13.42578125" style="1" customWidth="1"/>
    <col min="11" max="12" width="6.7109375" style="1" customWidth="1"/>
    <col min="13" max="13" width="9.7109375" style="1" customWidth="1"/>
    <col min="14" max="14" width="7.140625" style="1" customWidth="1"/>
    <col min="15" max="15" width="9.7109375" style="1" customWidth="1"/>
    <col min="16" max="16" width="6.28515625" style="1" bestFit="1" customWidth="1"/>
    <col min="17" max="17" width="9.7109375" style="1" customWidth="1"/>
    <col min="18" max="18" width="5.7109375" style="1" customWidth="1"/>
    <col min="19" max="19" width="9.7109375" style="1" customWidth="1"/>
    <col min="20" max="20" width="5.7109375" style="1" customWidth="1"/>
    <col min="21" max="21" width="7.7109375" style="1" customWidth="1"/>
    <col min="22" max="23" width="2.7109375" style="1" customWidth="1"/>
    <col min="24" max="24" width="6.7109375" style="1" customWidth="1"/>
    <col min="25" max="25" width="20.7109375" style="1" customWidth="1"/>
    <col min="26" max="26" width="16.7109375" style="1" customWidth="1"/>
    <col min="27" max="27" width="6.7109375" style="1" customWidth="1"/>
    <col min="28" max="28" width="8.28515625" style="1" customWidth="1"/>
    <col min="29" max="29" width="7.28515625" style="1" customWidth="1"/>
    <col min="30" max="30" width="8.42578125" style="1" customWidth="1"/>
    <col min="31" max="31" width="6.7109375" style="1" customWidth="1"/>
    <col min="32" max="32" width="8.42578125" style="1" customWidth="1"/>
    <col min="33" max="33" width="6.7109375" style="1" customWidth="1"/>
    <col min="34" max="34" width="8.7109375" style="1" customWidth="1"/>
    <col min="35" max="35" width="6.7109375" style="1" customWidth="1"/>
    <col min="36" max="36" width="14.140625" style="1" hidden="1" customWidth="1"/>
    <col min="37" max="37" width="13.140625" style="1" hidden="1" customWidth="1"/>
    <col min="38" max="38" width="15" style="227" hidden="1" customWidth="1"/>
    <col min="39" max="39" width="17.42578125" style="1" hidden="1" customWidth="1"/>
    <col min="40" max="40" width="13.7109375" style="73" hidden="1" customWidth="1"/>
    <col min="41" max="41" width="13.28515625" style="73" hidden="1" customWidth="1"/>
    <col min="42" max="42" width="10.7109375" style="1" bestFit="1" customWidth="1"/>
    <col min="43" max="69" width="6.7109375" style="1" customWidth="1"/>
    <col min="70" max="16384" width="9.140625" style="1"/>
  </cols>
  <sheetData>
    <row r="1" spans="1:78" ht="34.5" customHeight="1" x14ac:dyDescent="0.2">
      <c r="A1" s="145" t="str">
        <f ca="1">Translations!A81</f>
        <v xml:space="preserve">Modular Approach - Concept Note </v>
      </c>
      <c r="B1" s="146"/>
      <c r="C1" s="146"/>
      <c r="D1" s="146" t="s">
        <v>1959</v>
      </c>
      <c r="E1" s="146"/>
      <c r="F1" s="146"/>
      <c r="G1" s="146"/>
      <c r="H1" s="146"/>
      <c r="I1" s="146"/>
      <c r="J1" s="146"/>
      <c r="K1" s="146"/>
      <c r="L1" s="146"/>
      <c r="M1" s="146"/>
      <c r="N1" s="15"/>
      <c r="O1" s="46" t="str">
        <f ca="1">Translations!$A$80</f>
        <v>Language:</v>
      </c>
      <c r="P1" s="473" t="s">
        <v>538</v>
      </c>
      <c r="Q1" s="474"/>
      <c r="R1" s="474"/>
      <c r="S1" s="474"/>
      <c r="T1" s="475"/>
      <c r="U1" s="124"/>
      <c r="V1" s="125"/>
      <c r="W1" s="125"/>
      <c r="X1" s="125"/>
      <c r="Y1" s="125"/>
      <c r="Z1" s="147"/>
      <c r="AA1" s="85"/>
      <c r="AB1" s="85"/>
      <c r="AC1" s="85"/>
      <c r="AD1" s="85"/>
      <c r="AE1" s="85"/>
      <c r="AF1" s="85"/>
      <c r="AG1" s="85"/>
      <c r="AH1" s="85"/>
      <c r="AI1" s="85"/>
      <c r="AJ1" s="50"/>
      <c r="AK1" s="50"/>
      <c r="AL1" s="222"/>
      <c r="AM1" s="50"/>
      <c r="AN1" s="85"/>
      <c r="AO1" s="85"/>
      <c r="AP1" s="50"/>
      <c r="AQ1" s="50"/>
      <c r="AR1" s="50"/>
      <c r="AS1" s="50"/>
      <c r="AT1" s="50"/>
      <c r="AU1" s="50"/>
      <c r="AV1" s="50"/>
      <c r="AW1" s="50"/>
      <c r="AX1" s="50"/>
      <c r="AY1" s="50"/>
      <c r="AZ1" s="26"/>
      <c r="BA1" s="26"/>
      <c r="BB1" s="26"/>
      <c r="BC1" s="26"/>
      <c r="BD1" s="26"/>
      <c r="BE1" s="26"/>
      <c r="BF1" s="26"/>
      <c r="BG1" s="26"/>
      <c r="BH1" s="28"/>
      <c r="BI1" s="28"/>
      <c r="BJ1" s="28"/>
      <c r="BK1" s="28"/>
    </row>
    <row r="2" spans="1:78" s="2" customFormat="1" ht="18" customHeight="1" x14ac:dyDescent="0.2">
      <c r="A2" s="144" t="str">
        <f ca="1">Translations!$A$7</f>
        <v>A. Program details</v>
      </c>
      <c r="B2" s="118"/>
      <c r="C2" s="118"/>
      <c r="D2" s="118"/>
      <c r="E2" s="118"/>
      <c r="F2" s="118"/>
      <c r="G2" s="118"/>
      <c r="H2" s="118"/>
      <c r="I2" s="118"/>
      <c r="J2" s="118"/>
      <c r="K2" s="118"/>
      <c r="L2" s="118"/>
      <c r="M2" s="118"/>
      <c r="N2" s="13"/>
      <c r="O2" s="13"/>
      <c r="P2" s="13"/>
      <c r="Q2" s="13"/>
      <c r="R2" s="13"/>
      <c r="S2" s="13"/>
      <c r="T2" s="123"/>
      <c r="U2" s="151"/>
      <c r="V2" s="149"/>
      <c r="W2" s="149"/>
      <c r="X2" s="149"/>
      <c r="Y2" s="149"/>
      <c r="Z2" s="150"/>
      <c r="AA2" s="85"/>
      <c r="AB2" s="85"/>
      <c r="AC2" s="85"/>
      <c r="AD2" s="85"/>
      <c r="AE2" s="85"/>
      <c r="AF2" s="85"/>
      <c r="AG2" s="85"/>
      <c r="AH2" s="85"/>
      <c r="AI2" s="85"/>
      <c r="AJ2" s="42"/>
      <c r="AK2" s="42"/>
      <c r="AL2" s="223"/>
      <c r="AM2" s="42"/>
      <c r="AN2" s="85"/>
      <c r="AO2" s="85"/>
      <c r="AP2" s="42"/>
      <c r="AQ2" s="42"/>
      <c r="AR2" s="42"/>
      <c r="AS2" s="42"/>
      <c r="AT2" s="42"/>
      <c r="AU2" s="42"/>
      <c r="AV2" s="42"/>
      <c r="AW2" s="42"/>
      <c r="AX2" s="42"/>
      <c r="AY2" s="42"/>
      <c r="AZ2" s="42"/>
      <c r="BA2" s="42"/>
      <c r="BB2" s="42"/>
      <c r="BC2" s="42"/>
      <c r="BD2" s="42"/>
      <c r="BE2" s="42"/>
      <c r="BF2" s="42"/>
      <c r="BG2" s="42"/>
      <c r="BH2" s="47"/>
      <c r="BI2" s="47"/>
      <c r="BJ2" s="47"/>
      <c r="BK2" s="47"/>
    </row>
    <row r="3" spans="1:78" ht="18" customHeight="1" x14ac:dyDescent="0.2">
      <c r="A3" s="339" t="str">
        <f ca="1">Translations!$A$8</f>
        <v>Country / Applicant:</v>
      </c>
      <c r="B3" s="340"/>
      <c r="C3" s="800" t="s">
        <v>265</v>
      </c>
      <c r="D3" s="801"/>
      <c r="E3" s="801"/>
      <c r="F3" s="801"/>
      <c r="G3" s="802"/>
      <c r="H3" s="354" t="str">
        <f ca="1">Translations!$A$13</f>
        <v>Principal Recipients</v>
      </c>
      <c r="I3" s="355"/>
      <c r="J3" s="356"/>
      <c r="K3" s="476" t="s">
        <v>1407</v>
      </c>
      <c r="L3" s="476"/>
      <c r="M3" s="476"/>
      <c r="N3" s="476"/>
      <c r="O3" s="476"/>
      <c r="P3" s="476"/>
      <c r="Q3" s="476"/>
      <c r="R3" s="476"/>
      <c r="S3" s="793" t="str">
        <f>IFERROR(VLOOKUP(K3,Definitions!R:S,2,FALSE),"")</f>
        <v>PBSP</v>
      </c>
      <c r="T3" s="794"/>
      <c r="U3" s="354" t="str">
        <f ca="1">Translations!$A$77</f>
        <v>Total requested
amount</v>
      </c>
      <c r="V3" s="355"/>
      <c r="W3" s="355"/>
      <c r="X3" s="355"/>
      <c r="Y3" s="355"/>
      <c r="Z3" s="386"/>
      <c r="AA3" s="85"/>
      <c r="AB3" s="85"/>
      <c r="AC3" s="85"/>
      <c r="AD3" s="85"/>
      <c r="AE3" s="85"/>
      <c r="AF3" s="85"/>
      <c r="AG3" s="85"/>
      <c r="AH3" s="85"/>
      <c r="AI3" s="85"/>
      <c r="AJ3" s="50"/>
      <c r="AK3" s="50"/>
      <c r="AL3" s="222"/>
      <c r="AM3" s="50"/>
      <c r="AN3" s="85"/>
      <c r="AO3" s="85"/>
      <c r="AP3" s="50"/>
      <c r="AQ3" s="50"/>
      <c r="AR3" s="50"/>
      <c r="AS3" s="50"/>
      <c r="AT3" s="50"/>
      <c r="AU3" s="50"/>
      <c r="AV3" s="50"/>
      <c r="AW3" s="50"/>
      <c r="AX3" s="50"/>
      <c r="AY3" s="26"/>
      <c r="AZ3" s="26"/>
      <c r="BA3" s="26"/>
      <c r="BB3" s="26"/>
      <c r="BC3" s="26"/>
      <c r="BD3" s="26"/>
      <c r="BE3" s="26"/>
      <c r="BF3" s="26"/>
      <c r="BG3" s="26"/>
      <c r="BH3" s="26"/>
      <c r="BI3" s="26"/>
      <c r="BJ3" s="26"/>
      <c r="BK3" s="26"/>
      <c r="BL3" s="26"/>
      <c r="BM3" s="26"/>
      <c r="BN3" s="26"/>
      <c r="BO3" s="26"/>
      <c r="BP3" s="26"/>
      <c r="BQ3" s="26"/>
      <c r="BR3" s="26"/>
      <c r="BS3" s="26"/>
      <c r="BT3" s="28"/>
      <c r="BU3" s="28"/>
      <c r="BV3" s="28"/>
      <c r="BW3" s="28"/>
    </row>
    <row r="4" spans="1:78" ht="18" customHeight="1" x14ac:dyDescent="0.2">
      <c r="A4" s="339" t="str">
        <f ca="1">Translations!$A$9</f>
        <v>Component:</v>
      </c>
      <c r="B4" s="340"/>
      <c r="C4" s="778" t="s">
        <v>78</v>
      </c>
      <c r="D4" s="779"/>
      <c r="E4" s="779"/>
      <c r="F4" s="779"/>
      <c r="G4" s="780"/>
      <c r="H4" s="357"/>
      <c r="I4" s="358"/>
      <c r="J4" s="359"/>
      <c r="K4" s="479"/>
      <c r="L4" s="479"/>
      <c r="M4" s="479"/>
      <c r="N4" s="479"/>
      <c r="O4" s="479"/>
      <c r="P4" s="479"/>
      <c r="Q4" s="479"/>
      <c r="R4" s="479"/>
      <c r="S4" s="795" t="str">
        <f>IFERROR(VLOOKUP(K4,Definitions!R:S,2,FALSE),"")</f>
        <v/>
      </c>
      <c r="T4" s="796"/>
      <c r="U4" s="357"/>
      <c r="V4" s="358"/>
      <c r="W4" s="358"/>
      <c r="X4" s="358"/>
      <c r="Y4" s="358"/>
      <c r="Z4" s="405"/>
      <c r="AA4" s="85"/>
      <c r="AB4" s="85"/>
      <c r="AC4" s="85"/>
      <c r="AD4" s="85"/>
      <c r="AE4" s="85"/>
      <c r="AF4" s="85"/>
      <c r="AG4" s="85"/>
      <c r="AH4" s="85"/>
      <c r="AI4" s="85"/>
      <c r="AJ4" s="50"/>
      <c r="AK4" s="50"/>
      <c r="AL4" s="222"/>
      <c r="AM4" s="50"/>
      <c r="AN4" s="85"/>
      <c r="AO4" s="85"/>
      <c r="AP4" s="50"/>
      <c r="AQ4" s="50"/>
      <c r="AR4" s="50"/>
      <c r="AS4" s="50"/>
      <c r="AT4" s="50"/>
      <c r="AU4" s="50"/>
      <c r="AV4" s="50"/>
      <c r="AW4" s="50"/>
      <c r="AX4" s="50"/>
      <c r="AY4" s="26"/>
      <c r="AZ4" s="26"/>
      <c r="BA4" s="26"/>
      <c r="BB4" s="26"/>
      <c r="BC4" s="26"/>
      <c r="BD4" s="26"/>
      <c r="BE4" s="26"/>
      <c r="BF4" s="26"/>
      <c r="BG4" s="26"/>
      <c r="BH4" s="26"/>
      <c r="BI4" s="26"/>
      <c r="BJ4" s="26"/>
      <c r="BK4" s="26"/>
      <c r="BL4" s="26"/>
      <c r="BM4" s="26"/>
      <c r="BN4" s="26"/>
      <c r="BO4" s="26"/>
      <c r="BP4" s="26"/>
      <c r="BQ4" s="26"/>
      <c r="BR4" s="26"/>
      <c r="BS4" s="26"/>
      <c r="BT4" s="28"/>
      <c r="BU4" s="28"/>
      <c r="BV4" s="28"/>
      <c r="BW4" s="28"/>
    </row>
    <row r="5" spans="1:78" ht="18" customHeight="1" x14ac:dyDescent="0.2">
      <c r="A5" s="339" t="str">
        <f ca="1">Translations!$A$10</f>
        <v>Start Year:</v>
      </c>
      <c r="B5" s="340"/>
      <c r="C5" s="778">
        <v>2014</v>
      </c>
      <c r="D5" s="779"/>
      <c r="E5" s="779"/>
      <c r="F5" s="779"/>
      <c r="G5" s="780"/>
      <c r="H5" s="344" t="str">
        <f ca="1">Translations!$A$14</f>
        <v>(Please select from list or add a new one)</v>
      </c>
      <c r="I5" s="345"/>
      <c r="J5" s="346"/>
      <c r="K5" s="479"/>
      <c r="L5" s="479"/>
      <c r="M5" s="479"/>
      <c r="N5" s="479"/>
      <c r="O5" s="479"/>
      <c r="P5" s="479"/>
      <c r="Q5" s="479"/>
      <c r="R5" s="479"/>
      <c r="S5" s="795" t="str">
        <f>IFERROR(VLOOKUP(K5,Definitions!R:S,2,FALSE),"")</f>
        <v/>
      </c>
      <c r="T5" s="796"/>
      <c r="U5" s="491" t="str">
        <f ca="1">Translations!$A$78</f>
        <v>Indicative</v>
      </c>
      <c r="V5" s="492"/>
      <c r="W5" s="492"/>
      <c r="X5" s="492"/>
      <c r="Y5" s="650">
        <f ca="1">SUMIF(A:A,Translations!$A$84,F:F)</f>
        <v>72180000.144862369</v>
      </c>
      <c r="Z5" s="651"/>
      <c r="AA5" s="85"/>
      <c r="AB5" s="85"/>
      <c r="AC5" s="85"/>
      <c r="AD5" s="85"/>
      <c r="AE5" s="85"/>
      <c r="AF5" s="85"/>
      <c r="AG5" s="85"/>
      <c r="AH5" s="85"/>
      <c r="AI5" s="85"/>
      <c r="AJ5" s="50"/>
      <c r="AK5" s="50"/>
      <c r="AL5" s="222"/>
      <c r="AM5" s="50"/>
      <c r="AN5" s="85"/>
      <c r="AO5" s="85"/>
      <c r="AP5" s="50"/>
      <c r="AQ5" s="50"/>
      <c r="AR5" s="50"/>
      <c r="AS5" s="50"/>
      <c r="AT5" s="50"/>
      <c r="AU5" s="50"/>
      <c r="AV5" s="50"/>
      <c r="AW5" s="50"/>
      <c r="AX5" s="50"/>
      <c r="AY5" s="26"/>
      <c r="AZ5" s="26"/>
      <c r="BA5" s="26"/>
      <c r="BB5" s="26"/>
      <c r="BC5" s="26"/>
      <c r="BD5" s="26"/>
      <c r="BE5" s="26"/>
      <c r="BF5" s="26"/>
      <c r="BG5" s="26"/>
      <c r="BH5" s="26"/>
      <c r="BI5" s="26"/>
      <c r="BJ5" s="26"/>
      <c r="BK5" s="26"/>
      <c r="BL5" s="26"/>
      <c r="BM5" s="26"/>
      <c r="BN5" s="26"/>
      <c r="BO5" s="26"/>
      <c r="BP5" s="26"/>
      <c r="BQ5" s="26"/>
      <c r="BR5" s="26"/>
      <c r="BS5" s="26"/>
      <c r="BT5" s="28"/>
      <c r="BU5" s="28"/>
      <c r="BV5" s="28"/>
      <c r="BW5" s="28"/>
    </row>
    <row r="6" spans="1:78" ht="18" customHeight="1" x14ac:dyDescent="0.2">
      <c r="A6" s="339" t="str">
        <f ca="1">Translations!$A$11</f>
        <v>Start Month:</v>
      </c>
      <c r="B6" s="340"/>
      <c r="C6" s="770" t="s">
        <v>69</v>
      </c>
      <c r="D6" s="771"/>
      <c r="E6" s="771"/>
      <c r="F6" s="771"/>
      <c r="G6" s="772"/>
      <c r="H6" s="347"/>
      <c r="I6" s="348"/>
      <c r="J6" s="349"/>
      <c r="K6" s="479"/>
      <c r="L6" s="479"/>
      <c r="M6" s="479"/>
      <c r="N6" s="479"/>
      <c r="O6" s="479"/>
      <c r="P6" s="479"/>
      <c r="Q6" s="479"/>
      <c r="R6" s="479"/>
      <c r="S6" s="776" t="str">
        <f>IFERROR(VLOOKUP(K6,Definitions!R:S,2,FALSE),"")</f>
        <v/>
      </c>
      <c r="T6" s="777"/>
      <c r="U6" s="497" t="str">
        <f ca="1">Translations!$A$79</f>
        <v>Above indicative</v>
      </c>
      <c r="V6" s="498"/>
      <c r="W6" s="498"/>
      <c r="X6" s="498"/>
      <c r="Y6" s="652">
        <f ca="1">SUMIF(J:J,Translations!$A$85,Q:Q)</f>
        <v>21481221.979389731</v>
      </c>
      <c r="Z6" s="653"/>
      <c r="AA6" s="85"/>
      <c r="AB6" s="85"/>
      <c r="AC6" s="85"/>
      <c r="AD6" s="85"/>
      <c r="AE6" s="85"/>
      <c r="AF6" s="85"/>
      <c r="AG6" s="85"/>
      <c r="AH6" s="85"/>
      <c r="AI6" s="85"/>
      <c r="AJ6" s="50"/>
      <c r="AK6" s="50"/>
      <c r="AL6" s="222"/>
      <c r="AM6" s="50"/>
      <c r="AN6" s="85"/>
      <c r="AO6" s="85"/>
      <c r="AP6" s="50"/>
      <c r="AQ6" s="50"/>
      <c r="AR6" s="50"/>
      <c r="AS6" s="50"/>
      <c r="AT6" s="50"/>
      <c r="AU6" s="50"/>
      <c r="AV6" s="50"/>
      <c r="AW6" s="50"/>
      <c r="AX6" s="50"/>
      <c r="AY6" s="26"/>
      <c r="AZ6" s="26"/>
      <c r="BA6" s="26"/>
      <c r="BB6" s="26"/>
      <c r="BC6" s="26"/>
      <c r="BD6" s="26"/>
      <c r="BE6" s="26"/>
      <c r="BF6" s="26"/>
      <c r="BG6" s="26"/>
      <c r="BH6" s="26"/>
      <c r="BI6" s="26"/>
      <c r="BJ6" s="26"/>
      <c r="BK6" s="26"/>
      <c r="BL6" s="26"/>
      <c r="BM6" s="26"/>
      <c r="BN6" s="26"/>
      <c r="BO6" s="26"/>
      <c r="BP6" s="26"/>
      <c r="BQ6" s="26"/>
      <c r="BR6" s="26"/>
      <c r="BS6" s="26"/>
      <c r="BT6" s="28"/>
      <c r="BU6" s="28"/>
      <c r="BV6" s="28"/>
      <c r="BW6" s="28"/>
    </row>
    <row r="7" spans="1:78" ht="11.25" customHeight="1" x14ac:dyDescent="0.2">
      <c r="A7" s="360"/>
      <c r="B7" s="360"/>
      <c r="C7" s="360"/>
      <c r="D7" s="360"/>
      <c r="E7" s="360"/>
      <c r="F7" s="360"/>
      <c r="G7" s="360"/>
      <c r="H7" s="360"/>
      <c r="I7" s="360"/>
      <c r="J7" s="360"/>
      <c r="K7" s="360"/>
      <c r="L7" s="360"/>
      <c r="M7" s="360"/>
      <c r="N7" s="360"/>
      <c r="O7" s="360"/>
      <c r="P7" s="360"/>
      <c r="Q7" s="360"/>
      <c r="R7" s="360"/>
      <c r="S7" s="360"/>
      <c r="T7" s="360"/>
      <c r="U7" s="360"/>
      <c r="V7" s="360"/>
      <c r="W7" s="360"/>
      <c r="X7" s="360"/>
      <c r="Y7" s="360"/>
      <c r="Z7" s="148"/>
      <c r="AA7" s="85"/>
      <c r="AB7" s="85"/>
      <c r="AC7" s="85"/>
      <c r="AD7" s="85"/>
      <c r="AE7" s="85"/>
      <c r="AF7" s="85"/>
      <c r="AG7" s="85"/>
      <c r="AH7" s="85"/>
      <c r="AI7" s="85"/>
      <c r="AJ7" s="50"/>
      <c r="AK7" s="50"/>
      <c r="AL7" s="222"/>
      <c r="AM7" s="50"/>
      <c r="AN7" s="85"/>
      <c r="AO7" s="85"/>
      <c r="AP7" s="50"/>
      <c r="AQ7" s="50"/>
      <c r="AR7" s="50"/>
      <c r="AS7" s="50"/>
      <c r="AT7" s="50"/>
      <c r="AU7" s="50"/>
      <c r="AV7" s="50"/>
      <c r="AW7" s="50"/>
      <c r="AX7" s="50"/>
      <c r="AY7" s="50"/>
      <c r="AZ7" s="50"/>
      <c r="BA7" s="50"/>
      <c r="BB7" s="26"/>
      <c r="BC7" s="26"/>
      <c r="BD7" s="26"/>
      <c r="BE7" s="26"/>
      <c r="BF7" s="26"/>
      <c r="BG7" s="26"/>
      <c r="BH7" s="26"/>
      <c r="BI7" s="26"/>
      <c r="BJ7" s="26"/>
      <c r="BK7" s="26"/>
      <c r="BL7" s="26"/>
      <c r="BM7" s="26"/>
      <c r="BN7" s="26"/>
      <c r="BO7" s="26"/>
      <c r="BP7" s="26"/>
      <c r="BQ7" s="26"/>
      <c r="BR7" s="26"/>
      <c r="BS7" s="26"/>
      <c r="BT7" s="26"/>
      <c r="BU7" s="26"/>
      <c r="BV7" s="26"/>
      <c r="BW7" s="28"/>
      <c r="BX7" s="28"/>
      <c r="BY7" s="28"/>
      <c r="BZ7" s="28"/>
    </row>
    <row r="8" spans="1:78" s="2" customFormat="1" ht="18" customHeight="1" x14ac:dyDescent="0.2">
      <c r="A8" s="368" t="str">
        <f ca="1">Translations!$A$25</f>
        <v>B. Program goals and impact indicators</v>
      </c>
      <c r="B8" s="369"/>
      <c r="C8" s="369"/>
      <c r="D8" s="369"/>
      <c r="E8" s="369"/>
      <c r="F8" s="369"/>
      <c r="G8" s="369"/>
      <c r="H8" s="369"/>
      <c r="I8" s="369"/>
      <c r="J8" s="369"/>
      <c r="K8" s="369"/>
      <c r="L8" s="369"/>
      <c r="M8" s="369"/>
      <c r="N8" s="369"/>
      <c r="O8" s="369"/>
      <c r="P8" s="369"/>
      <c r="Q8" s="369"/>
      <c r="R8" s="369"/>
      <c r="S8" s="369"/>
      <c r="T8" s="369"/>
      <c r="U8" s="369"/>
      <c r="V8" s="369"/>
      <c r="W8" s="369"/>
      <c r="X8" s="369"/>
      <c r="Y8" s="369"/>
      <c r="Z8" s="370"/>
      <c r="AA8" s="85"/>
      <c r="AB8" s="85"/>
      <c r="AC8" s="85"/>
      <c r="AD8" s="85"/>
      <c r="AE8" s="85"/>
      <c r="AF8" s="85"/>
      <c r="AG8" s="85"/>
      <c r="AH8" s="85"/>
      <c r="AI8" s="85"/>
      <c r="AJ8" s="42"/>
      <c r="AK8" s="42"/>
      <c r="AL8" s="223"/>
      <c r="AM8" s="42"/>
      <c r="AN8" s="85"/>
      <c r="AO8" s="85"/>
      <c r="AP8" s="42"/>
      <c r="AQ8" s="42"/>
      <c r="AR8" s="42"/>
      <c r="AS8" s="42"/>
      <c r="AT8" s="42"/>
      <c r="AU8" s="42"/>
      <c r="AV8" s="50"/>
      <c r="AW8" s="50"/>
      <c r="AX8" s="50"/>
      <c r="AY8" s="50"/>
      <c r="AZ8" s="50"/>
      <c r="BA8" s="50"/>
      <c r="BB8" s="26"/>
      <c r="BC8" s="26"/>
      <c r="BD8" s="47"/>
      <c r="BE8" s="47"/>
      <c r="BF8" s="47"/>
      <c r="BG8" s="47"/>
    </row>
    <row r="9" spans="1:78" s="6" customFormat="1" ht="18" customHeight="1" x14ac:dyDescent="0.2">
      <c r="A9" s="339" t="str">
        <f ca="1">Translations!$A$26</f>
        <v xml:space="preserve">  Goals:</v>
      </c>
      <c r="B9" s="340"/>
      <c r="C9" s="340"/>
      <c r="D9" s="340"/>
      <c r="E9" s="340"/>
      <c r="F9" s="340"/>
      <c r="G9" s="340"/>
      <c r="H9" s="340"/>
      <c r="I9" s="340"/>
      <c r="J9" s="340"/>
      <c r="K9" s="340"/>
      <c r="L9" s="340"/>
      <c r="M9" s="340"/>
      <c r="N9" s="340"/>
      <c r="O9" s="340"/>
      <c r="P9" s="340"/>
      <c r="Q9" s="340"/>
      <c r="R9" s="340"/>
      <c r="S9" s="340"/>
      <c r="T9" s="340"/>
      <c r="U9" s="340"/>
      <c r="V9" s="340"/>
      <c r="W9" s="340"/>
      <c r="X9" s="340"/>
      <c r="Y9" s="340"/>
      <c r="Z9" s="361"/>
      <c r="AA9" s="85"/>
      <c r="AB9" s="85"/>
      <c r="AC9" s="85"/>
      <c r="AD9" s="85"/>
      <c r="AE9" s="85"/>
      <c r="AF9" s="85"/>
      <c r="AG9" s="85"/>
      <c r="AH9" s="85"/>
      <c r="AI9" s="85"/>
      <c r="AJ9" s="43"/>
      <c r="AK9" s="43"/>
      <c r="AL9" s="222"/>
      <c r="AM9" s="43"/>
      <c r="AN9" s="91"/>
      <c r="AO9" s="91"/>
      <c r="AP9" s="43"/>
      <c r="AQ9" s="43"/>
      <c r="AR9" s="43"/>
      <c r="AS9" s="43"/>
      <c r="AT9" s="43"/>
      <c r="AU9" s="43"/>
      <c r="AV9" s="50"/>
      <c r="AW9" s="50"/>
      <c r="AX9" s="50"/>
      <c r="AY9" s="50"/>
      <c r="AZ9" s="50"/>
      <c r="BA9" s="50"/>
      <c r="BB9" s="26"/>
      <c r="BC9" s="26"/>
      <c r="BD9" s="48"/>
      <c r="BE9" s="48"/>
      <c r="BF9" s="48"/>
      <c r="BG9" s="48"/>
    </row>
    <row r="10" spans="1:78" s="27" customFormat="1" ht="18" customHeight="1" x14ac:dyDescent="0.2">
      <c r="A10" s="152">
        <v>1</v>
      </c>
      <c r="B10" s="773" t="s">
        <v>1965</v>
      </c>
      <c r="C10" s="774"/>
      <c r="D10" s="774"/>
      <c r="E10" s="774"/>
      <c r="F10" s="774"/>
      <c r="G10" s="774"/>
      <c r="H10" s="774"/>
      <c r="I10" s="774"/>
      <c r="J10" s="774"/>
      <c r="K10" s="774"/>
      <c r="L10" s="774"/>
      <c r="M10" s="774"/>
      <c r="N10" s="774"/>
      <c r="O10" s="774"/>
      <c r="P10" s="774"/>
      <c r="Q10" s="774"/>
      <c r="R10" s="774"/>
      <c r="S10" s="774"/>
      <c r="T10" s="774"/>
      <c r="U10" s="774"/>
      <c r="V10" s="774"/>
      <c r="W10" s="774"/>
      <c r="X10" s="774"/>
      <c r="Y10" s="774"/>
      <c r="Z10" s="775"/>
      <c r="AA10" s="85"/>
      <c r="AB10" s="85"/>
      <c r="AC10" s="85"/>
      <c r="AD10" s="85"/>
      <c r="AE10" s="85"/>
      <c r="AF10" s="85"/>
      <c r="AG10" s="85"/>
      <c r="AH10" s="85"/>
      <c r="AI10" s="85"/>
      <c r="AJ10" s="50"/>
      <c r="AK10" s="50"/>
      <c r="AL10" s="222"/>
      <c r="AM10" s="50"/>
      <c r="AN10" s="85"/>
      <c r="AO10" s="85"/>
      <c r="AP10" s="50"/>
      <c r="AQ10" s="50"/>
      <c r="AR10" s="50"/>
      <c r="AS10" s="50"/>
      <c r="AT10" s="50"/>
      <c r="AU10" s="50"/>
      <c r="AV10" s="50"/>
      <c r="AW10" s="50"/>
      <c r="AX10" s="50"/>
      <c r="AY10" s="50"/>
      <c r="AZ10" s="50"/>
      <c r="BA10" s="50"/>
      <c r="BB10" s="26"/>
      <c r="BC10" s="26"/>
    </row>
    <row r="11" spans="1:78" s="27" customFormat="1" ht="18" customHeight="1" x14ac:dyDescent="0.2">
      <c r="A11" s="155">
        <v>2</v>
      </c>
      <c r="B11" s="362"/>
      <c r="C11" s="363"/>
      <c r="D11" s="363"/>
      <c r="E11" s="363"/>
      <c r="F11" s="363"/>
      <c r="G11" s="363"/>
      <c r="H11" s="363"/>
      <c r="I11" s="363"/>
      <c r="J11" s="363"/>
      <c r="K11" s="363"/>
      <c r="L11" s="363"/>
      <c r="M11" s="363"/>
      <c r="N11" s="363"/>
      <c r="O11" s="363"/>
      <c r="P11" s="363"/>
      <c r="Q11" s="363"/>
      <c r="R11" s="363"/>
      <c r="S11" s="363"/>
      <c r="T11" s="363"/>
      <c r="U11" s="363"/>
      <c r="V11" s="363"/>
      <c r="W11" s="363"/>
      <c r="X11" s="363"/>
      <c r="Y11" s="363"/>
      <c r="Z11" s="364"/>
      <c r="AA11" s="85"/>
      <c r="AB11" s="85"/>
      <c r="AC11" s="85"/>
      <c r="AD11" s="85"/>
      <c r="AE11" s="85"/>
      <c r="AF11" s="85"/>
      <c r="AG11" s="85"/>
      <c r="AH11" s="85"/>
      <c r="AI11" s="85"/>
      <c r="AJ11" s="50"/>
      <c r="AK11" s="50"/>
      <c r="AL11" s="222"/>
      <c r="AM11" s="50"/>
      <c r="AN11" s="85"/>
      <c r="AO11" s="85"/>
      <c r="AP11" s="50"/>
      <c r="AQ11" s="50"/>
      <c r="AR11" s="50"/>
      <c r="AS11" s="50"/>
      <c r="AT11" s="50"/>
      <c r="AU11" s="50"/>
      <c r="AV11" s="50"/>
      <c r="AW11" s="50"/>
      <c r="AX11" s="50"/>
      <c r="AY11" s="50"/>
      <c r="AZ11" s="50"/>
      <c r="BA11" s="50"/>
      <c r="BB11" s="26"/>
      <c r="BC11" s="26"/>
    </row>
    <row r="12" spans="1:78" s="27" customFormat="1" ht="18" customHeight="1" x14ac:dyDescent="0.2">
      <c r="A12" s="154">
        <v>3</v>
      </c>
      <c r="B12" s="365"/>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7"/>
      <c r="AA12" s="85"/>
      <c r="AB12" s="85"/>
      <c r="AC12" s="85"/>
      <c r="AD12" s="85"/>
      <c r="AE12" s="85"/>
      <c r="AF12" s="85"/>
      <c r="AG12" s="85"/>
      <c r="AH12" s="85"/>
      <c r="AI12" s="85"/>
      <c r="AJ12" s="50"/>
      <c r="AK12" s="50"/>
      <c r="AL12" s="222"/>
      <c r="AM12" s="50"/>
      <c r="AN12" s="85"/>
      <c r="AO12" s="85"/>
      <c r="AP12" s="50"/>
      <c r="AQ12" s="50"/>
      <c r="AR12" s="50"/>
      <c r="AS12" s="50"/>
      <c r="AT12" s="50"/>
      <c r="AU12" s="50"/>
      <c r="AV12" s="50"/>
      <c r="AW12" s="50"/>
      <c r="AX12" s="50"/>
      <c r="AY12" s="50"/>
      <c r="AZ12" s="50"/>
      <c r="BA12" s="50"/>
      <c r="BB12" s="26"/>
      <c r="BC12" s="26"/>
    </row>
    <row r="13" spans="1:78" ht="10.15" customHeight="1" x14ac:dyDescent="0.2">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85"/>
      <c r="AB13" s="85"/>
      <c r="AC13" s="85"/>
      <c r="AD13" s="85"/>
      <c r="AE13" s="85"/>
      <c r="AF13" s="85"/>
      <c r="AG13" s="85"/>
      <c r="AH13" s="85"/>
      <c r="AI13" s="85"/>
      <c r="AJ13" s="50"/>
      <c r="AK13" s="50"/>
      <c r="AL13" s="222"/>
      <c r="AM13" s="50"/>
      <c r="AN13" s="85"/>
      <c r="AO13" s="85"/>
      <c r="AP13" s="50"/>
      <c r="AQ13" s="50"/>
      <c r="AR13" s="50"/>
      <c r="AS13" s="50"/>
      <c r="AT13" s="50"/>
      <c r="AU13" s="50"/>
      <c r="AV13" s="50"/>
      <c r="AW13" s="50"/>
      <c r="AX13" s="50"/>
      <c r="AY13" s="50"/>
      <c r="AZ13" s="50"/>
      <c r="BA13" s="50"/>
      <c r="BB13" s="26"/>
      <c r="BC13" s="26"/>
      <c r="BD13" s="26"/>
      <c r="BE13" s="26"/>
      <c r="BF13" s="26"/>
      <c r="BG13" s="26"/>
      <c r="BH13" s="26"/>
      <c r="BI13" s="26"/>
      <c r="BJ13" s="26"/>
      <c r="BK13" s="26"/>
      <c r="BL13" s="26"/>
      <c r="BM13" s="26"/>
      <c r="BN13" s="26"/>
      <c r="BO13" s="26"/>
      <c r="BP13" s="26"/>
      <c r="BQ13" s="26"/>
      <c r="BR13" s="26"/>
      <c r="BS13" s="26"/>
      <c r="BT13" s="26"/>
      <c r="BU13" s="26"/>
      <c r="BV13" s="26"/>
      <c r="BW13" s="28"/>
      <c r="BX13" s="28"/>
      <c r="BY13" s="28"/>
      <c r="BZ13" s="28"/>
    </row>
    <row r="14" spans="1:78" s="5" customFormat="1" ht="21" customHeight="1" x14ac:dyDescent="0.2">
      <c r="A14" s="402" t="str">
        <f ca="1">Translations!$A$27</f>
        <v>Linked to goal(s) #</v>
      </c>
      <c r="B14" s="354" t="str">
        <f ca="1">Translations!$A$28</f>
        <v>Impact indicator</v>
      </c>
      <c r="C14" s="355"/>
      <c r="D14" s="355"/>
      <c r="E14" s="355"/>
      <c r="F14" s="355"/>
      <c r="G14" s="355"/>
      <c r="H14" s="386"/>
      <c r="I14" s="374" t="str">
        <f ca="1">Translations!$A$29</f>
        <v>Baseline</v>
      </c>
      <c r="J14" s="375"/>
      <c r="K14" s="375"/>
      <c r="L14" s="375"/>
      <c r="M14" s="375"/>
      <c r="N14" s="376"/>
      <c r="O14" s="374" t="str">
        <f ca="1">Translations!$A$30</f>
        <v>Targets</v>
      </c>
      <c r="P14" s="375"/>
      <c r="Q14" s="375"/>
      <c r="R14" s="375"/>
      <c r="S14" s="375"/>
      <c r="T14" s="376"/>
      <c r="U14" s="377" t="str">
        <f ca="1">Translations!$A$73</f>
        <v>Comments and Assumptions</v>
      </c>
      <c r="V14" s="378"/>
      <c r="W14" s="378"/>
      <c r="X14" s="378"/>
      <c r="Y14" s="378"/>
      <c r="Z14" s="379"/>
      <c r="AA14" s="85"/>
      <c r="AB14" s="85"/>
      <c r="AC14" s="85"/>
      <c r="AD14" s="85"/>
      <c r="AE14" s="85"/>
      <c r="AF14" s="85"/>
      <c r="AG14" s="85"/>
      <c r="AH14" s="85"/>
      <c r="AI14" s="85"/>
      <c r="AJ14" s="683"/>
      <c r="AK14" s="683"/>
      <c r="AL14" s="683"/>
      <c r="AM14" s="683"/>
      <c r="AN14" s="683"/>
      <c r="AO14" s="683"/>
      <c r="AP14" s="683"/>
      <c r="AQ14" s="683"/>
      <c r="AR14" s="683"/>
      <c r="AS14" s="50"/>
      <c r="AT14" s="50"/>
      <c r="AU14" s="50"/>
      <c r="AV14" s="48"/>
      <c r="AW14" s="48"/>
      <c r="AX14" s="48"/>
      <c r="AY14" s="48"/>
    </row>
    <row r="15" spans="1:78" s="5" customFormat="1" ht="21" customHeight="1" x14ac:dyDescent="0.2">
      <c r="A15" s="403"/>
      <c r="B15" s="357"/>
      <c r="C15" s="358"/>
      <c r="D15" s="358"/>
      <c r="E15" s="358"/>
      <c r="F15" s="358"/>
      <c r="G15" s="358"/>
      <c r="H15" s="405"/>
      <c r="I15" s="354" t="str">
        <f ca="1">Translations!$A$31</f>
        <v>Value</v>
      </c>
      <c r="J15" s="386"/>
      <c r="K15" s="389" t="str">
        <f ca="1">Translations!$A$32</f>
        <v xml:space="preserve">Year </v>
      </c>
      <c r="L15" s="354" t="str">
        <f ca="1">Translations!$A$33</f>
        <v>Source</v>
      </c>
      <c r="M15" s="355"/>
      <c r="N15" s="386"/>
      <c r="O15" s="374" t="str">
        <f ca="1">Translations!$A$34</f>
        <v>Year 1</v>
      </c>
      <c r="P15" s="376"/>
      <c r="Q15" s="374" t="str">
        <f ca="1">Translations!$A$35</f>
        <v>Year 2</v>
      </c>
      <c r="R15" s="376"/>
      <c r="S15" s="374" t="str">
        <f ca="1">Translations!$A$36</f>
        <v>Year 3</v>
      </c>
      <c r="T15" s="376"/>
      <c r="U15" s="380"/>
      <c r="V15" s="381"/>
      <c r="W15" s="381"/>
      <c r="X15" s="381"/>
      <c r="Y15" s="381"/>
      <c r="Z15" s="382"/>
      <c r="AA15" s="85"/>
      <c r="AB15" s="85"/>
      <c r="AC15" s="85"/>
      <c r="AD15" s="85"/>
      <c r="AE15" s="85"/>
      <c r="AF15" s="85"/>
      <c r="AG15" s="85"/>
      <c r="AH15" s="85"/>
      <c r="AI15" s="85"/>
      <c r="AJ15" s="683"/>
      <c r="AK15" s="683"/>
      <c r="AL15" s="683"/>
      <c r="AM15" s="683"/>
      <c r="AN15" s="683"/>
      <c r="AO15" s="683"/>
      <c r="AP15" s="683"/>
      <c r="AQ15" s="683"/>
      <c r="AR15" s="683"/>
      <c r="AS15" s="50"/>
      <c r="AT15" s="50"/>
      <c r="AU15" s="50"/>
      <c r="AV15" s="48"/>
      <c r="AW15" s="48"/>
      <c r="AX15" s="48"/>
      <c r="AY15" s="48"/>
    </row>
    <row r="16" spans="1:78" s="5" customFormat="1" ht="21" customHeight="1" x14ac:dyDescent="0.2">
      <c r="A16" s="404"/>
      <c r="B16" s="387"/>
      <c r="C16" s="391"/>
      <c r="D16" s="391"/>
      <c r="E16" s="391"/>
      <c r="F16" s="391"/>
      <c r="G16" s="391"/>
      <c r="H16" s="388"/>
      <c r="I16" s="387"/>
      <c r="J16" s="388"/>
      <c r="K16" s="390"/>
      <c r="L16" s="387"/>
      <c r="M16" s="391"/>
      <c r="N16" s="388"/>
      <c r="O16" s="392">
        <f ca="1">IFERROR(IF(MonthIndex&lt;7,StartYearSelected,StartYearSelected+1),"")</f>
        <v>2014</v>
      </c>
      <c r="P16" s="393"/>
      <c r="Q16" s="392">
        <f ca="1">IFERROR(O16+1,"")</f>
        <v>2015</v>
      </c>
      <c r="R16" s="393"/>
      <c r="S16" s="392">
        <f ca="1">IFERROR(Q16+1,"")</f>
        <v>2016</v>
      </c>
      <c r="T16" s="393"/>
      <c r="U16" s="383"/>
      <c r="V16" s="384"/>
      <c r="W16" s="384"/>
      <c r="X16" s="384"/>
      <c r="Y16" s="384"/>
      <c r="Z16" s="385"/>
      <c r="AA16" s="85"/>
      <c r="AB16" s="85"/>
      <c r="AC16" s="85"/>
      <c r="AD16" s="85"/>
      <c r="AE16" s="85"/>
      <c r="AF16" s="85"/>
      <c r="AG16" s="85"/>
      <c r="AH16" s="85"/>
      <c r="AI16" s="85"/>
      <c r="AJ16" s="683"/>
      <c r="AK16" s="683"/>
      <c r="AL16" s="683"/>
      <c r="AM16" s="683"/>
      <c r="AN16" s="683"/>
      <c r="AO16" s="683"/>
      <c r="AP16" s="683"/>
      <c r="AQ16" s="683"/>
      <c r="AR16" s="683"/>
      <c r="AS16" s="50"/>
      <c r="AT16" s="50"/>
      <c r="AU16" s="50"/>
      <c r="AV16" s="48"/>
      <c r="AW16" s="48"/>
      <c r="AX16" s="48"/>
      <c r="AY16" s="48"/>
    </row>
    <row r="17" spans="1:78" s="28" customFormat="1" ht="40.15" customHeight="1" x14ac:dyDescent="0.2">
      <c r="A17" s="11">
        <v>1</v>
      </c>
      <c r="B17" s="713" t="s">
        <v>1864</v>
      </c>
      <c r="C17" s="714"/>
      <c r="D17" s="714"/>
      <c r="E17" s="714"/>
      <c r="F17" s="714"/>
      <c r="G17" s="714"/>
      <c r="H17" s="715"/>
      <c r="I17" s="716" t="s">
        <v>1960</v>
      </c>
      <c r="J17" s="395"/>
      <c r="K17" s="87">
        <v>1990</v>
      </c>
      <c r="L17" s="701" t="s">
        <v>46</v>
      </c>
      <c r="M17" s="702"/>
      <c r="N17" s="703"/>
      <c r="O17" s="394">
        <v>255</v>
      </c>
      <c r="P17" s="395"/>
      <c r="Q17" s="394">
        <v>251</v>
      </c>
      <c r="R17" s="395"/>
      <c r="S17" s="394">
        <v>246</v>
      </c>
      <c r="T17" s="396"/>
      <c r="U17" s="758" t="s">
        <v>1963</v>
      </c>
      <c r="V17" s="759"/>
      <c r="W17" s="759"/>
      <c r="X17" s="759"/>
      <c r="Y17" s="759"/>
      <c r="Z17" s="760"/>
      <c r="AA17" s="85"/>
      <c r="AB17" s="85"/>
      <c r="AC17" s="85"/>
      <c r="AD17" s="85"/>
      <c r="AE17" s="85"/>
      <c r="AF17" s="85"/>
      <c r="AG17" s="85"/>
      <c r="AH17" s="85"/>
      <c r="AI17" s="85"/>
      <c r="AJ17" s="689"/>
      <c r="AK17" s="689"/>
      <c r="AL17" s="689"/>
      <c r="AM17" s="689"/>
      <c r="AN17" s="689"/>
      <c r="AO17" s="689"/>
      <c r="AP17" s="689"/>
      <c r="AQ17" s="689"/>
      <c r="AR17" s="689"/>
      <c r="AS17" s="50"/>
      <c r="AT17" s="50"/>
      <c r="AU17" s="50"/>
    </row>
    <row r="18" spans="1:78" s="28" customFormat="1" ht="40.15" customHeight="1" x14ac:dyDescent="0.2">
      <c r="A18" s="16">
        <v>2</v>
      </c>
      <c r="B18" s="727" t="s">
        <v>750</v>
      </c>
      <c r="C18" s="728"/>
      <c r="D18" s="728"/>
      <c r="E18" s="728"/>
      <c r="F18" s="728"/>
      <c r="G18" s="728"/>
      <c r="H18" s="729"/>
      <c r="I18" s="690" t="s">
        <v>1961</v>
      </c>
      <c r="J18" s="409"/>
      <c r="K18" s="88">
        <v>1990</v>
      </c>
      <c r="L18" s="695" t="s">
        <v>46</v>
      </c>
      <c r="M18" s="696"/>
      <c r="N18" s="697"/>
      <c r="O18" s="719">
        <v>445</v>
      </c>
      <c r="P18" s="720"/>
      <c r="Q18" s="719">
        <v>430</v>
      </c>
      <c r="R18" s="720"/>
      <c r="S18" s="719">
        <v>414</v>
      </c>
      <c r="T18" s="722"/>
      <c r="U18" s="758" t="s">
        <v>1964</v>
      </c>
      <c r="V18" s="759"/>
      <c r="W18" s="759"/>
      <c r="X18" s="759"/>
      <c r="Y18" s="759"/>
      <c r="Z18" s="760"/>
      <c r="AA18" s="85"/>
      <c r="AB18" s="85"/>
      <c r="AC18" s="85"/>
      <c r="AD18" s="85"/>
      <c r="AE18" s="85"/>
      <c r="AF18" s="85"/>
      <c r="AG18" s="85"/>
      <c r="AH18" s="85"/>
      <c r="AI18" s="85"/>
      <c r="AJ18" s="689"/>
      <c r="AK18" s="689"/>
      <c r="AL18" s="689"/>
      <c r="AM18" s="689"/>
      <c r="AN18" s="689"/>
      <c r="AO18" s="689"/>
      <c r="AP18" s="689"/>
      <c r="AQ18" s="689"/>
      <c r="AR18" s="689"/>
      <c r="AS18" s="50"/>
      <c r="AT18" s="50"/>
      <c r="AU18" s="50"/>
    </row>
    <row r="19" spans="1:78" s="28" customFormat="1" ht="40.15" customHeight="1" x14ac:dyDescent="0.2">
      <c r="A19" s="17">
        <v>3</v>
      </c>
      <c r="B19" s="727" t="s">
        <v>751</v>
      </c>
      <c r="C19" s="728"/>
      <c r="D19" s="728"/>
      <c r="E19" s="728"/>
      <c r="F19" s="728"/>
      <c r="G19" s="728"/>
      <c r="H19" s="729"/>
      <c r="I19" s="690" t="s">
        <v>1962</v>
      </c>
      <c r="J19" s="409"/>
      <c r="K19" s="88">
        <v>1990</v>
      </c>
      <c r="L19" s="695" t="s">
        <v>46</v>
      </c>
      <c r="M19" s="696"/>
      <c r="N19" s="697"/>
      <c r="O19" s="719">
        <v>26</v>
      </c>
      <c r="P19" s="720"/>
      <c r="Q19" s="719">
        <v>25</v>
      </c>
      <c r="R19" s="720"/>
      <c r="S19" s="719">
        <v>24</v>
      </c>
      <c r="T19" s="722"/>
      <c r="U19" s="758" t="s">
        <v>2039</v>
      </c>
      <c r="V19" s="759"/>
      <c r="W19" s="759"/>
      <c r="X19" s="759"/>
      <c r="Y19" s="759"/>
      <c r="Z19" s="760"/>
      <c r="AA19" s="85"/>
      <c r="AB19" s="85"/>
      <c r="AC19" s="85"/>
      <c r="AD19" s="85"/>
      <c r="AE19" s="85"/>
      <c r="AF19" s="85"/>
      <c r="AG19" s="85"/>
      <c r="AH19" s="85"/>
      <c r="AI19" s="85"/>
      <c r="AJ19" s="689"/>
      <c r="AK19" s="689"/>
      <c r="AL19" s="689"/>
      <c r="AM19" s="689"/>
      <c r="AN19" s="689"/>
      <c r="AO19" s="689"/>
      <c r="AP19" s="689"/>
      <c r="AQ19" s="689"/>
      <c r="AR19" s="689"/>
      <c r="AS19" s="50"/>
      <c r="AT19" s="50"/>
      <c r="AU19" s="50"/>
    </row>
    <row r="20" spans="1:78" s="85" customFormat="1" ht="40.15" customHeight="1" x14ac:dyDescent="0.2">
      <c r="A20" s="289">
        <v>4</v>
      </c>
      <c r="B20" s="781" t="s">
        <v>1865</v>
      </c>
      <c r="C20" s="782"/>
      <c r="D20" s="782"/>
      <c r="E20" s="782"/>
      <c r="F20" s="782"/>
      <c r="G20" s="782"/>
      <c r="H20" s="783"/>
      <c r="I20" s="721">
        <v>3.7999999999999999E-2</v>
      </c>
      <c r="J20" s="720"/>
      <c r="K20" s="290">
        <v>2003</v>
      </c>
      <c r="L20" s="724" t="s">
        <v>46</v>
      </c>
      <c r="M20" s="725"/>
      <c r="N20" s="726"/>
      <c r="O20" s="719"/>
      <c r="P20" s="720"/>
      <c r="Q20" s="719"/>
      <c r="R20" s="720"/>
      <c r="S20" s="719"/>
      <c r="T20" s="722"/>
      <c r="U20" s="790" t="s">
        <v>1966</v>
      </c>
      <c r="V20" s="791"/>
      <c r="W20" s="791"/>
      <c r="X20" s="791"/>
      <c r="Y20" s="791"/>
      <c r="Z20" s="792"/>
      <c r="AJ20" s="689"/>
      <c r="AK20" s="689"/>
      <c r="AL20" s="689"/>
      <c r="AM20" s="689"/>
      <c r="AN20" s="689"/>
      <c r="AO20" s="689"/>
      <c r="AP20" s="689"/>
      <c r="AQ20" s="689"/>
      <c r="AR20" s="689"/>
    </row>
    <row r="21" spans="1:78" s="28" customFormat="1" ht="40.15" customHeight="1" x14ac:dyDescent="0.2">
      <c r="A21" s="25">
        <v>5</v>
      </c>
      <c r="B21" s="784" t="s">
        <v>1866</v>
      </c>
      <c r="C21" s="785"/>
      <c r="D21" s="785"/>
      <c r="E21" s="785"/>
      <c r="F21" s="785"/>
      <c r="G21" s="785"/>
      <c r="H21" s="786"/>
      <c r="I21" s="424"/>
      <c r="J21" s="425"/>
      <c r="K21" s="60"/>
      <c r="L21" s="787" t="str">
        <f ca="1">Translations!$A$72</f>
        <v>Please select…</v>
      </c>
      <c r="M21" s="788"/>
      <c r="N21" s="789"/>
      <c r="O21" s="424"/>
      <c r="P21" s="425"/>
      <c r="Q21" s="424"/>
      <c r="R21" s="425"/>
      <c r="S21" s="424"/>
      <c r="T21" s="429"/>
      <c r="U21" s="790" t="s">
        <v>1939</v>
      </c>
      <c r="V21" s="791"/>
      <c r="W21" s="791"/>
      <c r="X21" s="791"/>
      <c r="Y21" s="791"/>
      <c r="Z21" s="792"/>
      <c r="AA21" s="85"/>
      <c r="AB21" s="85"/>
      <c r="AC21" s="85"/>
      <c r="AD21" s="85"/>
      <c r="AE21" s="85"/>
      <c r="AF21" s="85"/>
      <c r="AG21" s="85"/>
      <c r="AH21" s="85"/>
      <c r="AI21" s="85"/>
      <c r="AJ21" s="689"/>
      <c r="AK21" s="689"/>
      <c r="AL21" s="689"/>
      <c r="AM21" s="689"/>
      <c r="AN21" s="689"/>
      <c r="AO21" s="689"/>
      <c r="AP21" s="689"/>
      <c r="AQ21" s="689"/>
      <c r="AR21" s="689"/>
      <c r="AS21" s="50"/>
      <c r="AT21" s="50"/>
      <c r="AU21" s="50"/>
    </row>
    <row r="22" spans="1:78" ht="10.15" customHeight="1"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85"/>
      <c r="AB22" s="85"/>
      <c r="AC22" s="85"/>
      <c r="AD22" s="85"/>
      <c r="AE22" s="85"/>
      <c r="AF22" s="85"/>
      <c r="AG22" s="85"/>
      <c r="AH22" s="85"/>
      <c r="AI22" s="85"/>
      <c r="AJ22" s="50"/>
      <c r="AK22" s="50"/>
      <c r="AL22" s="222"/>
      <c r="AM22" s="50"/>
      <c r="AN22" s="85"/>
      <c r="AO22" s="85"/>
      <c r="AP22" s="50"/>
      <c r="AQ22" s="50"/>
      <c r="AR22" s="50"/>
      <c r="AS22" s="50"/>
      <c r="AT22" s="50"/>
      <c r="AU22" s="50"/>
      <c r="AV22" s="50"/>
      <c r="AW22" s="50"/>
      <c r="AX22" s="50"/>
      <c r="AY22" s="50"/>
      <c r="AZ22" s="50"/>
      <c r="BA22" s="50"/>
      <c r="BB22" s="26"/>
      <c r="BC22" s="26"/>
      <c r="BD22" s="26"/>
      <c r="BE22" s="26"/>
      <c r="BF22" s="26"/>
      <c r="BG22" s="26"/>
      <c r="BH22" s="26"/>
      <c r="BI22" s="26"/>
      <c r="BJ22" s="26"/>
      <c r="BK22" s="26"/>
      <c r="BL22" s="26"/>
      <c r="BM22" s="26"/>
      <c r="BN22" s="26"/>
      <c r="BO22" s="26"/>
      <c r="BP22" s="26"/>
      <c r="BQ22" s="26"/>
      <c r="BR22" s="26"/>
      <c r="BS22" s="26"/>
      <c r="BT22" s="26"/>
      <c r="BU22" s="26"/>
      <c r="BV22" s="26"/>
      <c r="BW22" s="28"/>
      <c r="BX22" s="28"/>
      <c r="BY22" s="28"/>
      <c r="BZ22" s="28"/>
    </row>
    <row r="23" spans="1:78" s="2" customFormat="1" ht="18" customHeight="1" x14ac:dyDescent="0.2">
      <c r="A23" s="368" t="str">
        <f ca="1">Translations!$A$41</f>
        <v>C. Program objectives and outcome indicators</v>
      </c>
      <c r="B23" s="369"/>
      <c r="C23" s="369"/>
      <c r="D23" s="369"/>
      <c r="E23" s="369"/>
      <c r="F23" s="369"/>
      <c r="G23" s="369"/>
      <c r="H23" s="369"/>
      <c r="I23" s="369"/>
      <c r="J23" s="369"/>
      <c r="K23" s="369"/>
      <c r="L23" s="369"/>
      <c r="M23" s="369"/>
      <c r="N23" s="369"/>
      <c r="O23" s="369"/>
      <c r="P23" s="369"/>
      <c r="Q23" s="369"/>
      <c r="R23" s="369"/>
      <c r="S23" s="369"/>
      <c r="T23" s="369"/>
      <c r="U23" s="369"/>
      <c r="V23" s="369"/>
      <c r="W23" s="369"/>
      <c r="X23" s="369"/>
      <c r="Y23" s="369"/>
      <c r="Z23" s="370"/>
      <c r="AA23" s="85"/>
      <c r="AB23" s="85"/>
      <c r="AC23" s="85"/>
      <c r="AD23" s="85"/>
      <c r="AE23" s="85"/>
      <c r="AF23" s="85"/>
      <c r="AG23" s="85"/>
      <c r="AH23" s="85"/>
      <c r="AI23" s="85"/>
      <c r="AJ23" s="42"/>
      <c r="AK23" s="42"/>
      <c r="AL23" s="223"/>
      <c r="AM23" s="42"/>
      <c r="AN23" s="85"/>
      <c r="AO23" s="85"/>
      <c r="AP23" s="42"/>
      <c r="AQ23" s="42"/>
      <c r="AR23" s="42"/>
      <c r="AS23" s="42"/>
      <c r="AT23" s="42"/>
      <c r="AU23" s="42"/>
      <c r="AV23" s="50"/>
      <c r="AW23" s="50"/>
      <c r="AX23" s="50"/>
      <c r="AY23" s="50"/>
      <c r="AZ23" s="50"/>
      <c r="BA23" s="50"/>
      <c r="BB23" s="26"/>
      <c r="BC23" s="26"/>
      <c r="BD23" s="47"/>
      <c r="BE23" s="47"/>
      <c r="BF23" s="47"/>
      <c r="BG23" s="47"/>
    </row>
    <row r="24" spans="1:78" s="6" customFormat="1" ht="18" customHeight="1" x14ac:dyDescent="0.2">
      <c r="A24" s="339" t="str">
        <f ca="1">Translations!$A$42</f>
        <v xml:space="preserve">     Objectives:</v>
      </c>
      <c r="B24" s="340"/>
      <c r="C24" s="340"/>
      <c r="D24" s="340"/>
      <c r="E24" s="340"/>
      <c r="F24" s="340"/>
      <c r="G24" s="340"/>
      <c r="H24" s="340"/>
      <c r="I24" s="340"/>
      <c r="J24" s="340"/>
      <c r="K24" s="340"/>
      <c r="L24" s="340"/>
      <c r="M24" s="340"/>
      <c r="N24" s="340"/>
      <c r="O24" s="340"/>
      <c r="P24" s="340"/>
      <c r="Q24" s="340"/>
      <c r="R24" s="340"/>
      <c r="S24" s="340"/>
      <c r="T24" s="340"/>
      <c r="U24" s="340"/>
      <c r="V24" s="340"/>
      <c r="W24" s="340"/>
      <c r="X24" s="340"/>
      <c r="Y24" s="340"/>
      <c r="Z24" s="361"/>
      <c r="AA24" s="85"/>
      <c r="AB24" s="85"/>
      <c r="AC24" s="85"/>
      <c r="AD24" s="85"/>
      <c r="AE24" s="85"/>
      <c r="AF24" s="85"/>
      <c r="AG24" s="85"/>
      <c r="AH24" s="85"/>
      <c r="AI24" s="85"/>
      <c r="AJ24" s="43"/>
      <c r="AK24" s="43"/>
      <c r="AL24" s="222"/>
      <c r="AM24" s="43"/>
      <c r="AN24" s="91"/>
      <c r="AO24" s="91"/>
      <c r="AP24" s="43"/>
      <c r="AQ24" s="43"/>
      <c r="AR24" s="43"/>
      <c r="AS24" s="43"/>
      <c r="AT24" s="43"/>
      <c r="AU24" s="43"/>
      <c r="AV24" s="50"/>
      <c r="AW24" s="50"/>
      <c r="AX24" s="50"/>
      <c r="AY24" s="50"/>
      <c r="AZ24" s="50"/>
      <c r="BA24" s="50"/>
      <c r="BB24" s="26"/>
      <c r="BC24" s="26"/>
      <c r="BD24" s="48"/>
      <c r="BE24" s="48"/>
      <c r="BF24" s="48"/>
      <c r="BG24" s="48"/>
    </row>
    <row r="25" spans="1:78" s="276" customFormat="1" ht="23.25" customHeight="1" x14ac:dyDescent="0.2">
      <c r="A25" s="152">
        <v>1</v>
      </c>
      <c r="B25" s="797" t="s">
        <v>1967</v>
      </c>
      <c r="C25" s="798"/>
      <c r="D25" s="798"/>
      <c r="E25" s="798"/>
      <c r="F25" s="798"/>
      <c r="G25" s="798"/>
      <c r="H25" s="798"/>
      <c r="I25" s="798"/>
      <c r="J25" s="798"/>
      <c r="K25" s="798"/>
      <c r="L25" s="798"/>
      <c r="M25" s="798"/>
      <c r="N25" s="798"/>
      <c r="O25" s="798"/>
      <c r="P25" s="798"/>
      <c r="Q25" s="798"/>
      <c r="R25" s="798"/>
      <c r="S25" s="798"/>
      <c r="T25" s="798"/>
      <c r="U25" s="798"/>
      <c r="V25" s="798"/>
      <c r="W25" s="798"/>
      <c r="X25" s="798"/>
      <c r="Y25" s="798"/>
      <c r="Z25" s="799"/>
      <c r="AA25" s="271"/>
      <c r="AB25" s="271"/>
      <c r="AC25" s="271"/>
      <c r="AD25" s="271"/>
      <c r="AE25" s="271"/>
      <c r="AF25" s="271"/>
      <c r="AG25" s="271"/>
      <c r="AH25" s="271"/>
      <c r="AI25" s="271"/>
      <c r="AJ25" s="272"/>
      <c r="AK25" s="272"/>
      <c r="AL25" s="273"/>
      <c r="AM25" s="272"/>
      <c r="AN25" s="274"/>
      <c r="AO25" s="274"/>
      <c r="AP25" s="272"/>
      <c r="AQ25" s="272"/>
      <c r="AR25" s="272"/>
      <c r="AS25" s="272"/>
      <c r="AT25" s="272"/>
      <c r="AU25" s="272"/>
      <c r="AV25" s="271"/>
      <c r="AW25" s="271"/>
      <c r="AX25" s="271"/>
      <c r="AY25" s="271"/>
      <c r="AZ25" s="271"/>
      <c r="BA25" s="271"/>
      <c r="BB25" s="271"/>
      <c r="BC25" s="271"/>
      <c r="BD25" s="275"/>
      <c r="BE25" s="275"/>
      <c r="BF25" s="275"/>
      <c r="BG25" s="275"/>
    </row>
    <row r="26" spans="1:78" s="276" customFormat="1" ht="23.25" customHeight="1" x14ac:dyDescent="0.2">
      <c r="A26" s="153">
        <v>2</v>
      </c>
      <c r="B26" s="773" t="s">
        <v>1969</v>
      </c>
      <c r="C26" s="774"/>
      <c r="D26" s="774"/>
      <c r="E26" s="774"/>
      <c r="F26" s="774"/>
      <c r="G26" s="774"/>
      <c r="H26" s="774"/>
      <c r="I26" s="774"/>
      <c r="J26" s="774"/>
      <c r="K26" s="774"/>
      <c r="L26" s="774"/>
      <c r="M26" s="774"/>
      <c r="N26" s="774"/>
      <c r="O26" s="774"/>
      <c r="P26" s="774"/>
      <c r="Q26" s="774"/>
      <c r="R26" s="774"/>
      <c r="S26" s="774"/>
      <c r="T26" s="774"/>
      <c r="U26" s="774"/>
      <c r="V26" s="774"/>
      <c r="W26" s="774"/>
      <c r="X26" s="774"/>
      <c r="Y26" s="774"/>
      <c r="Z26" s="775"/>
      <c r="AA26" s="271"/>
      <c r="AB26" s="271"/>
      <c r="AC26" s="271"/>
      <c r="AD26" s="271"/>
      <c r="AE26" s="271"/>
      <c r="AF26" s="271"/>
      <c r="AG26" s="271"/>
      <c r="AH26" s="271"/>
      <c r="AI26" s="271"/>
      <c r="AJ26" s="272"/>
      <c r="AK26" s="272"/>
      <c r="AL26" s="273"/>
      <c r="AM26" s="272"/>
      <c r="AN26" s="274"/>
      <c r="AO26" s="274"/>
      <c r="AP26" s="272"/>
      <c r="AQ26" s="272"/>
      <c r="AR26" s="272"/>
      <c r="AS26" s="272"/>
      <c r="AT26" s="272"/>
      <c r="AU26" s="272"/>
      <c r="AV26" s="271"/>
      <c r="AW26" s="271"/>
      <c r="AX26" s="271"/>
      <c r="AY26" s="271"/>
      <c r="AZ26" s="271"/>
      <c r="BA26" s="271"/>
      <c r="BB26" s="271"/>
      <c r="BC26" s="271"/>
      <c r="BD26" s="275"/>
      <c r="BE26" s="275"/>
      <c r="BF26" s="275"/>
      <c r="BG26" s="275"/>
    </row>
    <row r="27" spans="1:78" s="276" customFormat="1" ht="23.25" customHeight="1" x14ac:dyDescent="0.2">
      <c r="A27" s="153">
        <v>3</v>
      </c>
      <c r="B27" s="797" t="s">
        <v>1970</v>
      </c>
      <c r="C27" s="798"/>
      <c r="D27" s="798"/>
      <c r="E27" s="798"/>
      <c r="F27" s="798"/>
      <c r="G27" s="798"/>
      <c r="H27" s="798"/>
      <c r="I27" s="798"/>
      <c r="J27" s="798"/>
      <c r="K27" s="798"/>
      <c r="L27" s="798"/>
      <c r="M27" s="798"/>
      <c r="N27" s="798"/>
      <c r="O27" s="798"/>
      <c r="P27" s="798"/>
      <c r="Q27" s="798"/>
      <c r="R27" s="798"/>
      <c r="S27" s="798"/>
      <c r="T27" s="798"/>
      <c r="U27" s="798"/>
      <c r="V27" s="798"/>
      <c r="W27" s="798"/>
      <c r="X27" s="798"/>
      <c r="Y27" s="798"/>
      <c r="Z27" s="799"/>
      <c r="AA27" s="271"/>
      <c r="AB27" s="271"/>
      <c r="AC27" s="271"/>
      <c r="AD27" s="271"/>
      <c r="AE27" s="271"/>
      <c r="AF27" s="271"/>
      <c r="AG27" s="271"/>
      <c r="AH27" s="271"/>
      <c r="AI27" s="271"/>
      <c r="AJ27" s="272"/>
      <c r="AK27" s="272"/>
      <c r="AL27" s="273"/>
      <c r="AM27" s="272"/>
      <c r="AN27" s="274"/>
      <c r="AO27" s="274"/>
      <c r="AP27" s="272"/>
      <c r="AQ27" s="272"/>
      <c r="AR27" s="272"/>
      <c r="AS27" s="272"/>
      <c r="AT27" s="272"/>
      <c r="AU27" s="272"/>
      <c r="AV27" s="271"/>
      <c r="AW27" s="271"/>
      <c r="AX27" s="271"/>
      <c r="AY27" s="271"/>
      <c r="AZ27" s="271"/>
      <c r="BA27" s="271"/>
      <c r="BB27" s="271"/>
      <c r="BC27" s="271"/>
      <c r="BD27" s="275"/>
      <c r="BE27" s="275"/>
      <c r="BF27" s="275"/>
      <c r="BG27" s="275"/>
    </row>
    <row r="28" spans="1:78" s="29" customFormat="1" ht="23.25" customHeight="1" x14ac:dyDescent="0.2">
      <c r="A28" s="153">
        <v>4</v>
      </c>
      <c r="B28" s="797" t="s">
        <v>1968</v>
      </c>
      <c r="C28" s="798"/>
      <c r="D28" s="798"/>
      <c r="E28" s="798"/>
      <c r="F28" s="798"/>
      <c r="G28" s="798"/>
      <c r="H28" s="798"/>
      <c r="I28" s="798"/>
      <c r="J28" s="798"/>
      <c r="K28" s="798"/>
      <c r="L28" s="798"/>
      <c r="M28" s="798"/>
      <c r="N28" s="798"/>
      <c r="O28" s="798"/>
      <c r="P28" s="798"/>
      <c r="Q28" s="798"/>
      <c r="R28" s="798"/>
      <c r="S28" s="798"/>
      <c r="T28" s="798"/>
      <c r="U28" s="798"/>
      <c r="V28" s="798"/>
      <c r="W28" s="798"/>
      <c r="X28" s="798"/>
      <c r="Y28" s="798"/>
      <c r="Z28" s="799"/>
      <c r="AA28" s="85"/>
      <c r="AB28" s="85"/>
      <c r="AC28" s="85"/>
      <c r="AD28" s="85"/>
      <c r="AE28" s="85"/>
      <c r="AF28" s="85"/>
      <c r="AG28" s="85"/>
      <c r="AH28" s="85"/>
      <c r="AI28" s="85"/>
      <c r="AJ28" s="44"/>
      <c r="AK28" s="44"/>
      <c r="AL28" s="224"/>
      <c r="AM28" s="44"/>
      <c r="AN28" s="179"/>
      <c r="AO28" s="179"/>
      <c r="AP28" s="44"/>
      <c r="AQ28" s="44"/>
      <c r="AR28" s="44"/>
      <c r="AS28" s="44"/>
      <c r="AT28" s="44"/>
      <c r="AU28" s="44"/>
      <c r="AV28" s="50"/>
      <c r="AW28" s="50"/>
      <c r="AX28" s="50"/>
      <c r="AY28" s="50"/>
      <c r="AZ28" s="50"/>
      <c r="BA28" s="50"/>
      <c r="BB28" s="26"/>
      <c r="BC28" s="26"/>
      <c r="BD28" s="49"/>
      <c r="BE28" s="49"/>
      <c r="BF28" s="49"/>
      <c r="BG28" s="49"/>
    </row>
    <row r="29" spans="1:78" s="29" customFormat="1" ht="18.75" customHeight="1" x14ac:dyDescent="0.2">
      <c r="A29" s="153">
        <v>5</v>
      </c>
      <c r="B29" s="362"/>
      <c r="C29" s="363"/>
      <c r="D29" s="363"/>
      <c r="E29" s="363"/>
      <c r="F29" s="363"/>
      <c r="G29" s="363"/>
      <c r="H29" s="363"/>
      <c r="I29" s="363"/>
      <c r="J29" s="363"/>
      <c r="K29" s="363"/>
      <c r="L29" s="363"/>
      <c r="M29" s="363"/>
      <c r="N29" s="363"/>
      <c r="O29" s="363"/>
      <c r="P29" s="363"/>
      <c r="Q29" s="363"/>
      <c r="R29" s="363"/>
      <c r="S29" s="363"/>
      <c r="T29" s="363"/>
      <c r="U29" s="363"/>
      <c r="V29" s="363"/>
      <c r="W29" s="363"/>
      <c r="X29" s="363"/>
      <c r="Y29" s="363"/>
      <c r="Z29" s="364"/>
      <c r="AA29" s="85"/>
      <c r="AB29" s="85"/>
      <c r="AC29" s="85"/>
      <c r="AD29" s="85"/>
      <c r="AE29" s="85"/>
      <c r="AF29" s="85"/>
      <c r="AG29" s="85"/>
      <c r="AH29" s="85"/>
      <c r="AI29" s="85"/>
      <c r="AJ29" s="44"/>
      <c r="AK29" s="44"/>
      <c r="AL29" s="224"/>
      <c r="AM29" s="44"/>
      <c r="AN29" s="179"/>
      <c r="AO29" s="179"/>
      <c r="AP29" s="44"/>
      <c r="AQ29" s="44"/>
      <c r="AR29" s="44"/>
      <c r="AS29" s="44"/>
      <c r="AT29" s="44"/>
      <c r="AU29" s="44"/>
      <c r="AV29" s="50"/>
      <c r="AW29" s="50"/>
      <c r="AX29" s="50"/>
      <c r="AY29" s="50"/>
      <c r="AZ29" s="50"/>
      <c r="BA29" s="50"/>
      <c r="BB29" s="26"/>
      <c r="BC29" s="26"/>
      <c r="BD29" s="49"/>
      <c r="BE29" s="49"/>
      <c r="BF29" s="49"/>
      <c r="BG29" s="49"/>
    </row>
    <row r="30" spans="1:78" s="29" customFormat="1" ht="18.75" customHeight="1" x14ac:dyDescent="0.2">
      <c r="A30" s="154">
        <v>6</v>
      </c>
      <c r="B30" s="365"/>
      <c r="C30" s="366"/>
      <c r="D30" s="366"/>
      <c r="E30" s="366"/>
      <c r="F30" s="366"/>
      <c r="G30" s="366"/>
      <c r="H30" s="366"/>
      <c r="I30" s="366"/>
      <c r="J30" s="366"/>
      <c r="K30" s="366"/>
      <c r="L30" s="366"/>
      <c r="M30" s="366"/>
      <c r="N30" s="366"/>
      <c r="O30" s="366"/>
      <c r="P30" s="366"/>
      <c r="Q30" s="366"/>
      <c r="R30" s="366"/>
      <c r="S30" s="366"/>
      <c r="T30" s="366"/>
      <c r="U30" s="366"/>
      <c r="V30" s="366"/>
      <c r="W30" s="366"/>
      <c r="X30" s="366"/>
      <c r="Y30" s="366"/>
      <c r="Z30" s="367"/>
      <c r="AA30" s="85"/>
      <c r="AB30" s="85"/>
      <c r="AC30" s="85"/>
      <c r="AD30" s="85"/>
      <c r="AE30" s="85"/>
      <c r="AF30" s="85"/>
      <c r="AG30" s="85"/>
      <c r="AH30" s="85"/>
      <c r="AI30" s="85"/>
      <c r="AJ30" s="44"/>
      <c r="AK30" s="44"/>
      <c r="AL30" s="224"/>
      <c r="AM30" s="44"/>
      <c r="AN30" s="179"/>
      <c r="AO30" s="179"/>
      <c r="AP30" s="44"/>
      <c r="AQ30" s="44"/>
      <c r="AR30" s="44"/>
      <c r="AS30" s="44"/>
      <c r="AT30" s="44"/>
      <c r="AU30" s="44"/>
      <c r="AV30" s="50"/>
      <c r="AW30" s="50"/>
      <c r="AX30" s="50"/>
      <c r="AY30" s="50"/>
      <c r="AZ30" s="50"/>
      <c r="BA30" s="50"/>
      <c r="BB30" s="26"/>
      <c r="BC30" s="26"/>
      <c r="BD30" s="49"/>
      <c r="BE30" s="49"/>
      <c r="BF30" s="49"/>
      <c r="BG30" s="49"/>
    </row>
    <row r="31" spans="1:78" ht="10.15" customHeight="1" x14ac:dyDescent="0.2">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83"/>
      <c r="AC31" s="83"/>
      <c r="AD31" s="81"/>
      <c r="AE31" s="81"/>
      <c r="AF31" s="81"/>
      <c r="AG31" s="81"/>
      <c r="AH31" s="81"/>
      <c r="AI31" s="81"/>
      <c r="AJ31" s="50"/>
      <c r="AK31" s="50"/>
      <c r="AL31" s="222"/>
      <c r="AM31" s="50"/>
      <c r="AN31" s="85"/>
      <c r="AO31" s="85"/>
      <c r="AP31" s="50"/>
      <c r="AQ31" s="50"/>
      <c r="AR31" s="50"/>
      <c r="AS31" s="50"/>
      <c r="AT31" s="50"/>
      <c r="AU31" s="50"/>
      <c r="AV31" s="50"/>
      <c r="AW31" s="50"/>
      <c r="AX31" s="50"/>
      <c r="AY31" s="50"/>
      <c r="AZ31" s="50"/>
      <c r="BA31" s="50"/>
      <c r="BB31" s="26"/>
      <c r="BC31" s="26"/>
      <c r="BD31" s="26"/>
      <c r="BE31" s="26"/>
      <c r="BF31" s="26"/>
      <c r="BG31" s="26"/>
      <c r="BH31" s="26"/>
      <c r="BI31" s="26"/>
      <c r="BJ31" s="26"/>
      <c r="BK31" s="26"/>
      <c r="BL31" s="26"/>
      <c r="BM31" s="26"/>
      <c r="BN31" s="26"/>
      <c r="BO31" s="26"/>
      <c r="BP31" s="26"/>
      <c r="BQ31" s="26"/>
      <c r="BR31" s="26"/>
      <c r="BS31" s="26"/>
      <c r="BT31" s="26"/>
      <c r="BU31" s="26"/>
      <c r="BV31" s="26"/>
      <c r="BW31" s="28"/>
      <c r="BX31" s="28"/>
      <c r="BY31" s="28"/>
      <c r="BZ31" s="28"/>
    </row>
    <row r="32" spans="1:78" s="5" customFormat="1" ht="21" customHeight="1" x14ac:dyDescent="0.2">
      <c r="A32" s="402" t="str">
        <f ca="1">Translations!$A$43</f>
        <v xml:space="preserve">Linked to objective(s) # </v>
      </c>
      <c r="B32" s="354" t="str">
        <f ca="1">Translations!A44</f>
        <v>Outcome indicator</v>
      </c>
      <c r="C32" s="355"/>
      <c r="D32" s="355"/>
      <c r="E32" s="355"/>
      <c r="F32" s="355"/>
      <c r="G32" s="355"/>
      <c r="H32" s="386"/>
      <c r="I32" s="374" t="str">
        <f ca="1">Translations!$A$29</f>
        <v>Baseline</v>
      </c>
      <c r="J32" s="375"/>
      <c r="K32" s="375"/>
      <c r="L32" s="375"/>
      <c r="M32" s="375"/>
      <c r="N32" s="376"/>
      <c r="O32" s="374" t="str">
        <f ca="1">Translations!$A$30</f>
        <v>Targets</v>
      </c>
      <c r="P32" s="375"/>
      <c r="Q32" s="375"/>
      <c r="R32" s="375"/>
      <c r="S32" s="375"/>
      <c r="T32" s="376"/>
      <c r="U32" s="377" t="str">
        <f ca="1">Translations!$A$73</f>
        <v>Comments and Assumptions</v>
      </c>
      <c r="V32" s="378"/>
      <c r="W32" s="378"/>
      <c r="X32" s="378"/>
      <c r="Y32" s="378"/>
      <c r="Z32" s="379"/>
      <c r="AA32" s="134"/>
      <c r="AB32" s="135"/>
      <c r="AC32" s="135"/>
      <c r="AD32" s="135"/>
      <c r="AE32" s="135"/>
      <c r="AF32" s="135"/>
      <c r="AG32" s="135"/>
      <c r="AH32" s="135"/>
      <c r="AI32" s="135"/>
      <c r="AJ32" s="683"/>
      <c r="AK32" s="683"/>
      <c r="AL32" s="683"/>
      <c r="AM32" s="683"/>
      <c r="AN32" s="683"/>
      <c r="AO32" s="683"/>
      <c r="AP32" s="683"/>
      <c r="AQ32" s="683"/>
      <c r="AR32" s="683"/>
      <c r="AS32" s="683"/>
      <c r="AT32" s="683"/>
      <c r="AU32" s="683"/>
      <c r="AV32" s="683"/>
      <c r="AW32" s="683"/>
      <c r="AX32" s="683"/>
      <c r="AY32" s="683"/>
      <c r="AZ32" s="683"/>
      <c r="BA32" s="683"/>
      <c r="BB32" s="683"/>
      <c r="BC32" s="683"/>
      <c r="BD32" s="683"/>
      <c r="BE32" s="683"/>
      <c r="BF32" s="683"/>
      <c r="BG32" s="683"/>
      <c r="BH32" s="683"/>
      <c r="BI32" s="683"/>
      <c r="BJ32" s="683"/>
      <c r="BK32" s="26"/>
      <c r="BL32" s="26"/>
      <c r="BM32" s="26"/>
      <c r="BN32" s="48"/>
      <c r="BO32" s="48"/>
      <c r="BP32" s="48"/>
      <c r="BQ32" s="48"/>
    </row>
    <row r="33" spans="1:78" s="5" customFormat="1" ht="21" customHeight="1" x14ac:dyDescent="0.2">
      <c r="A33" s="403"/>
      <c r="B33" s="357"/>
      <c r="C33" s="358"/>
      <c r="D33" s="358"/>
      <c r="E33" s="358"/>
      <c r="F33" s="358"/>
      <c r="G33" s="358"/>
      <c r="H33" s="405"/>
      <c r="I33" s="354" t="str">
        <f ca="1">Translations!$A$31</f>
        <v>Value</v>
      </c>
      <c r="J33" s="386"/>
      <c r="K33" s="389" t="str">
        <f ca="1">Translations!$A$32</f>
        <v xml:space="preserve">Year </v>
      </c>
      <c r="L33" s="354" t="str">
        <f ca="1">Translations!$A$33</f>
        <v>Source</v>
      </c>
      <c r="M33" s="355"/>
      <c r="N33" s="386"/>
      <c r="O33" s="374" t="str">
        <f ca="1">Translations!$A$34</f>
        <v>Year 1</v>
      </c>
      <c r="P33" s="376"/>
      <c r="Q33" s="374" t="str">
        <f ca="1">Translations!$A$35</f>
        <v>Year 2</v>
      </c>
      <c r="R33" s="376"/>
      <c r="S33" s="374" t="str">
        <f ca="1">Translations!$A$36</f>
        <v>Year 3</v>
      </c>
      <c r="T33" s="376"/>
      <c r="U33" s="380"/>
      <c r="V33" s="381"/>
      <c r="W33" s="381"/>
      <c r="X33" s="381"/>
      <c r="Y33" s="381"/>
      <c r="Z33" s="382"/>
      <c r="AA33" s="134"/>
      <c r="AB33" s="135"/>
      <c r="AC33" s="135"/>
      <c r="AD33" s="135"/>
      <c r="AE33" s="135"/>
      <c r="AF33" s="135"/>
      <c r="AG33" s="135"/>
      <c r="AH33" s="135"/>
      <c r="AI33" s="135"/>
      <c r="AJ33" s="683"/>
      <c r="AK33" s="683"/>
      <c r="AL33" s="683"/>
      <c r="AM33" s="683"/>
      <c r="AN33" s="683"/>
      <c r="AO33" s="683"/>
      <c r="AP33" s="683"/>
      <c r="AQ33" s="683"/>
      <c r="AR33" s="683"/>
      <c r="AS33" s="683"/>
      <c r="AT33" s="683"/>
      <c r="AU33" s="683"/>
      <c r="AV33" s="683"/>
      <c r="AW33" s="683"/>
      <c r="AX33" s="683"/>
      <c r="AY33" s="683"/>
      <c r="AZ33" s="683"/>
      <c r="BA33" s="683"/>
      <c r="BB33" s="683"/>
      <c r="BC33" s="683"/>
      <c r="BD33" s="683"/>
      <c r="BE33" s="683"/>
      <c r="BF33" s="683"/>
      <c r="BG33" s="683"/>
      <c r="BH33" s="683"/>
      <c r="BI33" s="683"/>
      <c r="BJ33" s="683"/>
      <c r="BK33" s="26"/>
      <c r="BL33" s="26"/>
      <c r="BM33" s="26"/>
      <c r="BN33" s="48"/>
      <c r="BO33" s="48"/>
      <c r="BP33" s="48"/>
      <c r="BQ33" s="48"/>
    </row>
    <row r="34" spans="1:78" s="5" customFormat="1" ht="21" customHeight="1" x14ac:dyDescent="0.2">
      <c r="A34" s="404"/>
      <c r="B34" s="387"/>
      <c r="C34" s="391"/>
      <c r="D34" s="391"/>
      <c r="E34" s="391"/>
      <c r="F34" s="391"/>
      <c r="G34" s="391"/>
      <c r="H34" s="388"/>
      <c r="I34" s="387"/>
      <c r="J34" s="388"/>
      <c r="K34" s="390"/>
      <c r="L34" s="387"/>
      <c r="M34" s="391"/>
      <c r="N34" s="388"/>
      <c r="O34" s="392">
        <f ca="1">O16</f>
        <v>2014</v>
      </c>
      <c r="P34" s="393"/>
      <c r="Q34" s="392">
        <f ca="1">Q16</f>
        <v>2015</v>
      </c>
      <c r="R34" s="393"/>
      <c r="S34" s="392">
        <f ca="1">S16</f>
        <v>2016</v>
      </c>
      <c r="T34" s="393"/>
      <c r="U34" s="383"/>
      <c r="V34" s="384"/>
      <c r="W34" s="384"/>
      <c r="X34" s="384"/>
      <c r="Y34" s="384"/>
      <c r="Z34" s="385"/>
      <c r="AA34" s="134"/>
      <c r="AB34" s="135"/>
      <c r="AC34" s="135"/>
      <c r="AD34" s="135"/>
      <c r="AE34" s="135"/>
      <c r="AF34" s="135"/>
      <c r="AG34" s="135"/>
      <c r="AH34" s="135"/>
      <c r="AI34" s="135"/>
      <c r="AJ34" s="683"/>
      <c r="AK34" s="683"/>
      <c r="AL34" s="683"/>
      <c r="AM34" s="683"/>
      <c r="AN34" s="683"/>
      <c r="AO34" s="683"/>
      <c r="AP34" s="683"/>
      <c r="AQ34" s="683"/>
      <c r="AR34" s="683"/>
      <c r="AS34" s="683"/>
      <c r="AT34" s="683"/>
      <c r="AU34" s="683"/>
      <c r="AV34" s="683"/>
      <c r="AW34" s="683"/>
      <c r="AX34" s="683"/>
      <c r="AY34" s="683"/>
      <c r="AZ34" s="683"/>
      <c r="BA34" s="683"/>
      <c r="BB34" s="683"/>
      <c r="BC34" s="683"/>
      <c r="BD34" s="683"/>
      <c r="BE34" s="683"/>
      <c r="BF34" s="683"/>
      <c r="BG34" s="683"/>
      <c r="BH34" s="683"/>
      <c r="BI34" s="683"/>
      <c r="BJ34" s="683"/>
      <c r="BK34" s="26"/>
      <c r="BL34" s="26"/>
      <c r="BM34" s="26"/>
      <c r="BN34" s="48"/>
      <c r="BO34" s="48"/>
      <c r="BP34" s="48"/>
      <c r="BQ34" s="48"/>
    </row>
    <row r="35" spans="1:78" s="28" customFormat="1" ht="81" customHeight="1" x14ac:dyDescent="0.2">
      <c r="A35" s="11">
        <v>1</v>
      </c>
      <c r="B35" s="713" t="s">
        <v>1835</v>
      </c>
      <c r="C35" s="714"/>
      <c r="D35" s="714"/>
      <c r="E35" s="714"/>
      <c r="F35" s="714"/>
      <c r="G35" s="714"/>
      <c r="H35" s="715"/>
      <c r="I35" s="716" t="s">
        <v>1940</v>
      </c>
      <c r="J35" s="395"/>
      <c r="K35" s="87">
        <v>2012</v>
      </c>
      <c r="L35" s="701" t="s">
        <v>52</v>
      </c>
      <c r="M35" s="702"/>
      <c r="N35" s="703"/>
      <c r="O35" s="716">
        <v>97</v>
      </c>
      <c r="P35" s="395"/>
      <c r="Q35" s="716">
        <v>98</v>
      </c>
      <c r="R35" s="395"/>
      <c r="S35" s="716">
        <v>99</v>
      </c>
      <c r="T35" s="396"/>
      <c r="U35" s="710" t="s">
        <v>1971</v>
      </c>
      <c r="V35" s="711"/>
      <c r="W35" s="711"/>
      <c r="X35" s="711"/>
      <c r="Y35" s="711"/>
      <c r="Z35" s="712"/>
      <c r="AA35" s="137"/>
      <c r="AB35" s="138"/>
      <c r="AC35" s="138"/>
      <c r="AD35" s="138"/>
      <c r="AE35" s="138"/>
      <c r="AF35" s="138"/>
      <c r="AG35" s="138"/>
      <c r="AH35" s="138"/>
      <c r="AI35" s="138"/>
      <c r="AJ35" s="689"/>
      <c r="AK35" s="689"/>
      <c r="AL35" s="689"/>
      <c r="AM35" s="689"/>
      <c r="AN35" s="689"/>
      <c r="AO35" s="689"/>
      <c r="AP35" s="689"/>
      <c r="AQ35" s="689"/>
      <c r="AR35" s="689"/>
      <c r="AS35" s="689"/>
      <c r="AT35" s="689"/>
      <c r="AU35" s="689"/>
      <c r="AV35" s="689"/>
      <c r="AW35" s="689"/>
      <c r="AX35" s="689"/>
      <c r="AY35" s="689"/>
      <c r="AZ35" s="689"/>
      <c r="BA35" s="689"/>
      <c r="BB35" s="689"/>
      <c r="BC35" s="689"/>
      <c r="BD35" s="689"/>
      <c r="BE35" s="689"/>
      <c r="BF35" s="689"/>
      <c r="BG35" s="689"/>
      <c r="BH35" s="689"/>
      <c r="BI35" s="689"/>
      <c r="BJ35" s="689"/>
      <c r="BK35" s="26"/>
      <c r="BL35" s="26"/>
      <c r="BM35" s="26"/>
    </row>
    <row r="36" spans="1:78" s="86" customFormat="1" ht="158.25" customHeight="1" x14ac:dyDescent="0.2">
      <c r="A36" s="79">
        <v>2</v>
      </c>
      <c r="B36" s="698" t="s">
        <v>1836</v>
      </c>
      <c r="C36" s="699"/>
      <c r="D36" s="699"/>
      <c r="E36" s="699"/>
      <c r="F36" s="699"/>
      <c r="G36" s="699"/>
      <c r="H36" s="700"/>
      <c r="I36" s="690" t="s">
        <v>1941</v>
      </c>
      <c r="J36" s="409"/>
      <c r="K36" s="88">
        <v>2012</v>
      </c>
      <c r="L36" s="695" t="s">
        <v>52</v>
      </c>
      <c r="M36" s="696"/>
      <c r="N36" s="697"/>
      <c r="O36" s="717">
        <v>217</v>
      </c>
      <c r="P36" s="718"/>
      <c r="Q36" s="408">
        <v>218</v>
      </c>
      <c r="R36" s="409"/>
      <c r="S36" s="408">
        <v>221</v>
      </c>
      <c r="T36" s="413"/>
      <c r="U36" s="710" t="s">
        <v>2016</v>
      </c>
      <c r="V36" s="711"/>
      <c r="W36" s="711"/>
      <c r="X36" s="711"/>
      <c r="Y36" s="711"/>
      <c r="Z36" s="712"/>
      <c r="AA36" s="137"/>
      <c r="AB36" s="237"/>
      <c r="AC36" s="237"/>
      <c r="AD36" s="237"/>
      <c r="AE36" s="237"/>
      <c r="AF36" s="237"/>
      <c r="AG36" s="237"/>
      <c r="AH36" s="237"/>
      <c r="AI36" s="237"/>
      <c r="AJ36" s="689"/>
      <c r="AK36" s="689"/>
      <c r="AL36" s="689"/>
      <c r="AM36" s="689"/>
      <c r="AN36" s="689"/>
      <c r="AO36" s="689"/>
      <c r="AP36" s="689"/>
      <c r="AQ36" s="689"/>
      <c r="AR36" s="689"/>
      <c r="AS36" s="689"/>
      <c r="AT36" s="689"/>
      <c r="AU36" s="689"/>
      <c r="AV36" s="689"/>
      <c r="AW36" s="689"/>
      <c r="AX36" s="689"/>
      <c r="AY36" s="689"/>
      <c r="AZ36" s="689"/>
      <c r="BA36" s="689"/>
      <c r="BB36" s="689"/>
      <c r="BC36" s="689"/>
      <c r="BD36" s="689"/>
      <c r="BE36" s="689"/>
      <c r="BF36" s="689"/>
      <c r="BG36" s="689"/>
      <c r="BH36" s="689"/>
      <c r="BI36" s="689"/>
      <c r="BJ36" s="689"/>
      <c r="BK36" s="85"/>
      <c r="BL36" s="85"/>
      <c r="BM36" s="85"/>
    </row>
    <row r="37" spans="1:78" s="28" customFormat="1" ht="40.15" customHeight="1" x14ac:dyDescent="0.2">
      <c r="A37" s="16">
        <v>3</v>
      </c>
      <c r="B37" s="698" t="s">
        <v>1837</v>
      </c>
      <c r="C37" s="699"/>
      <c r="D37" s="699"/>
      <c r="E37" s="699"/>
      <c r="F37" s="699"/>
      <c r="G37" s="699"/>
      <c r="H37" s="700"/>
      <c r="I37" s="694">
        <v>0.9</v>
      </c>
      <c r="J37" s="409"/>
      <c r="K37" s="88">
        <v>2012</v>
      </c>
      <c r="L37" s="695" t="s">
        <v>52</v>
      </c>
      <c r="M37" s="696"/>
      <c r="N37" s="697"/>
      <c r="O37" s="690" t="s">
        <v>2040</v>
      </c>
      <c r="P37" s="409"/>
      <c r="Q37" s="690" t="s">
        <v>2040</v>
      </c>
      <c r="R37" s="409"/>
      <c r="S37" s="690" t="s">
        <v>2040</v>
      </c>
      <c r="T37" s="409"/>
      <c r="U37" s="710" t="s">
        <v>1972</v>
      </c>
      <c r="V37" s="711"/>
      <c r="W37" s="711"/>
      <c r="X37" s="711"/>
      <c r="Y37" s="711"/>
      <c r="Z37" s="712"/>
      <c r="AA37" s="137"/>
      <c r="AB37" s="138"/>
      <c r="AC37" s="138"/>
      <c r="AD37" s="138"/>
      <c r="AE37" s="138"/>
      <c r="AF37" s="138"/>
      <c r="AG37" s="138"/>
      <c r="AH37" s="138"/>
      <c r="AI37" s="138"/>
      <c r="AJ37" s="689"/>
      <c r="AK37" s="689"/>
      <c r="AL37" s="689"/>
      <c r="AM37" s="689"/>
      <c r="AN37" s="689"/>
      <c r="AO37" s="689"/>
      <c r="AP37" s="689"/>
      <c r="AQ37" s="689"/>
      <c r="AR37" s="689"/>
      <c r="AS37" s="689"/>
      <c r="AT37" s="689"/>
      <c r="AU37" s="689"/>
      <c r="AV37" s="689"/>
      <c r="AW37" s="689"/>
      <c r="AX37" s="689"/>
      <c r="AY37" s="689"/>
      <c r="AZ37" s="689"/>
      <c r="BA37" s="689"/>
      <c r="BB37" s="689"/>
      <c r="BC37" s="689"/>
      <c r="BD37" s="689"/>
      <c r="BE37" s="689"/>
      <c r="BF37" s="689"/>
      <c r="BG37" s="689"/>
      <c r="BH37" s="689"/>
      <c r="BI37" s="689"/>
      <c r="BJ37" s="689"/>
      <c r="BK37" s="26"/>
      <c r="BL37" s="26"/>
      <c r="BM37" s="26"/>
    </row>
    <row r="38" spans="1:78" s="28" customFormat="1" ht="40.15" customHeight="1" x14ac:dyDescent="0.2">
      <c r="A38" s="17">
        <v>4</v>
      </c>
      <c r="B38" s="698" t="s">
        <v>1838</v>
      </c>
      <c r="C38" s="699"/>
      <c r="D38" s="699"/>
      <c r="E38" s="699"/>
      <c r="F38" s="699"/>
      <c r="G38" s="699"/>
      <c r="H38" s="700"/>
      <c r="I38" s="694">
        <v>0.91</v>
      </c>
      <c r="J38" s="409"/>
      <c r="K38" s="88">
        <v>2012</v>
      </c>
      <c r="L38" s="695" t="s">
        <v>52</v>
      </c>
      <c r="M38" s="696"/>
      <c r="N38" s="697"/>
      <c r="O38" s="690" t="str">
        <f>O37</f>
        <v>≥90%</v>
      </c>
      <c r="P38" s="409"/>
      <c r="Q38" s="690" t="str">
        <f>Q37</f>
        <v>≥90%</v>
      </c>
      <c r="R38" s="409"/>
      <c r="S38" s="690" t="str">
        <f>S37</f>
        <v>≥90%</v>
      </c>
      <c r="T38" s="409"/>
      <c r="U38" s="704"/>
      <c r="V38" s="705"/>
      <c r="W38" s="705"/>
      <c r="X38" s="705"/>
      <c r="Y38" s="705"/>
      <c r="Z38" s="706"/>
      <c r="AA38" s="137"/>
      <c r="AB38" s="138"/>
      <c r="AC38" s="138"/>
      <c r="AD38" s="138"/>
      <c r="AE38" s="138"/>
      <c r="AF38" s="138"/>
      <c r="AG38" s="138"/>
      <c r="AH38" s="138"/>
      <c r="AI38" s="138"/>
      <c r="AJ38" s="689"/>
      <c r="AK38" s="689"/>
      <c r="AL38" s="689"/>
      <c r="AM38" s="689"/>
      <c r="AN38" s="689"/>
      <c r="AO38" s="689"/>
      <c r="AP38" s="689"/>
      <c r="AQ38" s="689"/>
      <c r="AR38" s="689"/>
      <c r="AS38" s="689"/>
      <c r="AT38" s="689"/>
      <c r="AU38" s="689"/>
      <c r="AV38" s="689"/>
      <c r="AW38" s="689"/>
      <c r="AX38" s="689"/>
      <c r="AY38" s="689"/>
      <c r="AZ38" s="689"/>
      <c r="BA38" s="689"/>
      <c r="BB38" s="689"/>
      <c r="BC38" s="689"/>
      <c r="BD38" s="689"/>
      <c r="BE38" s="689"/>
      <c r="BF38" s="689"/>
      <c r="BG38" s="689"/>
      <c r="BH38" s="689"/>
      <c r="BI38" s="689"/>
      <c r="BJ38" s="689"/>
      <c r="BK38" s="26"/>
      <c r="BL38" s="26"/>
      <c r="BM38" s="26"/>
    </row>
    <row r="39" spans="1:78" s="28" customFormat="1" ht="48" customHeight="1" x14ac:dyDescent="0.2">
      <c r="A39" s="17">
        <v>5</v>
      </c>
      <c r="B39" s="698" t="s">
        <v>1839</v>
      </c>
      <c r="C39" s="699"/>
      <c r="D39" s="699"/>
      <c r="E39" s="699"/>
      <c r="F39" s="699"/>
      <c r="G39" s="699"/>
      <c r="H39" s="700"/>
      <c r="I39" s="394" t="s">
        <v>2053</v>
      </c>
      <c r="J39" s="395"/>
      <c r="K39" s="87">
        <v>2012</v>
      </c>
      <c r="L39" s="701" t="s">
        <v>49</v>
      </c>
      <c r="M39" s="702"/>
      <c r="N39" s="703"/>
      <c r="O39" s="394" t="s">
        <v>2054</v>
      </c>
      <c r="P39" s="395"/>
      <c r="Q39" s="394" t="s">
        <v>2055</v>
      </c>
      <c r="R39" s="395"/>
      <c r="S39" s="394" t="s">
        <v>2056</v>
      </c>
      <c r="T39" s="396"/>
      <c r="U39" s="710" t="s">
        <v>2041</v>
      </c>
      <c r="V39" s="711"/>
      <c r="W39" s="711"/>
      <c r="X39" s="711"/>
      <c r="Y39" s="711"/>
      <c r="Z39" s="712"/>
      <c r="AA39" s="137"/>
      <c r="AB39" s="138"/>
      <c r="AC39" s="138"/>
      <c r="AD39" s="138"/>
      <c r="AE39" s="138"/>
      <c r="AF39" s="138"/>
      <c r="AG39" s="138"/>
      <c r="AH39" s="138"/>
      <c r="AI39" s="138"/>
      <c r="AJ39" s="689"/>
      <c r="AK39" s="689"/>
      <c r="AL39" s="689"/>
      <c r="AM39" s="689"/>
      <c r="AN39" s="689"/>
      <c r="AO39" s="689"/>
      <c r="AP39" s="689"/>
      <c r="AQ39" s="689"/>
      <c r="AR39" s="689"/>
      <c r="AS39" s="689"/>
      <c r="AT39" s="689"/>
      <c r="AU39" s="689"/>
      <c r="AV39" s="689"/>
      <c r="AW39" s="689"/>
      <c r="AX39" s="689"/>
      <c r="AY39" s="689"/>
      <c r="AZ39" s="689"/>
      <c r="BA39" s="689"/>
      <c r="BB39" s="689"/>
      <c r="BC39" s="689"/>
      <c r="BD39" s="689"/>
      <c r="BE39" s="689"/>
      <c r="BF39" s="689"/>
      <c r="BG39" s="689"/>
      <c r="BH39" s="689"/>
      <c r="BI39" s="689"/>
      <c r="BJ39" s="689"/>
      <c r="BK39" s="26"/>
      <c r="BL39" s="26"/>
      <c r="BM39" s="26"/>
    </row>
    <row r="40" spans="1:78" s="28" customFormat="1" ht="53.25" customHeight="1" x14ac:dyDescent="0.2">
      <c r="A40" s="25">
        <v>6</v>
      </c>
      <c r="B40" s="691" t="s">
        <v>1840</v>
      </c>
      <c r="C40" s="692"/>
      <c r="D40" s="692"/>
      <c r="E40" s="692"/>
      <c r="F40" s="692"/>
      <c r="G40" s="692"/>
      <c r="H40" s="693"/>
      <c r="I40" s="694">
        <v>0.56000000000000005</v>
      </c>
      <c r="J40" s="409"/>
      <c r="K40" s="88">
        <v>2009</v>
      </c>
      <c r="L40" s="695" t="s">
        <v>51</v>
      </c>
      <c r="M40" s="696"/>
      <c r="N40" s="697"/>
      <c r="O40" s="694">
        <v>0.6</v>
      </c>
      <c r="P40" s="409"/>
      <c r="Q40" s="694">
        <v>0.68</v>
      </c>
      <c r="R40" s="409"/>
      <c r="S40" s="694">
        <v>0.75</v>
      </c>
      <c r="T40" s="413"/>
      <c r="U40" s="707" t="s">
        <v>2058</v>
      </c>
      <c r="V40" s="708"/>
      <c r="W40" s="708"/>
      <c r="X40" s="708"/>
      <c r="Y40" s="708"/>
      <c r="Z40" s="709"/>
      <c r="AA40" s="137"/>
      <c r="AB40" s="138"/>
      <c r="AC40" s="138"/>
      <c r="AD40" s="138"/>
      <c r="AE40" s="138"/>
      <c r="AF40" s="138"/>
      <c r="AG40" s="138"/>
      <c r="AH40" s="138"/>
      <c r="AI40" s="138"/>
      <c r="AJ40" s="689"/>
      <c r="AK40" s="689"/>
      <c r="AL40" s="689"/>
      <c r="AM40" s="689"/>
      <c r="AN40" s="689"/>
      <c r="AO40" s="689"/>
      <c r="AP40" s="689"/>
      <c r="AQ40" s="689"/>
      <c r="AR40" s="689"/>
      <c r="AS40" s="689"/>
      <c r="AT40" s="689"/>
      <c r="AU40" s="689"/>
      <c r="AV40" s="689"/>
      <c r="AW40" s="689"/>
      <c r="AX40" s="689"/>
      <c r="AY40" s="689"/>
      <c r="AZ40" s="689"/>
      <c r="BA40" s="689"/>
      <c r="BB40" s="689"/>
      <c r="BC40" s="689"/>
      <c r="BD40" s="689"/>
      <c r="BE40" s="689"/>
      <c r="BF40" s="689"/>
      <c r="BG40" s="689"/>
      <c r="BH40" s="689"/>
      <c r="BI40" s="689"/>
      <c r="BJ40" s="689"/>
      <c r="BK40" s="26"/>
      <c r="BL40" s="26"/>
      <c r="BM40" s="26"/>
    </row>
    <row r="41" spans="1:78" ht="18.75" customHeight="1" x14ac:dyDescent="0.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82"/>
      <c r="AB41" s="82"/>
      <c r="AC41" s="82"/>
      <c r="AD41" s="82"/>
      <c r="AE41" s="81"/>
      <c r="AF41" s="81"/>
      <c r="AG41" s="81"/>
      <c r="AH41" s="81"/>
      <c r="AI41" s="81"/>
      <c r="AJ41" s="50"/>
      <c r="AK41" s="50"/>
      <c r="AL41" s="222"/>
      <c r="AM41" s="50"/>
      <c r="AN41" s="85"/>
      <c r="AO41" s="85"/>
      <c r="AP41" s="50"/>
      <c r="AQ41" s="50"/>
      <c r="AR41" s="50"/>
      <c r="AS41" s="50"/>
      <c r="AT41" s="50"/>
      <c r="AU41" s="50"/>
      <c r="AV41" s="50"/>
      <c r="AW41" s="50"/>
      <c r="AX41" s="50"/>
      <c r="AY41" s="50"/>
      <c r="AZ41" s="50"/>
      <c r="BA41" s="50"/>
      <c r="BB41" s="26"/>
      <c r="BC41" s="26"/>
      <c r="BD41" s="26"/>
      <c r="BE41" s="26"/>
      <c r="BF41" s="26"/>
      <c r="BG41" s="26"/>
      <c r="BH41" s="26"/>
      <c r="BI41" s="26"/>
      <c r="BJ41" s="26"/>
      <c r="BK41" s="26"/>
      <c r="BL41" s="26"/>
      <c r="BM41" s="26"/>
      <c r="BN41" s="26"/>
      <c r="BO41" s="26"/>
      <c r="BP41" s="26"/>
      <c r="BQ41" s="26"/>
      <c r="BR41" s="26"/>
      <c r="BS41" s="26"/>
      <c r="BT41" s="26"/>
      <c r="BU41" s="26"/>
      <c r="BV41" s="26"/>
      <c r="BW41" s="28"/>
      <c r="BX41" s="28"/>
      <c r="BY41" s="28"/>
      <c r="BZ41" s="28"/>
    </row>
    <row r="42" spans="1:78" s="2" customFormat="1" ht="18" customHeight="1" x14ac:dyDescent="0.2">
      <c r="A42" s="430" t="str">
        <f ca="1">Translations!A74</f>
        <v>D. Modules</v>
      </c>
      <c r="B42" s="431"/>
      <c r="C42" s="431"/>
      <c r="D42" s="431"/>
      <c r="E42" s="431"/>
      <c r="F42" s="431"/>
      <c r="G42" s="431"/>
      <c r="H42" s="431"/>
      <c r="I42" s="431"/>
      <c r="J42" s="431"/>
      <c r="K42" s="431"/>
      <c r="L42" s="431"/>
      <c r="M42" s="431"/>
      <c r="N42" s="431"/>
      <c r="O42" s="431"/>
      <c r="P42" s="431"/>
      <c r="Q42" s="431"/>
      <c r="R42" s="431"/>
      <c r="S42" s="431"/>
      <c r="T42" s="431"/>
      <c r="U42" s="431"/>
      <c r="V42" s="431"/>
      <c r="W42" s="431"/>
      <c r="X42" s="431"/>
      <c r="Y42" s="431"/>
      <c r="Z42" s="431"/>
      <c r="AA42" s="431"/>
      <c r="AB42" s="432"/>
      <c r="AC42" s="92"/>
      <c r="AD42" s="92"/>
      <c r="AE42" s="92"/>
      <c r="AF42" s="92"/>
      <c r="AG42" s="92"/>
      <c r="AH42" s="45"/>
      <c r="AI42" s="45"/>
      <c r="AJ42" s="45" t="s">
        <v>1920</v>
      </c>
      <c r="AK42" s="45" t="s">
        <v>1919</v>
      </c>
      <c r="AL42" s="228" t="s">
        <v>1918</v>
      </c>
      <c r="AM42" s="45" t="s">
        <v>1899</v>
      </c>
      <c r="AN42" s="92" t="s">
        <v>981</v>
      </c>
      <c r="AO42" s="92" t="s">
        <v>1551</v>
      </c>
      <c r="AP42" s="45"/>
      <c r="AQ42" s="45"/>
      <c r="AR42" s="45"/>
      <c r="AS42" s="45"/>
      <c r="AT42" s="45"/>
      <c r="AU42" s="45"/>
      <c r="AV42" s="45"/>
      <c r="AW42" s="45"/>
      <c r="AX42" s="50"/>
      <c r="AY42" s="50"/>
      <c r="AZ42" s="50"/>
      <c r="BA42" s="50"/>
      <c r="BB42" s="26"/>
      <c r="BC42" s="26"/>
      <c r="BD42" s="26"/>
      <c r="BE42" s="47"/>
      <c r="BF42" s="47"/>
      <c r="BG42" s="47"/>
      <c r="BH42" s="47"/>
      <c r="BI42" s="47"/>
      <c r="BJ42" s="47"/>
      <c r="BK42" s="47"/>
      <c r="BL42" s="47"/>
      <c r="BM42" s="47"/>
      <c r="BN42" s="47"/>
      <c r="BO42" s="47"/>
      <c r="BP42" s="47"/>
      <c r="BQ42" s="47"/>
      <c r="BR42" s="47"/>
      <c r="BS42" s="47"/>
      <c r="BT42" s="47"/>
      <c r="BU42" s="47"/>
      <c r="BV42" s="47"/>
      <c r="BW42" s="47"/>
    </row>
    <row r="43" spans="1:78" s="104" customFormat="1" ht="18" customHeight="1" x14ac:dyDescent="0.2">
      <c r="A43" s="281"/>
      <c r="B43" s="282"/>
      <c r="C43" s="282"/>
      <c r="D43" s="282"/>
      <c r="E43" s="282"/>
      <c r="F43" s="282"/>
      <c r="G43" s="282"/>
      <c r="H43" s="282"/>
      <c r="I43" s="282"/>
      <c r="J43" s="282"/>
      <c r="K43" s="282"/>
      <c r="L43" s="282"/>
      <c r="M43" s="282"/>
      <c r="N43" s="282"/>
      <c r="O43" s="282"/>
      <c r="P43" s="282"/>
      <c r="Q43" s="282"/>
      <c r="R43" s="282"/>
      <c r="S43" s="282"/>
      <c r="T43" s="282"/>
      <c r="U43" s="282"/>
      <c r="V43" s="282"/>
      <c r="W43" s="282"/>
      <c r="X43" s="282"/>
      <c r="Y43" s="282"/>
      <c r="Z43" s="282"/>
      <c r="AA43" s="282"/>
      <c r="AB43" s="283"/>
      <c r="AC43" s="92"/>
      <c r="AD43" s="92"/>
      <c r="AE43" s="92"/>
      <c r="AF43" s="92"/>
      <c r="AG43" s="92"/>
      <c r="AH43" s="92"/>
      <c r="AI43" s="92"/>
      <c r="AJ43" s="92"/>
      <c r="AK43" s="92"/>
      <c r="AL43" s="228"/>
      <c r="AM43" s="92"/>
      <c r="AN43" s="92"/>
      <c r="AO43" s="92"/>
      <c r="AP43" s="92"/>
      <c r="AQ43" s="92"/>
      <c r="AR43" s="92"/>
      <c r="AS43" s="92"/>
      <c r="AT43" s="92"/>
      <c r="AU43" s="92"/>
      <c r="AV43" s="92"/>
      <c r="AW43" s="92"/>
      <c r="AX43" s="85"/>
      <c r="AY43" s="85"/>
      <c r="AZ43" s="85"/>
      <c r="BA43" s="85"/>
      <c r="BB43" s="85"/>
      <c r="BC43" s="85"/>
      <c r="BD43" s="85"/>
      <c r="BE43" s="90"/>
      <c r="BF43" s="90"/>
      <c r="BG43" s="90"/>
      <c r="BH43" s="90"/>
      <c r="BI43" s="90"/>
      <c r="BJ43" s="90"/>
      <c r="BK43" s="90"/>
      <c r="BL43" s="90"/>
      <c r="BM43" s="90"/>
      <c r="BN43" s="90"/>
      <c r="BO43" s="90"/>
      <c r="BP43" s="90"/>
      <c r="BQ43" s="90"/>
      <c r="BR43" s="90"/>
      <c r="BS43" s="90"/>
      <c r="BT43" s="90"/>
      <c r="BU43" s="90"/>
      <c r="BV43" s="90"/>
      <c r="BW43" s="90"/>
    </row>
    <row r="44" spans="1:78" s="74" customFormat="1" ht="33" customHeight="1" x14ac:dyDescent="0.2">
      <c r="A44" s="433" t="s">
        <v>986</v>
      </c>
      <c r="B44" s="434"/>
      <c r="C44" s="178"/>
      <c r="D44" s="723" t="s">
        <v>1572</v>
      </c>
      <c r="E44" s="723"/>
      <c r="F44" s="723"/>
      <c r="G44" s="723"/>
      <c r="H44" s="723"/>
      <c r="I44" s="723"/>
      <c r="J44" s="723"/>
      <c r="K44" s="244"/>
      <c r="L44" s="245"/>
      <c r="M44" s="245"/>
      <c r="N44" s="245"/>
      <c r="O44" s="245"/>
      <c r="P44" s="245"/>
      <c r="Q44" s="245"/>
      <c r="R44" s="245"/>
      <c r="S44" s="245"/>
      <c r="T44" s="245"/>
      <c r="U44" s="245"/>
      <c r="V44" s="245"/>
      <c r="W44" s="245"/>
      <c r="X44" s="245"/>
      <c r="Y44" s="245"/>
      <c r="Z44" s="245"/>
      <c r="AA44" s="245"/>
      <c r="AB44" s="77"/>
      <c r="AC44" s="92"/>
      <c r="AD44" s="92"/>
      <c r="AE44" s="92"/>
      <c r="AF44" s="92"/>
      <c r="AG44" s="92"/>
      <c r="AH44" s="92"/>
      <c r="AI44" s="92"/>
      <c r="AJ44" s="92"/>
      <c r="AK44" s="92"/>
      <c r="AL44" s="225"/>
      <c r="AM44" s="63">
        <v>6</v>
      </c>
      <c r="AN44" s="92"/>
      <c r="AO44" s="92"/>
      <c r="AP44" s="92"/>
      <c r="AQ44" s="92"/>
      <c r="AR44" s="92"/>
      <c r="AS44" s="92"/>
      <c r="AT44" s="92"/>
      <c r="AU44" s="92"/>
      <c r="AV44" s="85"/>
      <c r="AW44" s="85"/>
      <c r="AX44" s="85"/>
      <c r="AY44" s="85"/>
      <c r="AZ44" s="85"/>
      <c r="BA44" s="85"/>
      <c r="BB44" s="85"/>
      <c r="BC44" s="94"/>
      <c r="BD44" s="94"/>
      <c r="BE44" s="94"/>
      <c r="BF44" s="94"/>
      <c r="BG44" s="94"/>
      <c r="BH44" s="94"/>
      <c r="BI44" s="94"/>
      <c r="BJ44" s="94"/>
      <c r="BK44" s="94"/>
      <c r="BL44" s="94"/>
      <c r="BM44" s="94"/>
      <c r="BN44" s="94"/>
      <c r="BO44" s="94"/>
      <c r="BP44" s="94"/>
      <c r="BQ44" s="94"/>
      <c r="BR44" s="94"/>
      <c r="BS44" s="94"/>
      <c r="BT44" s="94"/>
      <c r="BU44" s="94"/>
    </row>
    <row r="45" spans="1:78" s="163" customFormat="1" ht="18" customHeight="1" x14ac:dyDescent="0.2">
      <c r="A45" s="144" t="s">
        <v>980</v>
      </c>
      <c r="B45" s="160"/>
      <c r="C45" s="160"/>
      <c r="D45" s="160"/>
      <c r="E45" s="160"/>
      <c r="F45" s="160"/>
      <c r="G45" s="100"/>
      <c r="H45" s="100"/>
      <c r="I45" s="100"/>
      <c r="J45" s="100"/>
      <c r="K45" s="100"/>
      <c r="L45" s="100"/>
      <c r="M45" s="100"/>
      <c r="N45" s="100"/>
      <c r="O45" s="100"/>
      <c r="P45" s="100"/>
      <c r="Q45" s="100"/>
      <c r="R45" s="414"/>
      <c r="S45" s="414"/>
      <c r="T45" s="414"/>
      <c r="U45" s="414"/>
      <c r="V45" s="414"/>
      <c r="W45" s="414"/>
      <c r="X45" s="414"/>
      <c r="Y45" s="414"/>
      <c r="Z45" s="414"/>
      <c r="AA45" s="414"/>
      <c r="AB45" s="415"/>
      <c r="AC45" s="92"/>
      <c r="AD45" s="92"/>
      <c r="AE45" s="92"/>
      <c r="AF45" s="92"/>
      <c r="AG45" s="92"/>
      <c r="AH45" s="92"/>
      <c r="AI45" s="92"/>
      <c r="AJ45" s="92"/>
      <c r="AK45" s="92"/>
      <c r="AL45" s="225"/>
      <c r="AM45" s="92">
        <f ca="1">INDIRECT(ADDRESS(ROW()-1,COLUMN()))</f>
        <v>6</v>
      </c>
      <c r="AN45" s="92"/>
      <c r="AO45" s="92"/>
      <c r="AP45" s="92"/>
      <c r="AQ45" s="92"/>
      <c r="AR45" s="92"/>
      <c r="AS45" s="92"/>
      <c r="AT45" s="92"/>
      <c r="AU45" s="92"/>
      <c r="AV45" s="92"/>
      <c r="AW45" s="161"/>
      <c r="AX45" s="161"/>
      <c r="AY45" s="161"/>
      <c r="AZ45" s="161"/>
      <c r="BA45" s="161"/>
      <c r="BB45" s="161"/>
      <c r="BC45" s="161"/>
      <c r="BD45" s="162"/>
      <c r="BE45" s="162"/>
      <c r="BF45" s="162"/>
      <c r="BG45" s="162"/>
      <c r="BH45" s="162"/>
      <c r="BI45" s="162"/>
      <c r="BJ45" s="162"/>
      <c r="BK45" s="162"/>
      <c r="BL45" s="162"/>
      <c r="BM45" s="162"/>
      <c r="BN45" s="162"/>
      <c r="BO45" s="162"/>
      <c r="BP45" s="162"/>
      <c r="BQ45" s="162"/>
      <c r="BR45" s="162"/>
      <c r="BS45" s="162"/>
      <c r="BT45" s="162"/>
      <c r="BU45" s="162"/>
      <c r="BV45" s="162"/>
    </row>
    <row r="46" spans="1:78" s="75" customFormat="1" ht="25.15" customHeight="1" x14ac:dyDescent="0.2">
      <c r="A46" s="355" t="s">
        <v>1900</v>
      </c>
      <c r="B46" s="355"/>
      <c r="C46" s="386"/>
      <c r="D46" s="354" t="s">
        <v>1006</v>
      </c>
      <c r="E46" s="354" t="s">
        <v>61</v>
      </c>
      <c r="F46" s="386"/>
      <c r="G46" s="354" t="s">
        <v>22</v>
      </c>
      <c r="H46" s="355"/>
      <c r="I46" s="355"/>
      <c r="J46" s="386"/>
      <c r="K46" s="354"/>
      <c r="L46" s="355"/>
      <c r="M46" s="374" t="s">
        <v>21</v>
      </c>
      <c r="N46" s="375"/>
      <c r="O46" s="375"/>
      <c r="P46" s="375"/>
      <c r="Q46" s="375"/>
      <c r="R46" s="376"/>
      <c r="S46" s="505" t="s">
        <v>614</v>
      </c>
      <c r="T46" s="506"/>
      <c r="U46" s="506"/>
      <c r="V46" s="506"/>
      <c r="W46" s="506"/>
      <c r="X46" s="506"/>
      <c r="Y46" s="506"/>
      <c r="Z46" s="506"/>
      <c r="AA46" s="506"/>
      <c r="AB46" s="507"/>
      <c r="AC46" s="134"/>
      <c r="AD46" s="249"/>
      <c r="AE46" s="249"/>
      <c r="AF46" s="249"/>
      <c r="AG46" s="249"/>
      <c r="AH46" s="249"/>
      <c r="AI46" s="249"/>
      <c r="AJ46" s="248">
        <v>31</v>
      </c>
      <c r="AK46" s="248" t="e">
        <v>#VALUE!</v>
      </c>
      <c r="AL46" s="685">
        <v>31</v>
      </c>
      <c r="AM46" s="63">
        <f ca="1">INDIRECT(ADDRESS(ROW()-1,COLUMN()))</f>
        <v>6</v>
      </c>
      <c r="AN46" s="180"/>
      <c r="AO46" s="180"/>
      <c r="AP46" s="249"/>
      <c r="AQ46" s="249"/>
      <c r="AR46" s="683"/>
      <c r="AS46" s="683"/>
      <c r="AT46" s="683"/>
      <c r="AU46" s="683"/>
      <c r="AV46" s="683"/>
      <c r="AW46" s="85"/>
      <c r="AX46" s="85"/>
      <c r="AY46" s="85"/>
      <c r="AZ46" s="85"/>
      <c r="BA46" s="85"/>
      <c r="BB46" s="85"/>
      <c r="BC46" s="85"/>
      <c r="BD46" s="95"/>
      <c r="BE46" s="95"/>
      <c r="BF46" s="95"/>
      <c r="BG46" s="95"/>
      <c r="BH46" s="95"/>
      <c r="BI46" s="95"/>
      <c r="BJ46" s="95"/>
      <c r="BK46" s="95"/>
      <c r="BL46" s="95"/>
      <c r="BM46" s="95"/>
      <c r="BN46" s="95"/>
      <c r="BO46" s="95"/>
      <c r="BP46" s="95"/>
      <c r="BQ46" s="95"/>
      <c r="BR46" s="95"/>
      <c r="BS46" s="95"/>
      <c r="BT46" s="95"/>
      <c r="BU46" s="95"/>
      <c r="BV46" s="95"/>
    </row>
    <row r="47" spans="1:78" s="75" customFormat="1" ht="26.25" customHeight="1" x14ac:dyDescent="0.2">
      <c r="A47" s="358"/>
      <c r="B47" s="358"/>
      <c r="C47" s="405"/>
      <c r="D47" s="357"/>
      <c r="E47" s="357"/>
      <c r="F47" s="405"/>
      <c r="G47" s="387"/>
      <c r="H47" s="391"/>
      <c r="I47" s="391"/>
      <c r="J47" s="388"/>
      <c r="K47" s="357"/>
      <c r="L47" s="358"/>
      <c r="M47" s="374" t="s">
        <v>544</v>
      </c>
      <c r="N47" s="376"/>
      <c r="O47" s="374" t="s">
        <v>18</v>
      </c>
      <c r="P47" s="376"/>
      <c r="Q47" s="374" t="s">
        <v>17</v>
      </c>
      <c r="R47" s="376"/>
      <c r="S47" s="508" t="s">
        <v>1901</v>
      </c>
      <c r="T47" s="509"/>
      <c r="U47" s="509"/>
      <c r="V47" s="509"/>
      <c r="W47" s="509"/>
      <c r="X47" s="509"/>
      <c r="Y47" s="509"/>
      <c r="Z47" s="509"/>
      <c r="AA47" s="509"/>
      <c r="AB47" s="510"/>
      <c r="AC47" s="134"/>
      <c r="AD47" s="249"/>
      <c r="AE47" s="249"/>
      <c r="AF47" s="249"/>
      <c r="AG47" s="249"/>
      <c r="AH47" s="249"/>
      <c r="AI47" s="249"/>
      <c r="AJ47" s="246">
        <f ca="1">INDIRECT(ADDRESS(ROW()-1,COLUMN()))</f>
        <v>31</v>
      </c>
      <c r="AK47" s="246" t="e">
        <f ca="1">INDIRECT(ADDRESS(ROW()-1,COLUMN()))</f>
        <v>#VALUE!</v>
      </c>
      <c r="AL47" s="685"/>
      <c r="AM47" s="63">
        <f ca="1">INDIRECT(ADDRESS(ROW()-1,COLUMN()))</f>
        <v>6</v>
      </c>
      <c r="AN47" s="180"/>
      <c r="AO47" s="180"/>
      <c r="AP47" s="249"/>
      <c r="AQ47" s="249"/>
      <c r="AR47" s="683"/>
      <c r="AS47" s="683"/>
      <c r="AT47" s="683"/>
      <c r="AU47" s="683"/>
      <c r="AV47" s="683"/>
      <c r="AW47" s="85"/>
      <c r="AX47" s="85"/>
      <c r="AY47" s="85"/>
      <c r="AZ47" s="85"/>
      <c r="BA47" s="85"/>
      <c r="BB47" s="85"/>
      <c r="BC47" s="85"/>
      <c r="BD47" s="95"/>
      <c r="BE47" s="95"/>
      <c r="BF47" s="95"/>
      <c r="BG47" s="95"/>
      <c r="BH47" s="95"/>
      <c r="BI47" s="95"/>
      <c r="BJ47" s="95"/>
      <c r="BK47" s="95"/>
      <c r="BL47" s="95"/>
      <c r="BM47" s="95"/>
      <c r="BN47" s="95"/>
      <c r="BO47" s="95"/>
      <c r="BP47" s="95"/>
      <c r="BQ47" s="95"/>
      <c r="BR47" s="95"/>
      <c r="BS47" s="95"/>
      <c r="BT47" s="95"/>
      <c r="BU47" s="95"/>
      <c r="BV47" s="95"/>
    </row>
    <row r="48" spans="1:78" s="75" customFormat="1" ht="18" customHeight="1" x14ac:dyDescent="0.2">
      <c r="A48" s="358"/>
      <c r="B48" s="358"/>
      <c r="C48" s="405"/>
      <c r="D48" s="357"/>
      <c r="E48" s="357"/>
      <c r="F48" s="405"/>
      <c r="G48" s="241" t="s">
        <v>15</v>
      </c>
      <c r="H48" s="389" t="s">
        <v>14</v>
      </c>
      <c r="I48" s="389" t="s">
        <v>555</v>
      </c>
      <c r="J48" s="389" t="s">
        <v>9</v>
      </c>
      <c r="K48" s="357"/>
      <c r="L48" s="416"/>
      <c r="M48" s="156" t="s">
        <v>15</v>
      </c>
      <c r="N48" s="503" t="s">
        <v>14</v>
      </c>
      <c r="O48" s="156" t="s">
        <v>15</v>
      </c>
      <c r="P48" s="503" t="s">
        <v>14</v>
      </c>
      <c r="Q48" s="156" t="s">
        <v>15</v>
      </c>
      <c r="R48" s="503" t="s">
        <v>14</v>
      </c>
      <c r="S48" s="508"/>
      <c r="T48" s="509"/>
      <c r="U48" s="509"/>
      <c r="V48" s="509"/>
      <c r="W48" s="509"/>
      <c r="X48" s="509"/>
      <c r="Y48" s="509"/>
      <c r="Z48" s="509"/>
      <c r="AA48" s="509"/>
      <c r="AB48" s="510"/>
      <c r="AC48" s="134"/>
      <c r="AD48" s="249"/>
      <c r="AE48" s="249"/>
      <c r="AF48" s="249"/>
      <c r="AG48" s="249"/>
      <c r="AH48" s="249"/>
      <c r="AI48" s="249"/>
      <c r="AJ48" s="246">
        <f t="shared" ref="AJ48:AK85" ca="1" si="0">INDIRECT(ADDRESS(ROW()-1,COLUMN()))</f>
        <v>31</v>
      </c>
      <c r="AK48" s="246" t="e">
        <f t="shared" ca="1" si="0"/>
        <v>#VALUE!</v>
      </c>
      <c r="AL48" s="685"/>
      <c r="AM48" s="63">
        <f t="shared" ref="AM48:AM89" ca="1" si="1">INDIRECT(ADDRESS(ROW()-1,COLUMN()))</f>
        <v>6</v>
      </c>
      <c r="AN48" s="180"/>
      <c r="AO48" s="180"/>
      <c r="AP48" s="249"/>
      <c r="AQ48" s="249"/>
      <c r="AR48" s="683"/>
      <c r="AS48" s="683"/>
      <c r="AT48" s="683"/>
      <c r="AU48" s="683"/>
      <c r="AV48" s="683"/>
      <c r="AW48" s="85"/>
      <c r="AX48" s="85"/>
      <c r="AY48" s="85"/>
      <c r="AZ48" s="85"/>
      <c r="BA48" s="85"/>
      <c r="BB48" s="85"/>
      <c r="BC48" s="85"/>
      <c r="BD48" s="95"/>
      <c r="BE48" s="95"/>
      <c r="BF48" s="95"/>
      <c r="BG48" s="95"/>
      <c r="BH48" s="95"/>
      <c r="BI48" s="95"/>
      <c r="BJ48" s="95"/>
      <c r="BK48" s="95"/>
      <c r="BL48" s="95"/>
      <c r="BM48" s="95"/>
      <c r="BN48" s="95"/>
      <c r="BO48" s="95"/>
      <c r="BP48" s="95"/>
      <c r="BQ48" s="95"/>
      <c r="BR48" s="95"/>
      <c r="BS48" s="95"/>
      <c r="BT48" s="95"/>
      <c r="BU48" s="95"/>
      <c r="BV48" s="95"/>
    </row>
    <row r="49" spans="1:74" s="75" customFormat="1" ht="18" customHeight="1" x14ac:dyDescent="0.2">
      <c r="A49" s="391"/>
      <c r="B49" s="391"/>
      <c r="C49" s="388"/>
      <c r="D49" s="387"/>
      <c r="E49" s="387"/>
      <c r="F49" s="388"/>
      <c r="G49" s="250" t="s">
        <v>13</v>
      </c>
      <c r="H49" s="390"/>
      <c r="I49" s="390"/>
      <c r="J49" s="390"/>
      <c r="K49" s="387"/>
      <c r="L49" s="417"/>
      <c r="M49" s="157" t="s">
        <v>13</v>
      </c>
      <c r="N49" s="504"/>
      <c r="O49" s="157" t="s">
        <v>13</v>
      </c>
      <c r="P49" s="504"/>
      <c r="Q49" s="157" t="s">
        <v>13</v>
      </c>
      <c r="R49" s="504"/>
      <c r="S49" s="511"/>
      <c r="T49" s="512"/>
      <c r="U49" s="512"/>
      <c r="V49" s="512"/>
      <c r="W49" s="512"/>
      <c r="X49" s="512"/>
      <c r="Y49" s="512"/>
      <c r="Z49" s="512"/>
      <c r="AA49" s="512"/>
      <c r="AB49" s="513"/>
      <c r="AC49" s="134"/>
      <c r="AD49" s="249"/>
      <c r="AE49" s="249"/>
      <c r="AF49" s="249"/>
      <c r="AG49" s="249"/>
      <c r="AH49" s="249"/>
      <c r="AI49" s="249"/>
      <c r="AJ49" s="246">
        <f t="shared" ca="1" si="0"/>
        <v>31</v>
      </c>
      <c r="AK49" s="246" t="e">
        <f t="shared" ca="1" si="0"/>
        <v>#VALUE!</v>
      </c>
      <c r="AL49" s="685"/>
      <c r="AM49" s="63">
        <f t="shared" ca="1" si="1"/>
        <v>6</v>
      </c>
      <c r="AN49" s="180"/>
      <c r="AO49" s="180"/>
      <c r="AP49" s="249"/>
      <c r="AQ49" s="249"/>
      <c r="AR49" s="683"/>
      <c r="AS49" s="683"/>
      <c r="AT49" s="683"/>
      <c r="AU49" s="683"/>
      <c r="AV49" s="683"/>
      <c r="AW49" s="85"/>
      <c r="AX49" s="85"/>
      <c r="AY49" s="85"/>
      <c r="AZ49" s="85"/>
      <c r="BA49" s="85"/>
      <c r="BB49" s="85"/>
      <c r="BC49" s="85"/>
      <c r="BD49" s="95"/>
      <c r="BE49" s="95"/>
      <c r="BF49" s="95"/>
      <c r="BG49" s="95"/>
      <c r="BH49" s="95"/>
      <c r="BI49" s="95"/>
      <c r="BJ49" s="95"/>
      <c r="BK49" s="95"/>
      <c r="BL49" s="95"/>
      <c r="BM49" s="95"/>
      <c r="BN49" s="95"/>
      <c r="BO49" s="95"/>
      <c r="BP49" s="95"/>
      <c r="BQ49" s="95"/>
      <c r="BR49" s="95"/>
      <c r="BS49" s="95"/>
      <c r="BT49" s="95"/>
      <c r="BU49" s="95"/>
      <c r="BV49" s="95"/>
    </row>
    <row r="50" spans="1:74" s="86" customFormat="1" ht="15" customHeight="1" x14ac:dyDescent="0.2">
      <c r="A50" s="761" t="s">
        <v>1787</v>
      </c>
      <c r="B50" s="762"/>
      <c r="C50" s="763"/>
      <c r="D50" s="607" t="s">
        <v>1408</v>
      </c>
      <c r="E50" s="610" t="s">
        <v>554</v>
      </c>
      <c r="F50" s="611"/>
      <c r="G50" s="534">
        <v>99011</v>
      </c>
      <c r="H50" s="514" t="str">
        <f>IF($G52&lt;&gt;"",$G50/$G52,"")</f>
        <v/>
      </c>
      <c r="I50" s="537">
        <v>2012</v>
      </c>
      <c r="J50" s="634" t="s">
        <v>52</v>
      </c>
      <c r="K50" s="616" t="s">
        <v>981</v>
      </c>
      <c r="L50" s="617"/>
      <c r="M50" s="259">
        <v>97911</v>
      </c>
      <c r="N50" s="831" t="str">
        <f>IF(M51&lt;&gt;"",M50/M51,"")</f>
        <v/>
      </c>
      <c r="O50" s="291">
        <v>100049</v>
      </c>
      <c r="P50" s="831" t="str">
        <f>IF(O51&lt;&gt;"",O50/O51,"")</f>
        <v/>
      </c>
      <c r="Q50" s="291">
        <v>101489</v>
      </c>
      <c r="R50" s="831" t="str">
        <f>IF(Q51&lt;&gt;"",Q50/Q51,"")</f>
        <v/>
      </c>
      <c r="S50" s="833" t="s">
        <v>2004</v>
      </c>
      <c r="T50" s="733"/>
      <c r="U50" s="733"/>
      <c r="V50" s="733"/>
      <c r="W50" s="733"/>
      <c r="X50" s="733"/>
      <c r="Y50" s="733"/>
      <c r="Z50" s="733"/>
      <c r="AA50" s="733"/>
      <c r="AB50" s="734"/>
      <c r="AC50" s="141"/>
      <c r="AD50" s="247"/>
      <c r="AE50" s="247"/>
      <c r="AF50" s="247"/>
      <c r="AG50" s="247"/>
      <c r="AH50" s="221"/>
      <c r="AI50" s="221"/>
      <c r="AJ50" s="246">
        <f t="shared" ca="1" si="0"/>
        <v>31</v>
      </c>
      <c r="AK50" s="246" t="e">
        <f t="shared" ca="1" si="0"/>
        <v>#VALUE!</v>
      </c>
      <c r="AL50" s="684" t="str">
        <f ca="1">IFERROR(IF(INDIRECT(ADDRESS(ROW()-4,COLUMN()))+1&lt;=AJ50+AK50,INDIRECT(ADDRESS(ROW()-4,COLUMN()))+1,""),"")</f>
        <v/>
      </c>
      <c r="AM50" s="63">
        <f ca="1">INDIRECT(ADDRESS(ROW()-1,COLUMN()))</f>
        <v>6</v>
      </c>
      <c r="AN50" s="181"/>
      <c r="AO50" s="181"/>
      <c r="AP50" s="247"/>
      <c r="AQ50" s="247"/>
      <c r="AR50" s="682"/>
      <c r="AS50" s="682"/>
      <c r="AT50" s="682"/>
      <c r="AU50" s="682"/>
      <c r="AV50" s="682"/>
      <c r="AW50" s="85"/>
      <c r="AX50" s="85"/>
      <c r="AY50" s="85"/>
      <c r="AZ50" s="85"/>
      <c r="BA50" s="85"/>
      <c r="BB50" s="85"/>
      <c r="BC50" s="85"/>
    </row>
    <row r="51" spans="1:74" s="86" customFormat="1" x14ac:dyDescent="0.2">
      <c r="A51" s="764"/>
      <c r="B51" s="765"/>
      <c r="C51" s="766"/>
      <c r="D51" s="608"/>
      <c r="E51" s="612"/>
      <c r="F51" s="613"/>
      <c r="G51" s="535"/>
      <c r="H51" s="536"/>
      <c r="I51" s="538"/>
      <c r="J51" s="635"/>
      <c r="K51" s="618"/>
      <c r="L51" s="619"/>
      <c r="M51" s="260"/>
      <c r="N51" s="832"/>
      <c r="O51" s="292"/>
      <c r="P51" s="832"/>
      <c r="Q51" s="292"/>
      <c r="R51" s="832"/>
      <c r="S51" s="735"/>
      <c r="T51" s="736"/>
      <c r="U51" s="736"/>
      <c r="V51" s="736"/>
      <c r="W51" s="736"/>
      <c r="X51" s="736"/>
      <c r="Y51" s="736"/>
      <c r="Z51" s="736"/>
      <c r="AA51" s="736"/>
      <c r="AB51" s="737"/>
      <c r="AC51" s="141"/>
      <c r="AD51" s="247"/>
      <c r="AE51" s="247"/>
      <c r="AF51" s="247"/>
      <c r="AG51" s="247"/>
      <c r="AH51" s="221"/>
      <c r="AI51" s="221"/>
      <c r="AJ51" s="246">
        <f t="shared" ca="1" si="0"/>
        <v>31</v>
      </c>
      <c r="AK51" s="246" t="e">
        <f t="shared" ca="1" si="0"/>
        <v>#VALUE!</v>
      </c>
      <c r="AL51" s="684"/>
      <c r="AM51" s="63">
        <f t="shared" ca="1" si="1"/>
        <v>6</v>
      </c>
      <c r="AN51" s="181"/>
      <c r="AO51" s="181"/>
      <c r="AP51" s="247"/>
      <c r="AQ51" s="247"/>
      <c r="AR51" s="682"/>
      <c r="AS51" s="682"/>
      <c r="AT51" s="682"/>
      <c r="AU51" s="682"/>
      <c r="AV51" s="682"/>
      <c r="AW51" s="85"/>
      <c r="AX51" s="85"/>
      <c r="AY51" s="85"/>
      <c r="AZ51" s="85"/>
      <c r="BA51" s="85"/>
      <c r="BB51" s="85"/>
      <c r="BC51" s="85"/>
    </row>
    <row r="52" spans="1:74" s="86" customFormat="1" ht="15" customHeight="1" x14ac:dyDescent="0.2">
      <c r="A52" s="764"/>
      <c r="B52" s="765"/>
      <c r="C52" s="766"/>
      <c r="D52" s="608"/>
      <c r="E52" s="612"/>
      <c r="F52" s="613"/>
      <c r="G52" s="534"/>
      <c r="H52" s="536"/>
      <c r="I52" s="538"/>
      <c r="J52" s="635"/>
      <c r="K52" s="656" t="s">
        <v>982</v>
      </c>
      <c r="L52" s="657"/>
      <c r="M52" s="259">
        <f>M50+763</f>
        <v>98674</v>
      </c>
      <c r="N52" s="831" t="str">
        <f>IF(M53&lt;&gt;"",M52/M53,"")</f>
        <v/>
      </c>
      <c r="O52" s="291">
        <f>O50+1131</f>
        <v>101180</v>
      </c>
      <c r="P52" s="831" t="str">
        <f>IF(O53&lt;&gt;"",O52/O53,"")</f>
        <v/>
      </c>
      <c r="Q52" s="291">
        <f>Q50+4257</f>
        <v>105746</v>
      </c>
      <c r="R52" s="831" t="str">
        <f>IF(Q53&lt;&gt;"",Q52/Q53,"")</f>
        <v/>
      </c>
      <c r="S52" s="735"/>
      <c r="T52" s="736"/>
      <c r="U52" s="736"/>
      <c r="V52" s="736"/>
      <c r="W52" s="736"/>
      <c r="X52" s="736"/>
      <c r="Y52" s="736"/>
      <c r="Z52" s="736"/>
      <c r="AA52" s="736"/>
      <c r="AB52" s="737"/>
      <c r="AC52" s="141"/>
      <c r="AD52" s="247"/>
      <c r="AE52" s="247"/>
      <c r="AF52" s="247"/>
      <c r="AG52" s="247"/>
      <c r="AH52" s="247"/>
      <c r="AI52" s="247"/>
      <c r="AJ52" s="246">
        <f t="shared" ca="1" si="0"/>
        <v>31</v>
      </c>
      <c r="AK52" s="246" t="e">
        <f t="shared" ca="1" si="0"/>
        <v>#VALUE!</v>
      </c>
      <c r="AL52" s="684"/>
      <c r="AM52" s="63">
        <f t="shared" ca="1" si="1"/>
        <v>6</v>
      </c>
      <c r="AN52" s="181"/>
      <c r="AO52" s="181"/>
      <c r="AP52" s="247"/>
      <c r="AQ52" s="247"/>
      <c r="AR52" s="682"/>
      <c r="AS52" s="682"/>
      <c r="AT52" s="682"/>
      <c r="AU52" s="682"/>
      <c r="AV52" s="682"/>
      <c r="AW52" s="85"/>
      <c r="AX52" s="85"/>
      <c r="AY52" s="85"/>
      <c r="AZ52" s="85"/>
      <c r="BA52" s="85"/>
      <c r="BB52" s="85"/>
      <c r="BC52" s="85"/>
    </row>
    <row r="53" spans="1:74" s="86" customFormat="1" x14ac:dyDescent="0.2">
      <c r="A53" s="767"/>
      <c r="B53" s="768"/>
      <c r="C53" s="769"/>
      <c r="D53" s="609"/>
      <c r="E53" s="614"/>
      <c r="F53" s="615"/>
      <c r="G53" s="535"/>
      <c r="H53" s="515"/>
      <c r="I53" s="539"/>
      <c r="J53" s="636"/>
      <c r="K53" s="658"/>
      <c r="L53" s="659"/>
      <c r="M53" s="260"/>
      <c r="N53" s="832"/>
      <c r="O53" s="292"/>
      <c r="P53" s="832"/>
      <c r="Q53" s="292"/>
      <c r="R53" s="832"/>
      <c r="S53" s="738"/>
      <c r="T53" s="739"/>
      <c r="U53" s="739"/>
      <c r="V53" s="739"/>
      <c r="W53" s="739"/>
      <c r="X53" s="739"/>
      <c r="Y53" s="739"/>
      <c r="Z53" s="739"/>
      <c r="AA53" s="739"/>
      <c r="AB53" s="740"/>
      <c r="AC53" s="141"/>
      <c r="AD53" s="247"/>
      <c r="AE53" s="247"/>
      <c r="AF53" s="247"/>
      <c r="AG53" s="247"/>
      <c r="AH53" s="247"/>
      <c r="AI53" s="247"/>
      <c r="AJ53" s="246">
        <f t="shared" ca="1" si="0"/>
        <v>31</v>
      </c>
      <c r="AK53" s="246" t="e">
        <f t="shared" ca="1" si="0"/>
        <v>#VALUE!</v>
      </c>
      <c r="AL53" s="684"/>
      <c r="AM53" s="63">
        <f t="shared" ca="1" si="1"/>
        <v>6</v>
      </c>
      <c r="AN53" s="181"/>
      <c r="AO53" s="181"/>
      <c r="AP53" s="247"/>
      <c r="AQ53" s="247"/>
      <c r="AR53" s="682"/>
      <c r="AS53" s="682"/>
      <c r="AT53" s="682"/>
      <c r="AU53" s="682"/>
      <c r="AV53" s="682"/>
      <c r="AW53" s="85"/>
      <c r="AX53" s="85"/>
      <c r="AY53" s="85"/>
      <c r="AZ53" s="85"/>
      <c r="BA53" s="85"/>
      <c r="BB53" s="85"/>
      <c r="BC53" s="85"/>
    </row>
    <row r="54" spans="1:74" s="86" customFormat="1" ht="22.5" customHeight="1" x14ac:dyDescent="0.2">
      <c r="A54" s="761" t="s">
        <v>1788</v>
      </c>
      <c r="B54" s="762"/>
      <c r="C54" s="763"/>
      <c r="D54" s="607" t="s">
        <v>1408</v>
      </c>
      <c r="E54" s="610" t="s">
        <v>554</v>
      </c>
      <c r="F54" s="611"/>
      <c r="G54" s="834">
        <v>217354</v>
      </c>
      <c r="H54" s="514" t="str">
        <f>IF($G56&lt;&gt;"",$G54/$G56,"")</f>
        <v/>
      </c>
      <c r="I54" s="537">
        <v>2012</v>
      </c>
      <c r="J54" s="634" t="s">
        <v>52</v>
      </c>
      <c r="K54" s="616" t="s">
        <v>981</v>
      </c>
      <c r="L54" s="617"/>
      <c r="M54" s="259">
        <v>217581</v>
      </c>
      <c r="N54" s="831" t="str">
        <f>IF(M55&lt;&gt;"",M54/M55,"")</f>
        <v/>
      </c>
      <c r="O54" s="291">
        <v>222331</v>
      </c>
      <c r="P54" s="831" t="str">
        <f>IF(O55&lt;&gt;"",O54/O55,"")</f>
        <v/>
      </c>
      <c r="Q54" s="291">
        <v>225531</v>
      </c>
      <c r="R54" s="831" t="str">
        <f>IF(Q55&lt;&gt;"",Q54/Q55,"")</f>
        <v/>
      </c>
      <c r="S54" s="833" t="s">
        <v>2003</v>
      </c>
      <c r="T54" s="733"/>
      <c r="U54" s="733"/>
      <c r="V54" s="733"/>
      <c r="W54" s="733"/>
      <c r="X54" s="733"/>
      <c r="Y54" s="733"/>
      <c r="Z54" s="733"/>
      <c r="AA54" s="733"/>
      <c r="AB54" s="734"/>
      <c r="AC54" s="141"/>
      <c r="AD54" s="247"/>
      <c r="AE54" s="247"/>
      <c r="AF54" s="247"/>
      <c r="AG54" s="247"/>
      <c r="AH54" s="247"/>
      <c r="AI54" s="247"/>
      <c r="AJ54" s="246">
        <f t="shared" ca="1" si="0"/>
        <v>31</v>
      </c>
      <c r="AK54" s="246" t="e">
        <f t="shared" ca="1" si="0"/>
        <v>#VALUE!</v>
      </c>
      <c r="AL54" s="684" t="str">
        <f ca="1">IFERROR(IF(INDIRECT(ADDRESS(ROW()-4,COLUMN()))+1&lt;=AJ54+AK54,INDIRECT(ADDRESS(ROW()-4,COLUMN()))+1,""),"")</f>
        <v/>
      </c>
      <c r="AM54" s="63">
        <f t="shared" ca="1" si="1"/>
        <v>6</v>
      </c>
      <c r="AN54" s="181"/>
      <c r="AO54" s="181"/>
      <c r="AP54" s="247"/>
      <c r="AQ54" s="247"/>
      <c r="AR54" s="682"/>
      <c r="AS54" s="682"/>
      <c r="AT54" s="682"/>
      <c r="AU54" s="682"/>
      <c r="AV54" s="682"/>
      <c r="AW54" s="85"/>
      <c r="AX54" s="85"/>
      <c r="AY54" s="85"/>
      <c r="AZ54" s="85"/>
      <c r="BA54" s="85"/>
      <c r="BB54" s="85"/>
      <c r="BC54" s="85"/>
    </row>
    <row r="55" spans="1:74" s="86" customFormat="1" ht="22.5" customHeight="1" x14ac:dyDescent="0.2">
      <c r="A55" s="764"/>
      <c r="B55" s="765"/>
      <c r="C55" s="766"/>
      <c r="D55" s="608"/>
      <c r="E55" s="612"/>
      <c r="F55" s="613"/>
      <c r="G55" s="535"/>
      <c r="H55" s="536"/>
      <c r="I55" s="538"/>
      <c r="J55" s="635"/>
      <c r="K55" s="618"/>
      <c r="L55" s="619"/>
      <c r="M55" s="260"/>
      <c r="N55" s="832"/>
      <c r="O55" s="292"/>
      <c r="P55" s="832"/>
      <c r="Q55" s="292"/>
      <c r="R55" s="832"/>
      <c r="S55" s="735"/>
      <c r="T55" s="736"/>
      <c r="U55" s="736"/>
      <c r="V55" s="736"/>
      <c r="W55" s="736"/>
      <c r="X55" s="736"/>
      <c r="Y55" s="736"/>
      <c r="Z55" s="736"/>
      <c r="AA55" s="736"/>
      <c r="AB55" s="737"/>
      <c r="AC55" s="141"/>
      <c r="AD55" s="247"/>
      <c r="AE55" s="247"/>
      <c r="AF55" s="247"/>
      <c r="AG55" s="247"/>
      <c r="AH55" s="247"/>
      <c r="AI55" s="247"/>
      <c r="AJ55" s="246">
        <f t="shared" ca="1" si="0"/>
        <v>31</v>
      </c>
      <c r="AK55" s="246" t="e">
        <f t="shared" ca="1" si="0"/>
        <v>#VALUE!</v>
      </c>
      <c r="AL55" s="684"/>
      <c r="AM55" s="63">
        <f t="shared" ca="1" si="1"/>
        <v>6</v>
      </c>
      <c r="AN55" s="181"/>
      <c r="AO55" s="181"/>
      <c r="AP55" s="247"/>
      <c r="AQ55" s="247"/>
      <c r="AR55" s="682"/>
      <c r="AS55" s="682"/>
      <c r="AT55" s="682"/>
      <c r="AU55" s="682"/>
      <c r="AV55" s="682"/>
      <c r="AW55" s="85"/>
      <c r="AX55" s="85"/>
      <c r="AY55" s="85"/>
      <c r="AZ55" s="85"/>
      <c r="BA55" s="85"/>
      <c r="BB55" s="85"/>
      <c r="BC55" s="85"/>
    </row>
    <row r="56" spans="1:74" s="86" customFormat="1" ht="22.5" customHeight="1" x14ac:dyDescent="0.2">
      <c r="A56" s="764"/>
      <c r="B56" s="765"/>
      <c r="C56" s="766"/>
      <c r="D56" s="608"/>
      <c r="E56" s="612"/>
      <c r="F56" s="613"/>
      <c r="G56" s="534"/>
      <c r="H56" s="536"/>
      <c r="I56" s="538"/>
      <c r="J56" s="635"/>
      <c r="K56" s="656" t="s">
        <v>982</v>
      </c>
      <c r="L56" s="657"/>
      <c r="M56" s="259">
        <f>M54+1695</f>
        <v>219276</v>
      </c>
      <c r="N56" s="831"/>
      <c r="O56" s="291">
        <f>O54+2514</f>
        <v>224845</v>
      </c>
      <c r="P56" s="831" t="str">
        <f>IF(O57&lt;&gt;"",O56/O57,"")</f>
        <v/>
      </c>
      <c r="Q56" s="291">
        <f>Q54+9500</f>
        <v>235031</v>
      </c>
      <c r="R56" s="831" t="str">
        <f>IF(Q57&lt;&gt;"",Q56/Q57,"")</f>
        <v/>
      </c>
      <c r="S56" s="735"/>
      <c r="T56" s="736"/>
      <c r="U56" s="736"/>
      <c r="V56" s="736"/>
      <c r="W56" s="736"/>
      <c r="X56" s="736"/>
      <c r="Y56" s="736"/>
      <c r="Z56" s="736"/>
      <c r="AA56" s="736"/>
      <c r="AB56" s="737"/>
      <c r="AC56" s="141"/>
      <c r="AD56" s="247"/>
      <c r="AE56" s="247"/>
      <c r="AF56" s="247"/>
      <c r="AG56" s="247"/>
      <c r="AH56" s="247"/>
      <c r="AI56" s="247"/>
      <c r="AJ56" s="246">
        <f t="shared" ca="1" si="0"/>
        <v>31</v>
      </c>
      <c r="AK56" s="246" t="e">
        <f t="shared" ca="1" si="0"/>
        <v>#VALUE!</v>
      </c>
      <c r="AL56" s="684"/>
      <c r="AM56" s="63">
        <f t="shared" ca="1" si="1"/>
        <v>6</v>
      </c>
      <c r="AN56" s="181"/>
      <c r="AO56" s="181"/>
      <c r="AP56" s="247"/>
      <c r="AQ56" s="247"/>
      <c r="AR56" s="682"/>
      <c r="AS56" s="682"/>
      <c r="AT56" s="682"/>
      <c r="AU56" s="682"/>
      <c r="AV56" s="682"/>
      <c r="AW56" s="85"/>
      <c r="AX56" s="85"/>
      <c r="AY56" s="85"/>
      <c r="AZ56" s="85"/>
      <c r="BA56" s="85"/>
      <c r="BB56" s="85"/>
      <c r="BC56" s="85"/>
    </row>
    <row r="57" spans="1:74" s="86" customFormat="1" ht="22.5" customHeight="1" x14ac:dyDescent="0.2">
      <c r="A57" s="767"/>
      <c r="B57" s="768"/>
      <c r="C57" s="769"/>
      <c r="D57" s="609"/>
      <c r="E57" s="614"/>
      <c r="F57" s="615"/>
      <c r="G57" s="535"/>
      <c r="H57" s="515"/>
      <c r="I57" s="539"/>
      <c r="J57" s="636"/>
      <c r="K57" s="658"/>
      <c r="L57" s="659"/>
      <c r="M57" s="260"/>
      <c r="N57" s="832"/>
      <c r="O57" s="292"/>
      <c r="P57" s="832"/>
      <c r="Q57" s="292"/>
      <c r="R57" s="832"/>
      <c r="S57" s="738"/>
      <c r="T57" s="739"/>
      <c r="U57" s="739"/>
      <c r="V57" s="739"/>
      <c r="W57" s="739"/>
      <c r="X57" s="739"/>
      <c r="Y57" s="739"/>
      <c r="Z57" s="739"/>
      <c r="AA57" s="739"/>
      <c r="AB57" s="740"/>
      <c r="AC57" s="141"/>
      <c r="AD57" s="247"/>
      <c r="AE57" s="247"/>
      <c r="AF57" s="247"/>
      <c r="AG57" s="247"/>
      <c r="AH57" s="247"/>
      <c r="AI57" s="247"/>
      <c r="AJ57" s="246">
        <f t="shared" ca="1" si="0"/>
        <v>31</v>
      </c>
      <c r="AK57" s="246" t="e">
        <f t="shared" ca="1" si="0"/>
        <v>#VALUE!</v>
      </c>
      <c r="AL57" s="684"/>
      <c r="AM57" s="63">
        <f t="shared" ca="1" si="1"/>
        <v>6</v>
      </c>
      <c r="AN57" s="181"/>
      <c r="AO57" s="181"/>
      <c r="AP57" s="247"/>
      <c r="AQ57" s="247"/>
      <c r="AR57" s="682"/>
      <c r="AS57" s="682"/>
      <c r="AT57" s="682"/>
      <c r="AU57" s="682"/>
      <c r="AV57" s="682"/>
      <c r="AW57" s="85"/>
      <c r="AX57" s="85"/>
      <c r="AY57" s="85"/>
      <c r="AZ57" s="85"/>
      <c r="BA57" s="85"/>
      <c r="BB57" s="85"/>
      <c r="BC57" s="85"/>
    </row>
    <row r="58" spans="1:74" s="86" customFormat="1" ht="15" customHeight="1" x14ac:dyDescent="0.2">
      <c r="A58" s="761" t="s">
        <v>1789</v>
      </c>
      <c r="B58" s="762"/>
      <c r="C58" s="763"/>
      <c r="D58" s="607" t="s">
        <v>1944</v>
      </c>
      <c r="E58" s="610" t="s">
        <v>554</v>
      </c>
      <c r="F58" s="611"/>
      <c r="G58" s="534"/>
      <c r="H58" s="514"/>
      <c r="I58" s="537">
        <v>2012</v>
      </c>
      <c r="J58" s="634" t="s">
        <v>51</v>
      </c>
      <c r="K58" s="616" t="s">
        <v>981</v>
      </c>
      <c r="L58" s="617"/>
      <c r="M58" s="183"/>
      <c r="N58" s="514" t="str">
        <f>IF(M59&lt;&gt;"",M58/M59,"")</f>
        <v/>
      </c>
      <c r="O58" s="185"/>
      <c r="P58" s="514" t="str">
        <f>IF(O59&lt;&gt;"",O58/O59,"")</f>
        <v/>
      </c>
      <c r="Q58" s="185"/>
      <c r="R58" s="514" t="str">
        <f>IF(Q59&lt;&gt;"",Q58/Q59,"")</f>
        <v/>
      </c>
      <c r="S58" s="812" t="s">
        <v>1945</v>
      </c>
      <c r="T58" s="665"/>
      <c r="U58" s="665"/>
      <c r="V58" s="665"/>
      <c r="W58" s="665"/>
      <c r="X58" s="665"/>
      <c r="Y58" s="665"/>
      <c r="Z58" s="665"/>
      <c r="AA58" s="665"/>
      <c r="AB58" s="666"/>
      <c r="AC58" s="141"/>
      <c r="AD58" s="247"/>
      <c r="AE58" s="247"/>
      <c r="AF58" s="247"/>
      <c r="AG58" s="247"/>
      <c r="AH58" s="247"/>
      <c r="AI58" s="247"/>
      <c r="AJ58" s="246">
        <f t="shared" ca="1" si="0"/>
        <v>31</v>
      </c>
      <c r="AK58" s="246" t="e">
        <f t="shared" ca="1" si="0"/>
        <v>#VALUE!</v>
      </c>
      <c r="AL58" s="684" t="str">
        <f ca="1">IFERROR(IF(INDIRECT(ADDRESS(ROW()-4,COLUMN()))+1&lt;=AJ58+AK58,INDIRECT(ADDRESS(ROW()-4,COLUMN()))+1,""),"")</f>
        <v/>
      </c>
      <c r="AM58" s="63">
        <f t="shared" ca="1" si="1"/>
        <v>6</v>
      </c>
      <c r="AN58" s="181"/>
      <c r="AO58" s="181"/>
      <c r="AP58" s="247"/>
      <c r="AQ58" s="247"/>
      <c r="AR58" s="682"/>
      <c r="AS58" s="682"/>
      <c r="AT58" s="682"/>
      <c r="AU58" s="682"/>
      <c r="AV58" s="682"/>
      <c r="AW58" s="85"/>
      <c r="AX58" s="85"/>
      <c r="AY58" s="85"/>
      <c r="AZ58" s="85"/>
      <c r="BA58" s="85"/>
      <c r="BB58" s="85"/>
      <c r="BC58" s="85"/>
    </row>
    <row r="59" spans="1:74" s="86" customFormat="1" x14ac:dyDescent="0.2">
      <c r="A59" s="764"/>
      <c r="B59" s="765"/>
      <c r="C59" s="766"/>
      <c r="D59" s="608"/>
      <c r="E59" s="612"/>
      <c r="F59" s="613"/>
      <c r="G59" s="535"/>
      <c r="H59" s="536"/>
      <c r="I59" s="538"/>
      <c r="J59" s="635"/>
      <c r="K59" s="618"/>
      <c r="L59" s="619"/>
      <c r="M59" s="184"/>
      <c r="N59" s="515"/>
      <c r="O59" s="186"/>
      <c r="P59" s="515"/>
      <c r="Q59" s="186"/>
      <c r="R59" s="515"/>
      <c r="S59" s="667"/>
      <c r="T59" s="668"/>
      <c r="U59" s="668"/>
      <c r="V59" s="668"/>
      <c r="W59" s="668"/>
      <c r="X59" s="668"/>
      <c r="Y59" s="668"/>
      <c r="Z59" s="668"/>
      <c r="AA59" s="668"/>
      <c r="AB59" s="669"/>
      <c r="AC59" s="141"/>
      <c r="AD59" s="247"/>
      <c r="AE59" s="247"/>
      <c r="AF59" s="247"/>
      <c r="AG59" s="247"/>
      <c r="AH59" s="247"/>
      <c r="AI59" s="247"/>
      <c r="AJ59" s="246">
        <f t="shared" ca="1" si="0"/>
        <v>31</v>
      </c>
      <c r="AK59" s="246" t="e">
        <f t="shared" ca="1" si="0"/>
        <v>#VALUE!</v>
      </c>
      <c r="AL59" s="684"/>
      <c r="AM59" s="63">
        <f t="shared" ca="1" si="1"/>
        <v>6</v>
      </c>
      <c r="AN59" s="181"/>
      <c r="AO59" s="181"/>
      <c r="AP59" s="247"/>
      <c r="AQ59" s="247"/>
      <c r="AR59" s="682"/>
      <c r="AS59" s="682"/>
      <c r="AT59" s="682"/>
      <c r="AU59" s="682"/>
      <c r="AV59" s="682"/>
      <c r="AW59" s="85"/>
      <c r="AX59" s="85"/>
      <c r="AY59" s="85"/>
      <c r="AZ59" s="85"/>
      <c r="BA59" s="85"/>
      <c r="BB59" s="85"/>
      <c r="BC59" s="85"/>
    </row>
    <row r="60" spans="1:74" s="86" customFormat="1" ht="15" customHeight="1" x14ac:dyDescent="0.2">
      <c r="A60" s="764"/>
      <c r="B60" s="765"/>
      <c r="C60" s="766"/>
      <c r="D60" s="608"/>
      <c r="E60" s="612"/>
      <c r="F60" s="613"/>
      <c r="G60" s="534"/>
      <c r="H60" s="536"/>
      <c r="I60" s="538"/>
      <c r="J60" s="635"/>
      <c r="K60" s="656" t="s">
        <v>982</v>
      </c>
      <c r="L60" s="657"/>
      <c r="M60" s="183"/>
      <c r="N60" s="514" t="str">
        <f>IF(M61&lt;&gt;"",M60/M61,"")</f>
        <v/>
      </c>
      <c r="O60" s="185"/>
      <c r="P60" s="514" t="str">
        <f>IF(O61&lt;&gt;"",O60/O61,"")</f>
        <v/>
      </c>
      <c r="Q60" s="185"/>
      <c r="R60" s="514" t="str">
        <f>IF(Q61&lt;&gt;"",Q60/Q61,"")</f>
        <v/>
      </c>
      <c r="S60" s="667"/>
      <c r="T60" s="668"/>
      <c r="U60" s="668"/>
      <c r="V60" s="668"/>
      <c r="W60" s="668"/>
      <c r="X60" s="668"/>
      <c r="Y60" s="668"/>
      <c r="Z60" s="668"/>
      <c r="AA60" s="668"/>
      <c r="AB60" s="669"/>
      <c r="AC60" s="141"/>
      <c r="AD60" s="247"/>
      <c r="AE60" s="247"/>
      <c r="AF60" s="247"/>
      <c r="AG60" s="247"/>
      <c r="AH60" s="247"/>
      <c r="AI60" s="247"/>
      <c r="AJ60" s="246">
        <f t="shared" ca="1" si="0"/>
        <v>31</v>
      </c>
      <c r="AK60" s="246" t="e">
        <f t="shared" ca="1" si="0"/>
        <v>#VALUE!</v>
      </c>
      <c r="AL60" s="684"/>
      <c r="AM60" s="63">
        <f t="shared" ca="1" si="1"/>
        <v>6</v>
      </c>
      <c r="AN60" s="181"/>
      <c r="AO60" s="181"/>
      <c r="AP60" s="247"/>
      <c r="AQ60" s="247"/>
      <c r="AR60" s="682"/>
      <c r="AS60" s="682"/>
      <c r="AT60" s="682"/>
      <c r="AU60" s="682"/>
      <c r="AV60" s="682"/>
      <c r="AW60" s="85"/>
      <c r="AX60" s="85"/>
      <c r="AY60" s="85"/>
      <c r="AZ60" s="85"/>
      <c r="BA60" s="85"/>
      <c r="BB60" s="85"/>
      <c r="BC60" s="85"/>
    </row>
    <row r="61" spans="1:74" s="86" customFormat="1" x14ac:dyDescent="0.2">
      <c r="A61" s="767"/>
      <c r="B61" s="768"/>
      <c r="C61" s="769"/>
      <c r="D61" s="609"/>
      <c r="E61" s="614"/>
      <c r="F61" s="615"/>
      <c r="G61" s="535"/>
      <c r="H61" s="515"/>
      <c r="I61" s="539"/>
      <c r="J61" s="636"/>
      <c r="K61" s="658"/>
      <c r="L61" s="659"/>
      <c r="M61" s="184"/>
      <c r="N61" s="515"/>
      <c r="O61" s="186"/>
      <c r="P61" s="515"/>
      <c r="Q61" s="186"/>
      <c r="R61" s="515"/>
      <c r="S61" s="670"/>
      <c r="T61" s="671"/>
      <c r="U61" s="671"/>
      <c r="V61" s="671"/>
      <c r="W61" s="671"/>
      <c r="X61" s="671"/>
      <c r="Y61" s="671"/>
      <c r="Z61" s="671"/>
      <c r="AA61" s="671"/>
      <c r="AB61" s="672"/>
      <c r="AC61" s="141"/>
      <c r="AD61" s="247"/>
      <c r="AE61" s="247"/>
      <c r="AF61" s="247"/>
      <c r="AG61" s="247"/>
      <c r="AH61" s="247"/>
      <c r="AI61" s="247"/>
      <c r="AJ61" s="246">
        <f t="shared" ca="1" si="0"/>
        <v>31</v>
      </c>
      <c r="AK61" s="246" t="e">
        <f t="shared" ca="1" si="0"/>
        <v>#VALUE!</v>
      </c>
      <c r="AL61" s="684"/>
      <c r="AM61" s="63">
        <f t="shared" ca="1" si="1"/>
        <v>6</v>
      </c>
      <c r="AN61" s="181"/>
      <c r="AO61" s="181"/>
      <c r="AP61" s="247"/>
      <c r="AQ61" s="247"/>
      <c r="AR61" s="682"/>
      <c r="AS61" s="682"/>
      <c r="AT61" s="682"/>
      <c r="AU61" s="682"/>
      <c r="AV61" s="682"/>
      <c r="AW61" s="85"/>
      <c r="AX61" s="85"/>
      <c r="AY61" s="85"/>
      <c r="AZ61" s="85"/>
      <c r="BA61" s="85"/>
      <c r="BB61" s="85"/>
      <c r="BC61" s="85"/>
    </row>
    <row r="62" spans="1:74" s="86" customFormat="1" ht="18" customHeight="1" x14ac:dyDescent="0.2">
      <c r="A62" s="761" t="s">
        <v>1790</v>
      </c>
      <c r="B62" s="762"/>
      <c r="C62" s="763"/>
      <c r="D62" s="607" t="s">
        <v>1408</v>
      </c>
      <c r="E62" s="610" t="s">
        <v>554</v>
      </c>
      <c r="F62" s="611"/>
      <c r="G62" s="534">
        <v>75387</v>
      </c>
      <c r="H62" s="514">
        <f>IF($G64&lt;&gt;"",$G62/$G64,"")</f>
        <v>0.90377998633306555</v>
      </c>
      <c r="I62" s="537">
        <v>2011</v>
      </c>
      <c r="J62" s="634" t="s">
        <v>52</v>
      </c>
      <c r="K62" s="616" t="s">
        <v>981</v>
      </c>
      <c r="L62" s="617"/>
      <c r="M62" s="259">
        <f>0.9*M63</f>
        <v>88119.900000000009</v>
      </c>
      <c r="N62" s="835">
        <v>0.9</v>
      </c>
      <c r="O62" s="291">
        <f>0.9*O63</f>
        <v>90044.1</v>
      </c>
      <c r="P62" s="673">
        <v>0.9</v>
      </c>
      <c r="Q62" s="291">
        <f>0.9*Q63</f>
        <v>91340.1</v>
      </c>
      <c r="R62" s="835">
        <v>0.9</v>
      </c>
      <c r="S62" s="833" t="s">
        <v>1946</v>
      </c>
      <c r="T62" s="733"/>
      <c r="U62" s="733"/>
      <c r="V62" s="733"/>
      <c r="W62" s="733"/>
      <c r="X62" s="733"/>
      <c r="Y62" s="733"/>
      <c r="Z62" s="733"/>
      <c r="AA62" s="733"/>
      <c r="AB62" s="734"/>
      <c r="AC62" s="141"/>
      <c r="AD62" s="247"/>
      <c r="AE62" s="247"/>
      <c r="AF62" s="247"/>
      <c r="AG62" s="247"/>
      <c r="AH62" s="247"/>
      <c r="AI62" s="247"/>
      <c r="AJ62" s="246">
        <f t="shared" ca="1" si="0"/>
        <v>31</v>
      </c>
      <c r="AK62" s="246" t="e">
        <f t="shared" ca="1" si="0"/>
        <v>#VALUE!</v>
      </c>
      <c r="AL62" s="684" t="str">
        <f ca="1">IFERROR(IF(INDIRECT(ADDRESS(ROW()-4,COLUMN()))+1&lt;=AJ62+AK62,INDIRECT(ADDRESS(ROW()-4,COLUMN()))+1,""),"")</f>
        <v/>
      </c>
      <c r="AM62" s="63">
        <f t="shared" ca="1" si="1"/>
        <v>6</v>
      </c>
      <c r="AN62" s="181"/>
      <c r="AO62" s="181"/>
      <c r="AP62" s="247"/>
      <c r="AQ62" s="247"/>
      <c r="AR62" s="682"/>
      <c r="AS62" s="682"/>
      <c r="AT62" s="682"/>
      <c r="AU62" s="682"/>
      <c r="AV62" s="682"/>
      <c r="AW62" s="85"/>
      <c r="AX62" s="85"/>
      <c r="AY62" s="85"/>
      <c r="AZ62" s="85"/>
      <c r="BA62" s="85"/>
      <c r="BB62" s="85"/>
      <c r="BC62" s="85"/>
    </row>
    <row r="63" spans="1:74" s="86" customFormat="1" ht="18" customHeight="1" x14ac:dyDescent="0.2">
      <c r="A63" s="764"/>
      <c r="B63" s="765"/>
      <c r="C63" s="766"/>
      <c r="D63" s="608"/>
      <c r="E63" s="612"/>
      <c r="F63" s="613"/>
      <c r="G63" s="535"/>
      <c r="H63" s="536"/>
      <c r="I63" s="538"/>
      <c r="J63" s="635"/>
      <c r="K63" s="618"/>
      <c r="L63" s="619"/>
      <c r="M63" s="260">
        <v>97911</v>
      </c>
      <c r="N63" s="836"/>
      <c r="O63" s="292">
        <v>100049</v>
      </c>
      <c r="P63" s="674"/>
      <c r="Q63" s="292">
        <v>101489</v>
      </c>
      <c r="R63" s="836"/>
      <c r="S63" s="735"/>
      <c r="T63" s="736"/>
      <c r="U63" s="736"/>
      <c r="V63" s="736"/>
      <c r="W63" s="736"/>
      <c r="X63" s="736"/>
      <c r="Y63" s="736"/>
      <c r="Z63" s="736"/>
      <c r="AA63" s="736"/>
      <c r="AB63" s="737"/>
      <c r="AC63" s="141"/>
      <c r="AD63" s="247"/>
      <c r="AE63" s="247"/>
      <c r="AF63" s="247"/>
      <c r="AG63" s="247"/>
      <c r="AH63" s="247"/>
      <c r="AI63" s="247"/>
      <c r="AJ63" s="246">
        <f t="shared" ca="1" si="0"/>
        <v>31</v>
      </c>
      <c r="AK63" s="246" t="e">
        <f t="shared" ca="1" si="0"/>
        <v>#VALUE!</v>
      </c>
      <c r="AL63" s="684"/>
      <c r="AM63" s="63">
        <f t="shared" ca="1" si="1"/>
        <v>6</v>
      </c>
      <c r="AN63" s="181"/>
      <c r="AO63" s="181"/>
      <c r="AP63" s="247"/>
      <c r="AQ63" s="247"/>
      <c r="AR63" s="682"/>
      <c r="AS63" s="682"/>
      <c r="AT63" s="682"/>
      <c r="AU63" s="682"/>
      <c r="AV63" s="682"/>
      <c r="AW63" s="85"/>
      <c r="AX63" s="85"/>
      <c r="AY63" s="85"/>
      <c r="AZ63" s="85"/>
      <c r="BA63" s="85"/>
      <c r="BB63" s="85"/>
      <c r="BC63" s="85"/>
    </row>
    <row r="64" spans="1:74" s="86" customFormat="1" ht="18" customHeight="1" x14ac:dyDescent="0.2">
      <c r="A64" s="764"/>
      <c r="B64" s="765"/>
      <c r="C64" s="766"/>
      <c r="D64" s="608"/>
      <c r="E64" s="612"/>
      <c r="F64" s="613"/>
      <c r="G64" s="534">
        <v>83413</v>
      </c>
      <c r="H64" s="536"/>
      <c r="I64" s="538"/>
      <c r="J64" s="635"/>
      <c r="K64" s="656" t="s">
        <v>982</v>
      </c>
      <c r="L64" s="657"/>
      <c r="M64" s="259">
        <f>N64*M65+M62</f>
        <v>88782.3</v>
      </c>
      <c r="N64" s="673">
        <v>0.9</v>
      </c>
      <c r="O64" s="291">
        <f>P64*O65+O62</f>
        <v>91062</v>
      </c>
      <c r="P64" s="673">
        <v>0.9</v>
      </c>
      <c r="Q64" s="291">
        <f>R64*Q65+Q62</f>
        <v>95187.6</v>
      </c>
      <c r="R64" s="835">
        <v>0.9</v>
      </c>
      <c r="S64" s="735"/>
      <c r="T64" s="736"/>
      <c r="U64" s="736"/>
      <c r="V64" s="736"/>
      <c r="W64" s="736"/>
      <c r="X64" s="736"/>
      <c r="Y64" s="736"/>
      <c r="Z64" s="736"/>
      <c r="AA64" s="736"/>
      <c r="AB64" s="737"/>
      <c r="AC64" s="141"/>
      <c r="AD64" s="247"/>
      <c r="AE64" s="247"/>
      <c r="AF64" s="247"/>
      <c r="AG64" s="247"/>
      <c r="AH64" s="247"/>
      <c r="AI64" s="247"/>
      <c r="AJ64" s="246">
        <f t="shared" ca="1" si="0"/>
        <v>31</v>
      </c>
      <c r="AK64" s="246" t="e">
        <f t="shared" ca="1" si="0"/>
        <v>#VALUE!</v>
      </c>
      <c r="AL64" s="684"/>
      <c r="AM64" s="63">
        <f t="shared" ca="1" si="1"/>
        <v>6</v>
      </c>
      <c r="AN64" s="181"/>
      <c r="AO64" s="181"/>
      <c r="AP64" s="247"/>
      <c r="AQ64" s="247"/>
      <c r="AR64" s="682"/>
      <c r="AS64" s="682"/>
      <c r="AT64" s="682"/>
      <c r="AU64" s="682"/>
      <c r="AV64" s="682"/>
      <c r="AW64" s="85"/>
      <c r="AX64" s="85"/>
      <c r="AY64" s="85"/>
      <c r="AZ64" s="85"/>
      <c r="BA64" s="85"/>
      <c r="BB64" s="85"/>
      <c r="BC64" s="85"/>
    </row>
    <row r="65" spans="1:55" s="86" customFormat="1" ht="18" customHeight="1" x14ac:dyDescent="0.2">
      <c r="A65" s="767"/>
      <c r="B65" s="768"/>
      <c r="C65" s="769"/>
      <c r="D65" s="609"/>
      <c r="E65" s="614"/>
      <c r="F65" s="615"/>
      <c r="G65" s="535"/>
      <c r="H65" s="515"/>
      <c r="I65" s="539"/>
      <c r="J65" s="636"/>
      <c r="K65" s="658"/>
      <c r="L65" s="659"/>
      <c r="M65" s="260">
        <v>736</v>
      </c>
      <c r="N65" s="674"/>
      <c r="O65" s="292">
        <v>1131</v>
      </c>
      <c r="P65" s="674"/>
      <c r="Q65" s="292">
        <v>4275</v>
      </c>
      <c r="R65" s="836"/>
      <c r="S65" s="738"/>
      <c r="T65" s="739"/>
      <c r="U65" s="739"/>
      <c r="V65" s="739"/>
      <c r="W65" s="739"/>
      <c r="X65" s="739"/>
      <c r="Y65" s="739"/>
      <c r="Z65" s="739"/>
      <c r="AA65" s="739"/>
      <c r="AB65" s="740"/>
      <c r="AC65" s="141"/>
      <c r="AD65" s="247"/>
      <c r="AE65" s="247"/>
      <c r="AF65" s="247"/>
      <c r="AG65" s="247"/>
      <c r="AH65" s="247"/>
      <c r="AI65" s="247"/>
      <c r="AJ65" s="246">
        <f t="shared" ca="1" si="0"/>
        <v>31</v>
      </c>
      <c r="AK65" s="246" t="e">
        <f t="shared" ca="1" si="0"/>
        <v>#VALUE!</v>
      </c>
      <c r="AL65" s="684"/>
      <c r="AM65" s="63">
        <f t="shared" ca="1" si="1"/>
        <v>6</v>
      </c>
      <c r="AN65" s="181"/>
      <c r="AO65" s="181"/>
      <c r="AP65" s="247"/>
      <c r="AQ65" s="247"/>
      <c r="AR65" s="682"/>
      <c r="AS65" s="682"/>
      <c r="AT65" s="682"/>
      <c r="AU65" s="682"/>
      <c r="AV65" s="682"/>
      <c r="AW65" s="85"/>
      <c r="AX65" s="85"/>
      <c r="AY65" s="85"/>
      <c r="AZ65" s="85"/>
      <c r="BA65" s="85"/>
      <c r="BB65" s="85"/>
      <c r="BC65" s="85"/>
    </row>
    <row r="66" spans="1:55" s="86" customFormat="1" ht="15" customHeight="1" x14ac:dyDescent="0.2">
      <c r="A66" s="761" t="s">
        <v>1791</v>
      </c>
      <c r="B66" s="762"/>
      <c r="C66" s="763"/>
      <c r="D66" s="607" t="s">
        <v>1944</v>
      </c>
      <c r="E66" s="610" t="s">
        <v>554</v>
      </c>
      <c r="F66" s="611"/>
      <c r="G66" s="534"/>
      <c r="H66" s="514" t="str">
        <f>IF($G68&lt;&gt;"",$G66/$G68,"")</f>
        <v/>
      </c>
      <c r="I66" s="537">
        <v>2012</v>
      </c>
      <c r="J66" s="634" t="s">
        <v>0</v>
      </c>
      <c r="K66" s="616" t="s">
        <v>981</v>
      </c>
      <c r="L66" s="617"/>
      <c r="M66" s="183"/>
      <c r="N66" s="514" t="str">
        <f>IF(M67&lt;&gt;"",M66/M67,"")</f>
        <v/>
      </c>
      <c r="O66" s="185"/>
      <c r="P66" s="514" t="str">
        <f>IF(O67&lt;&gt;"",O66/O67,"")</f>
        <v/>
      </c>
      <c r="Q66" s="185"/>
      <c r="R66" s="514" t="str">
        <f>IF(Q67&lt;&gt;"",Q66/Q67,"")</f>
        <v/>
      </c>
      <c r="S66" s="812" t="s">
        <v>1947</v>
      </c>
      <c r="T66" s="665"/>
      <c r="U66" s="665"/>
      <c r="V66" s="665"/>
      <c r="W66" s="665"/>
      <c r="X66" s="665"/>
      <c r="Y66" s="665"/>
      <c r="Z66" s="665"/>
      <c r="AA66" s="665"/>
      <c r="AB66" s="666"/>
      <c r="AC66" s="141"/>
      <c r="AD66" s="247"/>
      <c r="AE66" s="247"/>
      <c r="AF66" s="247"/>
      <c r="AG66" s="247"/>
      <c r="AH66" s="247"/>
      <c r="AI66" s="247"/>
      <c r="AJ66" s="246">
        <f t="shared" ca="1" si="0"/>
        <v>31</v>
      </c>
      <c r="AK66" s="246" t="e">
        <f t="shared" ca="1" si="0"/>
        <v>#VALUE!</v>
      </c>
      <c r="AL66" s="684" t="str">
        <f ca="1">IFERROR(IF(INDIRECT(ADDRESS(ROW()-4,COLUMN()))+1&lt;=AJ66+AK66,INDIRECT(ADDRESS(ROW()-4,COLUMN()))+1,""),"")</f>
        <v/>
      </c>
      <c r="AM66" s="63">
        <f t="shared" ca="1" si="1"/>
        <v>6</v>
      </c>
      <c r="AN66" s="181"/>
      <c r="AO66" s="181"/>
      <c r="AP66" s="247"/>
      <c r="AQ66" s="247"/>
      <c r="AR66" s="682"/>
      <c r="AS66" s="682"/>
      <c r="AT66" s="682"/>
      <c r="AU66" s="682"/>
      <c r="AV66" s="682"/>
      <c r="AW66" s="85"/>
      <c r="AX66" s="85"/>
      <c r="AY66" s="85"/>
      <c r="AZ66" s="85"/>
      <c r="BA66" s="85"/>
      <c r="BB66" s="85"/>
      <c r="BC66" s="85"/>
    </row>
    <row r="67" spans="1:55" s="86" customFormat="1" x14ac:dyDescent="0.2">
      <c r="A67" s="764"/>
      <c r="B67" s="765"/>
      <c r="C67" s="766"/>
      <c r="D67" s="608"/>
      <c r="E67" s="612"/>
      <c r="F67" s="613"/>
      <c r="G67" s="535"/>
      <c r="H67" s="536"/>
      <c r="I67" s="538"/>
      <c r="J67" s="635"/>
      <c r="K67" s="618"/>
      <c r="L67" s="619"/>
      <c r="M67" s="184"/>
      <c r="N67" s="515"/>
      <c r="O67" s="186"/>
      <c r="P67" s="515"/>
      <c r="Q67" s="186"/>
      <c r="R67" s="515"/>
      <c r="S67" s="667"/>
      <c r="T67" s="668"/>
      <c r="U67" s="668"/>
      <c r="V67" s="668"/>
      <c r="W67" s="668"/>
      <c r="X67" s="668"/>
      <c r="Y67" s="668"/>
      <c r="Z67" s="668"/>
      <c r="AA67" s="668"/>
      <c r="AB67" s="669"/>
      <c r="AC67" s="141"/>
      <c r="AD67" s="247"/>
      <c r="AE67" s="247"/>
      <c r="AF67" s="247"/>
      <c r="AG67" s="247"/>
      <c r="AH67" s="247"/>
      <c r="AI67" s="247"/>
      <c r="AJ67" s="246">
        <f t="shared" ca="1" si="0"/>
        <v>31</v>
      </c>
      <c r="AK67" s="246" t="e">
        <f t="shared" ca="1" si="0"/>
        <v>#VALUE!</v>
      </c>
      <c r="AL67" s="684"/>
      <c r="AM67" s="63">
        <f t="shared" ca="1" si="1"/>
        <v>6</v>
      </c>
      <c r="AN67" s="181"/>
      <c r="AO67" s="181"/>
      <c r="AP67" s="247"/>
      <c r="AQ67" s="247"/>
      <c r="AR67" s="682"/>
      <c r="AS67" s="682"/>
      <c r="AT67" s="682"/>
      <c r="AU67" s="682"/>
      <c r="AV67" s="682"/>
      <c r="AW67" s="85"/>
      <c r="AX67" s="85"/>
      <c r="AY67" s="85"/>
      <c r="AZ67" s="85"/>
      <c r="BA67" s="85"/>
      <c r="BB67" s="85"/>
      <c r="BC67" s="85"/>
    </row>
    <row r="68" spans="1:55" s="86" customFormat="1" ht="15" customHeight="1" x14ac:dyDescent="0.2">
      <c r="A68" s="764"/>
      <c r="B68" s="765"/>
      <c r="C68" s="766"/>
      <c r="D68" s="608"/>
      <c r="E68" s="612"/>
      <c r="F68" s="613"/>
      <c r="G68" s="534"/>
      <c r="H68" s="536"/>
      <c r="I68" s="538"/>
      <c r="J68" s="635"/>
      <c r="K68" s="656" t="s">
        <v>982</v>
      </c>
      <c r="L68" s="657"/>
      <c r="M68" s="183"/>
      <c r="N68" s="514" t="str">
        <f>IF(M69&lt;&gt;"",M68/M69,"")</f>
        <v/>
      </c>
      <c r="O68" s="185"/>
      <c r="P68" s="514" t="str">
        <f>IF(O69&lt;&gt;"",O68/O69,"")</f>
        <v/>
      </c>
      <c r="Q68" s="185"/>
      <c r="R68" s="514" t="str">
        <f>IF(Q69&lt;&gt;"",Q68/Q69,"")</f>
        <v/>
      </c>
      <c r="S68" s="667"/>
      <c r="T68" s="668"/>
      <c r="U68" s="668"/>
      <c r="V68" s="668"/>
      <c r="W68" s="668"/>
      <c r="X68" s="668"/>
      <c r="Y68" s="668"/>
      <c r="Z68" s="668"/>
      <c r="AA68" s="668"/>
      <c r="AB68" s="669"/>
      <c r="AC68" s="141"/>
      <c r="AD68" s="247"/>
      <c r="AE68" s="247"/>
      <c r="AF68" s="247"/>
      <c r="AG68" s="247"/>
      <c r="AH68" s="247"/>
      <c r="AI68" s="247"/>
      <c r="AJ68" s="246">
        <f t="shared" ca="1" si="0"/>
        <v>31</v>
      </c>
      <c r="AK68" s="246" t="e">
        <f t="shared" ca="1" si="0"/>
        <v>#VALUE!</v>
      </c>
      <c r="AL68" s="684"/>
      <c r="AM68" s="63">
        <f t="shared" ca="1" si="1"/>
        <v>6</v>
      </c>
      <c r="AN68" s="181"/>
      <c r="AO68" s="181"/>
      <c r="AP68" s="247"/>
      <c r="AQ68" s="247"/>
      <c r="AR68" s="682"/>
      <c r="AS68" s="682"/>
      <c r="AT68" s="682"/>
      <c r="AU68" s="682"/>
      <c r="AV68" s="682"/>
      <c r="AW68" s="85"/>
      <c r="AX68" s="85"/>
      <c r="AY68" s="85"/>
      <c r="AZ68" s="85"/>
      <c r="BA68" s="85"/>
      <c r="BB68" s="85"/>
      <c r="BC68" s="85"/>
    </row>
    <row r="69" spans="1:55" s="86" customFormat="1" x14ac:dyDescent="0.2">
      <c r="A69" s="767"/>
      <c r="B69" s="768"/>
      <c r="C69" s="769"/>
      <c r="D69" s="609"/>
      <c r="E69" s="614"/>
      <c r="F69" s="615"/>
      <c r="G69" s="535"/>
      <c r="H69" s="515"/>
      <c r="I69" s="539"/>
      <c r="J69" s="636"/>
      <c r="K69" s="658"/>
      <c r="L69" s="659"/>
      <c r="M69" s="184"/>
      <c r="N69" s="515"/>
      <c r="O69" s="186"/>
      <c r="P69" s="515"/>
      <c r="Q69" s="186"/>
      <c r="R69" s="515"/>
      <c r="S69" s="670"/>
      <c r="T69" s="671"/>
      <c r="U69" s="671"/>
      <c r="V69" s="671"/>
      <c r="W69" s="671"/>
      <c r="X69" s="671"/>
      <c r="Y69" s="671"/>
      <c r="Z69" s="671"/>
      <c r="AA69" s="671"/>
      <c r="AB69" s="672"/>
      <c r="AC69" s="141"/>
      <c r="AD69" s="247"/>
      <c r="AE69" s="247"/>
      <c r="AF69" s="247"/>
      <c r="AG69" s="247"/>
      <c r="AH69" s="247"/>
      <c r="AI69" s="247"/>
      <c r="AJ69" s="246">
        <f t="shared" ca="1" si="0"/>
        <v>31</v>
      </c>
      <c r="AK69" s="246" t="e">
        <f t="shared" ca="1" si="0"/>
        <v>#VALUE!</v>
      </c>
      <c r="AL69" s="684"/>
      <c r="AM69" s="63">
        <f t="shared" ca="1" si="1"/>
        <v>6</v>
      </c>
      <c r="AN69" s="181"/>
      <c r="AO69" s="181"/>
      <c r="AP69" s="247"/>
      <c r="AQ69" s="247"/>
      <c r="AR69" s="682"/>
      <c r="AS69" s="682"/>
      <c r="AT69" s="682"/>
      <c r="AU69" s="682"/>
      <c r="AV69" s="682"/>
      <c r="AW69" s="85"/>
      <c r="AX69" s="85"/>
      <c r="AY69" s="85"/>
      <c r="AZ69" s="85"/>
      <c r="BA69" s="85"/>
      <c r="BB69" s="85"/>
      <c r="BC69" s="85"/>
    </row>
    <row r="70" spans="1:55" s="86" customFormat="1" ht="15" customHeight="1" x14ac:dyDescent="0.2">
      <c r="A70" s="761" t="s">
        <v>1792</v>
      </c>
      <c r="B70" s="762"/>
      <c r="C70" s="763"/>
      <c r="D70" s="607" t="s">
        <v>2005</v>
      </c>
      <c r="E70" s="610" t="s">
        <v>554</v>
      </c>
      <c r="F70" s="611"/>
      <c r="G70" s="534"/>
      <c r="H70" s="514" t="str">
        <f>IF($G72&lt;&gt;"",$G70/$G72,"")</f>
        <v/>
      </c>
      <c r="I70" s="537"/>
      <c r="J70" s="634" t="s">
        <v>0</v>
      </c>
      <c r="K70" s="616" t="s">
        <v>981</v>
      </c>
      <c r="L70" s="617"/>
      <c r="M70" s="183"/>
      <c r="N70" s="514" t="str">
        <f>IF(M71&lt;&gt;"",M70/M71,"")</f>
        <v/>
      </c>
      <c r="O70" s="185"/>
      <c r="P70" s="514" t="str">
        <f>IF(O71&lt;&gt;"",O70/O71,"")</f>
        <v/>
      </c>
      <c r="Q70" s="185"/>
      <c r="R70" s="514" t="str">
        <f>IF(Q71&lt;&gt;"",Q70/Q71,"")</f>
        <v/>
      </c>
      <c r="S70" s="812" t="s">
        <v>1977</v>
      </c>
      <c r="T70" s="665"/>
      <c r="U70" s="665"/>
      <c r="V70" s="665"/>
      <c r="W70" s="665"/>
      <c r="X70" s="665"/>
      <c r="Y70" s="665"/>
      <c r="Z70" s="665"/>
      <c r="AA70" s="665"/>
      <c r="AB70" s="666"/>
      <c r="AC70" s="141"/>
      <c r="AD70" s="247"/>
      <c r="AE70" s="247"/>
      <c r="AF70" s="247"/>
      <c r="AG70" s="247"/>
      <c r="AH70" s="247"/>
      <c r="AI70" s="247"/>
      <c r="AJ70" s="246">
        <f t="shared" ca="1" si="0"/>
        <v>31</v>
      </c>
      <c r="AK70" s="246" t="e">
        <f t="shared" ca="1" si="0"/>
        <v>#VALUE!</v>
      </c>
      <c r="AL70" s="684" t="str">
        <f ca="1">IFERROR(IF(INDIRECT(ADDRESS(ROW()-4,COLUMN()))+1&lt;=AJ70+AK70,INDIRECT(ADDRESS(ROW()-4,COLUMN()))+1,""),"")</f>
        <v/>
      </c>
      <c r="AM70" s="63">
        <f t="shared" ca="1" si="1"/>
        <v>6</v>
      </c>
      <c r="AN70" s="181"/>
      <c r="AO70" s="181"/>
      <c r="AP70" s="247"/>
      <c r="AQ70" s="247"/>
      <c r="AR70" s="682"/>
      <c r="AS70" s="682"/>
      <c r="AT70" s="682"/>
      <c r="AU70" s="682"/>
      <c r="AV70" s="682"/>
      <c r="AW70" s="85"/>
      <c r="AX70" s="85"/>
      <c r="AY70" s="85"/>
      <c r="AZ70" s="85"/>
      <c r="BA70" s="85"/>
      <c r="BB70" s="85"/>
      <c r="BC70" s="85"/>
    </row>
    <row r="71" spans="1:55" s="86" customFormat="1" x14ac:dyDescent="0.2">
      <c r="A71" s="764"/>
      <c r="B71" s="765"/>
      <c r="C71" s="766"/>
      <c r="D71" s="608"/>
      <c r="E71" s="612"/>
      <c r="F71" s="613"/>
      <c r="G71" s="535"/>
      <c r="H71" s="536"/>
      <c r="I71" s="538"/>
      <c r="J71" s="635"/>
      <c r="K71" s="618"/>
      <c r="L71" s="619"/>
      <c r="M71" s="184"/>
      <c r="N71" s="515"/>
      <c r="O71" s="186"/>
      <c r="P71" s="515"/>
      <c r="Q71" s="186"/>
      <c r="R71" s="515"/>
      <c r="S71" s="667"/>
      <c r="T71" s="668"/>
      <c r="U71" s="668"/>
      <c r="V71" s="668"/>
      <c r="W71" s="668"/>
      <c r="X71" s="668"/>
      <c r="Y71" s="668"/>
      <c r="Z71" s="668"/>
      <c r="AA71" s="668"/>
      <c r="AB71" s="669"/>
      <c r="AC71" s="141"/>
      <c r="AD71" s="247"/>
      <c r="AE71" s="247"/>
      <c r="AF71" s="247"/>
      <c r="AG71" s="247"/>
      <c r="AH71" s="247"/>
      <c r="AI71" s="247"/>
      <c r="AJ71" s="246">
        <f t="shared" ca="1" si="0"/>
        <v>31</v>
      </c>
      <c r="AK71" s="246" t="e">
        <f t="shared" ca="1" si="0"/>
        <v>#VALUE!</v>
      </c>
      <c r="AL71" s="684"/>
      <c r="AM71" s="63">
        <f t="shared" ca="1" si="1"/>
        <v>6</v>
      </c>
      <c r="AN71" s="181"/>
      <c r="AO71" s="181"/>
      <c r="AP71" s="247"/>
      <c r="AQ71" s="247"/>
      <c r="AR71" s="682"/>
      <c r="AS71" s="682"/>
      <c r="AT71" s="682"/>
      <c r="AU71" s="682"/>
      <c r="AV71" s="682"/>
      <c r="AW71" s="85"/>
      <c r="AX71" s="85"/>
      <c r="AY71" s="85"/>
      <c r="AZ71" s="85"/>
      <c r="BA71" s="85"/>
      <c r="BB71" s="85"/>
      <c r="BC71" s="85"/>
    </row>
    <row r="72" spans="1:55" s="86" customFormat="1" ht="15" customHeight="1" x14ac:dyDescent="0.2">
      <c r="A72" s="764"/>
      <c r="B72" s="765"/>
      <c r="C72" s="766"/>
      <c r="D72" s="608"/>
      <c r="E72" s="612"/>
      <c r="F72" s="613"/>
      <c r="G72" s="534"/>
      <c r="H72" s="536"/>
      <c r="I72" s="538"/>
      <c r="J72" s="635"/>
      <c r="K72" s="656" t="s">
        <v>982</v>
      </c>
      <c r="L72" s="657"/>
      <c r="M72" s="183"/>
      <c r="N72" s="514" t="str">
        <f>IF(M73&lt;&gt;"",M72/M73,"")</f>
        <v/>
      </c>
      <c r="O72" s="185"/>
      <c r="P72" s="514" t="str">
        <f>IF(O73&lt;&gt;"",O72/O73,"")</f>
        <v/>
      </c>
      <c r="Q72" s="185"/>
      <c r="R72" s="514" t="str">
        <f>IF(Q73&lt;&gt;"",Q72/Q73,"")</f>
        <v/>
      </c>
      <c r="S72" s="667"/>
      <c r="T72" s="668"/>
      <c r="U72" s="668"/>
      <c r="V72" s="668"/>
      <c r="W72" s="668"/>
      <c r="X72" s="668"/>
      <c r="Y72" s="668"/>
      <c r="Z72" s="668"/>
      <c r="AA72" s="668"/>
      <c r="AB72" s="669"/>
      <c r="AC72" s="141"/>
      <c r="AD72" s="247"/>
      <c r="AE72" s="247"/>
      <c r="AF72" s="247"/>
      <c r="AG72" s="247"/>
      <c r="AH72" s="247"/>
      <c r="AI72" s="247"/>
      <c r="AJ72" s="246">
        <f t="shared" ca="1" si="0"/>
        <v>31</v>
      </c>
      <c r="AK72" s="246" t="e">
        <f t="shared" ca="1" si="0"/>
        <v>#VALUE!</v>
      </c>
      <c r="AL72" s="684"/>
      <c r="AM72" s="63">
        <f t="shared" ca="1" si="1"/>
        <v>6</v>
      </c>
      <c r="AN72" s="181"/>
      <c r="AO72" s="181"/>
      <c r="AP72" s="247"/>
      <c r="AQ72" s="247"/>
      <c r="AR72" s="682"/>
      <c r="AS72" s="682"/>
      <c r="AT72" s="682"/>
      <c r="AU72" s="682"/>
      <c r="AV72" s="682"/>
      <c r="AW72" s="85"/>
      <c r="AX72" s="85"/>
      <c r="AY72" s="85"/>
      <c r="AZ72" s="85"/>
      <c r="BA72" s="85"/>
      <c r="BB72" s="85"/>
      <c r="BC72" s="85"/>
    </row>
    <row r="73" spans="1:55" s="86" customFormat="1" x14ac:dyDescent="0.2">
      <c r="A73" s="767"/>
      <c r="B73" s="768"/>
      <c r="C73" s="769"/>
      <c r="D73" s="609"/>
      <c r="E73" s="614"/>
      <c r="F73" s="615"/>
      <c r="G73" s="535"/>
      <c r="H73" s="515"/>
      <c r="I73" s="539"/>
      <c r="J73" s="636"/>
      <c r="K73" s="658"/>
      <c r="L73" s="659"/>
      <c r="M73" s="184"/>
      <c r="N73" s="515"/>
      <c r="O73" s="186"/>
      <c r="P73" s="515"/>
      <c r="Q73" s="186"/>
      <c r="R73" s="515"/>
      <c r="S73" s="670"/>
      <c r="T73" s="671"/>
      <c r="U73" s="671"/>
      <c r="V73" s="671"/>
      <c r="W73" s="671"/>
      <c r="X73" s="671"/>
      <c r="Y73" s="671"/>
      <c r="Z73" s="671"/>
      <c r="AA73" s="671"/>
      <c r="AB73" s="672"/>
      <c r="AC73" s="141"/>
      <c r="AD73" s="247"/>
      <c r="AE73" s="247"/>
      <c r="AF73" s="247"/>
      <c r="AG73" s="247"/>
      <c r="AH73" s="247"/>
      <c r="AI73" s="247"/>
      <c r="AJ73" s="246">
        <f t="shared" ca="1" si="0"/>
        <v>31</v>
      </c>
      <c r="AK73" s="246" t="e">
        <f t="shared" ca="1" si="0"/>
        <v>#VALUE!</v>
      </c>
      <c r="AL73" s="684"/>
      <c r="AM73" s="63">
        <f t="shared" ca="1" si="1"/>
        <v>6</v>
      </c>
      <c r="AN73" s="181"/>
      <c r="AO73" s="181"/>
      <c r="AP73" s="247"/>
      <c r="AQ73" s="247"/>
      <c r="AR73" s="682"/>
      <c r="AS73" s="682"/>
      <c r="AT73" s="682"/>
      <c r="AU73" s="682"/>
      <c r="AV73" s="682"/>
      <c r="AW73" s="85"/>
      <c r="AX73" s="85"/>
      <c r="AY73" s="85"/>
      <c r="AZ73" s="85"/>
      <c r="BA73" s="85"/>
      <c r="BB73" s="85"/>
      <c r="BC73" s="85"/>
    </row>
    <row r="74" spans="1:55" s="86" customFormat="1" ht="27" customHeight="1" x14ac:dyDescent="0.2">
      <c r="A74" s="761" t="s">
        <v>1793</v>
      </c>
      <c r="B74" s="762"/>
      <c r="C74" s="763"/>
      <c r="D74" s="607" t="s">
        <v>1408</v>
      </c>
      <c r="E74" s="610" t="s">
        <v>554</v>
      </c>
      <c r="F74" s="611"/>
      <c r="G74" s="534">
        <v>39574</v>
      </c>
      <c r="H74" s="514">
        <f>IF($G76&lt;&gt;"",$G74/$G76,"")</f>
        <v>0.17560269966853181</v>
      </c>
      <c r="I74" s="537">
        <v>2012</v>
      </c>
      <c r="J74" s="634" t="s">
        <v>0</v>
      </c>
      <c r="K74" s="616" t="s">
        <v>981</v>
      </c>
      <c r="L74" s="617"/>
      <c r="M74" s="259">
        <v>1560</v>
      </c>
      <c r="N74" s="831">
        <f>IF(M75&lt;&gt;"",M74/M75,"")</f>
        <v>7.1697436816633804E-3</v>
      </c>
      <c r="O74" s="291">
        <v>8280</v>
      </c>
      <c r="P74" s="837">
        <f>IF(O75&lt;&gt;"",O74/O75,"")</f>
        <v>3.7241770153509858E-2</v>
      </c>
      <c r="Q74" s="291">
        <v>14400</v>
      </c>
      <c r="R74" s="831">
        <f>IF(Q75&lt;&gt;"",Q74/Q75,"")</f>
        <v>6.3849315615148255E-2</v>
      </c>
      <c r="S74" s="833" t="s">
        <v>1978</v>
      </c>
      <c r="T74" s="733"/>
      <c r="U74" s="733"/>
      <c r="V74" s="733"/>
      <c r="W74" s="733"/>
      <c r="X74" s="733"/>
      <c r="Y74" s="733"/>
      <c r="Z74" s="733"/>
      <c r="AA74" s="733"/>
      <c r="AB74" s="734"/>
      <c r="AC74" s="141"/>
      <c r="AD74" s="247"/>
      <c r="AE74" s="247"/>
      <c r="AF74" s="247"/>
      <c r="AG74" s="247"/>
      <c r="AH74" s="247"/>
      <c r="AI74" s="247"/>
      <c r="AJ74" s="246">
        <f t="shared" ca="1" si="0"/>
        <v>31</v>
      </c>
      <c r="AK74" s="246" t="e">
        <f t="shared" ca="1" si="0"/>
        <v>#VALUE!</v>
      </c>
      <c r="AL74" s="684" t="str">
        <f ca="1">IFERROR(IF(INDIRECT(ADDRESS(ROW()-4,COLUMN()))+1&lt;=AJ74+AK74,INDIRECT(ADDRESS(ROW()-4,COLUMN()))+1,""),"")</f>
        <v/>
      </c>
      <c r="AM74" s="63">
        <f t="shared" ca="1" si="1"/>
        <v>6</v>
      </c>
      <c r="AN74" s="181"/>
      <c r="AO74" s="181"/>
      <c r="AP74" s="247"/>
      <c r="AQ74" s="247"/>
      <c r="AR74" s="682"/>
      <c r="AS74" s="682"/>
      <c r="AT74" s="682"/>
      <c r="AU74" s="682"/>
      <c r="AV74" s="682"/>
      <c r="AW74" s="85"/>
      <c r="AX74" s="85"/>
      <c r="AY74" s="85"/>
      <c r="AZ74" s="85"/>
      <c r="BA74" s="85"/>
      <c r="BB74" s="85"/>
      <c r="BC74" s="85"/>
    </row>
    <row r="75" spans="1:55" s="86" customFormat="1" ht="27" customHeight="1" x14ac:dyDescent="0.2">
      <c r="A75" s="764"/>
      <c r="B75" s="765"/>
      <c r="C75" s="766"/>
      <c r="D75" s="608"/>
      <c r="E75" s="612"/>
      <c r="F75" s="613"/>
      <c r="G75" s="535"/>
      <c r="H75" s="536"/>
      <c r="I75" s="538"/>
      <c r="J75" s="635"/>
      <c r="K75" s="618"/>
      <c r="L75" s="619"/>
      <c r="M75" s="260">
        <f>M54</f>
        <v>217581</v>
      </c>
      <c r="N75" s="832"/>
      <c r="O75" s="292">
        <f>O54</f>
        <v>222331</v>
      </c>
      <c r="P75" s="838"/>
      <c r="Q75" s="292">
        <f>Q54</f>
        <v>225531</v>
      </c>
      <c r="R75" s="832"/>
      <c r="S75" s="735"/>
      <c r="T75" s="736"/>
      <c r="U75" s="736"/>
      <c r="V75" s="736"/>
      <c r="W75" s="736"/>
      <c r="X75" s="736"/>
      <c r="Y75" s="736"/>
      <c r="Z75" s="736"/>
      <c r="AA75" s="736"/>
      <c r="AB75" s="737"/>
      <c r="AC75" s="141"/>
      <c r="AD75" s="247"/>
      <c r="AE75" s="247"/>
      <c r="AF75" s="247"/>
      <c r="AG75" s="247"/>
      <c r="AH75" s="247"/>
      <c r="AI75" s="247"/>
      <c r="AJ75" s="246">
        <f t="shared" ca="1" si="0"/>
        <v>31</v>
      </c>
      <c r="AK75" s="246" t="e">
        <f t="shared" ca="1" si="0"/>
        <v>#VALUE!</v>
      </c>
      <c r="AL75" s="684"/>
      <c r="AM75" s="63">
        <f t="shared" ca="1" si="1"/>
        <v>6</v>
      </c>
      <c r="AN75" s="181"/>
      <c r="AO75" s="181"/>
      <c r="AP75" s="247"/>
      <c r="AQ75" s="247"/>
      <c r="AR75" s="682"/>
      <c r="AS75" s="682"/>
      <c r="AT75" s="682"/>
      <c r="AU75" s="682"/>
      <c r="AV75" s="682"/>
      <c r="AW75" s="85"/>
      <c r="AX75" s="85"/>
      <c r="AY75" s="85"/>
      <c r="AZ75" s="85"/>
      <c r="BA75" s="85"/>
      <c r="BB75" s="85"/>
      <c r="BC75" s="85"/>
    </row>
    <row r="76" spans="1:55" s="86" customFormat="1" ht="27" customHeight="1" x14ac:dyDescent="0.2">
      <c r="A76" s="764"/>
      <c r="B76" s="765"/>
      <c r="C76" s="766"/>
      <c r="D76" s="608"/>
      <c r="E76" s="612"/>
      <c r="F76" s="613"/>
      <c r="G76" s="534">
        <v>225361</v>
      </c>
      <c r="H76" s="536"/>
      <c r="I76" s="538"/>
      <c r="J76" s="635"/>
      <c r="K76" s="656" t="s">
        <v>982</v>
      </c>
      <c r="L76" s="657"/>
      <c r="M76" s="259">
        <f>M74</f>
        <v>1560</v>
      </c>
      <c r="N76" s="311">
        <f>IF(M77&lt;&gt;"",M76/M77,"")</f>
        <v>7.1697436816633804E-3</v>
      </c>
      <c r="O76" s="291">
        <v>8280</v>
      </c>
      <c r="P76" s="337">
        <f>IF(O77&lt;&gt;"",O76/O77,"")</f>
        <v>3.7241770153509858E-2</v>
      </c>
      <c r="Q76" s="291">
        <v>14400</v>
      </c>
      <c r="R76" s="311">
        <f>IF(Q77&lt;&gt;"",Q76/Q77,"")</f>
        <v>6.3849315615148255E-2</v>
      </c>
      <c r="S76" s="735"/>
      <c r="T76" s="736"/>
      <c r="U76" s="736"/>
      <c r="V76" s="736"/>
      <c r="W76" s="736"/>
      <c r="X76" s="736"/>
      <c r="Y76" s="736"/>
      <c r="Z76" s="736"/>
      <c r="AA76" s="736"/>
      <c r="AB76" s="737"/>
      <c r="AC76" s="141"/>
      <c r="AD76" s="247"/>
      <c r="AE76" s="247"/>
      <c r="AF76" s="247"/>
      <c r="AG76" s="247"/>
      <c r="AH76" s="247"/>
      <c r="AI76" s="247"/>
      <c r="AJ76" s="246">
        <f t="shared" ca="1" si="0"/>
        <v>31</v>
      </c>
      <c r="AK76" s="246" t="e">
        <f t="shared" ca="1" si="0"/>
        <v>#VALUE!</v>
      </c>
      <c r="AL76" s="684"/>
      <c r="AM76" s="63">
        <f t="shared" ca="1" si="1"/>
        <v>6</v>
      </c>
      <c r="AN76" s="181"/>
      <c r="AO76" s="181"/>
      <c r="AP76" s="247"/>
      <c r="AQ76" s="247"/>
      <c r="AR76" s="682"/>
      <c r="AS76" s="682"/>
      <c r="AT76" s="682"/>
      <c r="AU76" s="682"/>
      <c r="AV76" s="682"/>
      <c r="AW76" s="85"/>
      <c r="AX76" s="85"/>
      <c r="AY76" s="85"/>
      <c r="AZ76" s="85"/>
      <c r="BA76" s="85"/>
      <c r="BB76" s="85"/>
      <c r="BC76" s="85"/>
    </row>
    <row r="77" spans="1:55" s="86" customFormat="1" ht="27" customHeight="1" x14ac:dyDescent="0.2">
      <c r="A77" s="767"/>
      <c r="B77" s="768"/>
      <c r="C77" s="769"/>
      <c r="D77" s="609"/>
      <c r="E77" s="614"/>
      <c r="F77" s="615"/>
      <c r="G77" s="535"/>
      <c r="H77" s="515"/>
      <c r="I77" s="539"/>
      <c r="J77" s="636"/>
      <c r="K77" s="658"/>
      <c r="L77" s="659"/>
      <c r="M77" s="260">
        <f>M75</f>
        <v>217581</v>
      </c>
      <c r="N77" s="312"/>
      <c r="O77" s="292">
        <f>O75</f>
        <v>222331</v>
      </c>
      <c r="P77" s="310"/>
      <c r="Q77" s="292">
        <f>Q75</f>
        <v>225531</v>
      </c>
      <c r="R77" s="312"/>
      <c r="S77" s="738"/>
      <c r="T77" s="739"/>
      <c r="U77" s="739"/>
      <c r="V77" s="739"/>
      <c r="W77" s="739"/>
      <c r="X77" s="739"/>
      <c r="Y77" s="739"/>
      <c r="Z77" s="739"/>
      <c r="AA77" s="739"/>
      <c r="AB77" s="740"/>
      <c r="AC77" s="141"/>
      <c r="AD77" s="247"/>
      <c r="AE77" s="247"/>
      <c r="AF77" s="247"/>
      <c r="AG77" s="247"/>
      <c r="AH77" s="247"/>
      <c r="AI77" s="247"/>
      <c r="AJ77" s="246">
        <f t="shared" ca="1" si="0"/>
        <v>31</v>
      </c>
      <c r="AK77" s="246" t="e">
        <f t="shared" ca="1" si="0"/>
        <v>#VALUE!</v>
      </c>
      <c r="AL77" s="684"/>
      <c r="AM77" s="63">
        <f t="shared" ca="1" si="1"/>
        <v>6</v>
      </c>
      <c r="AN77" s="181"/>
      <c r="AO77" s="181"/>
      <c r="AP77" s="247"/>
      <c r="AQ77" s="247"/>
      <c r="AR77" s="682"/>
      <c r="AS77" s="682"/>
      <c r="AT77" s="682"/>
      <c r="AU77" s="682"/>
      <c r="AV77" s="682"/>
      <c r="AW77" s="85"/>
      <c r="AX77" s="85"/>
      <c r="AY77" s="85"/>
      <c r="AZ77" s="85"/>
      <c r="BA77" s="85"/>
      <c r="BB77" s="85"/>
      <c r="BC77" s="85"/>
    </row>
    <row r="78" spans="1:55" s="86" customFormat="1" ht="34.5" customHeight="1" x14ac:dyDescent="0.2">
      <c r="A78" s="761" t="s">
        <v>1794</v>
      </c>
      <c r="B78" s="762"/>
      <c r="C78" s="763"/>
      <c r="D78" s="607" t="s">
        <v>1408</v>
      </c>
      <c r="E78" s="610" t="s">
        <v>554</v>
      </c>
      <c r="F78" s="611"/>
      <c r="G78" s="534">
        <v>8500</v>
      </c>
      <c r="H78" s="514">
        <f>IF($G80&lt;&gt;"",$G78/$G80,"")</f>
        <v>3.9535435378168067E-2</v>
      </c>
      <c r="I78" s="537">
        <v>2012</v>
      </c>
      <c r="J78" s="634" t="s">
        <v>0</v>
      </c>
      <c r="K78" s="616" t="s">
        <v>981</v>
      </c>
      <c r="L78" s="617"/>
      <c r="M78" s="183">
        <v>3000</v>
      </c>
      <c r="N78" s="514">
        <f>IF(M79&lt;&gt;"",M78/M79,"")</f>
        <v>1.3787968618583423E-2</v>
      </c>
      <c r="O78" s="185">
        <v>3600</v>
      </c>
      <c r="P78" s="662">
        <f>IF(O79&lt;&gt;"",O78/O79,"")</f>
        <v>1.6192073979786895E-2</v>
      </c>
      <c r="Q78" s="185">
        <v>4000</v>
      </c>
      <c r="R78" s="839">
        <f>IF(Q79&lt;&gt;"",Q78/Q79,"")</f>
        <v>1.7735921004207848E-2</v>
      </c>
      <c r="S78" s="812" t="s">
        <v>1979</v>
      </c>
      <c r="T78" s="665"/>
      <c r="U78" s="665"/>
      <c r="V78" s="665"/>
      <c r="W78" s="665"/>
      <c r="X78" s="665"/>
      <c r="Y78" s="665"/>
      <c r="Z78" s="665"/>
      <c r="AA78" s="665"/>
      <c r="AB78" s="666"/>
      <c r="AC78" s="141"/>
      <c r="AD78" s="247"/>
      <c r="AE78" s="247"/>
      <c r="AF78" s="247"/>
      <c r="AG78" s="247"/>
      <c r="AH78" s="247"/>
      <c r="AI78" s="247"/>
      <c r="AJ78" s="246">
        <f t="shared" ca="1" si="0"/>
        <v>31</v>
      </c>
      <c r="AK78" s="246" t="e">
        <f t="shared" ca="1" si="0"/>
        <v>#VALUE!</v>
      </c>
      <c r="AL78" s="684" t="str">
        <f ca="1">IFERROR(IF(INDIRECT(ADDRESS(ROW()-4,COLUMN()))+1&lt;=AJ78+AK78,INDIRECT(ADDRESS(ROW()-4,COLUMN()))+1,""),"")</f>
        <v/>
      </c>
      <c r="AM78" s="63">
        <f t="shared" ca="1" si="1"/>
        <v>6</v>
      </c>
      <c r="AN78" s="181"/>
      <c r="AO78" s="181"/>
      <c r="AP78" s="247"/>
      <c r="AQ78" s="247"/>
      <c r="AR78" s="682"/>
      <c r="AS78" s="682"/>
      <c r="AT78" s="682"/>
      <c r="AU78" s="682"/>
      <c r="AV78" s="682"/>
      <c r="AW78" s="85"/>
      <c r="AX78" s="85"/>
      <c r="AY78" s="85"/>
      <c r="AZ78" s="85"/>
      <c r="BA78" s="85"/>
      <c r="BB78" s="85"/>
      <c r="BC78" s="85"/>
    </row>
    <row r="79" spans="1:55" s="86" customFormat="1" ht="34.5" customHeight="1" x14ac:dyDescent="0.2">
      <c r="A79" s="764"/>
      <c r="B79" s="765"/>
      <c r="C79" s="766"/>
      <c r="D79" s="608"/>
      <c r="E79" s="612"/>
      <c r="F79" s="613"/>
      <c r="G79" s="535"/>
      <c r="H79" s="536"/>
      <c r="I79" s="538"/>
      <c r="J79" s="635"/>
      <c r="K79" s="618"/>
      <c r="L79" s="619"/>
      <c r="M79" s="184">
        <v>217581</v>
      </c>
      <c r="N79" s="515"/>
      <c r="O79" s="186">
        <v>222331</v>
      </c>
      <c r="P79" s="663"/>
      <c r="Q79" s="186">
        <v>225531</v>
      </c>
      <c r="R79" s="840"/>
      <c r="S79" s="667"/>
      <c r="T79" s="668"/>
      <c r="U79" s="668"/>
      <c r="V79" s="668"/>
      <c r="W79" s="668"/>
      <c r="X79" s="668"/>
      <c r="Y79" s="668"/>
      <c r="Z79" s="668"/>
      <c r="AA79" s="668"/>
      <c r="AB79" s="669"/>
      <c r="AC79" s="141"/>
      <c r="AD79" s="247"/>
      <c r="AE79" s="247"/>
      <c r="AF79" s="247"/>
      <c r="AG79" s="247"/>
      <c r="AH79" s="247"/>
      <c r="AI79" s="247"/>
      <c r="AJ79" s="246">
        <f t="shared" ca="1" si="0"/>
        <v>31</v>
      </c>
      <c r="AK79" s="246" t="e">
        <f t="shared" ca="1" si="0"/>
        <v>#VALUE!</v>
      </c>
      <c r="AL79" s="684"/>
      <c r="AM79" s="63">
        <f t="shared" ca="1" si="1"/>
        <v>6</v>
      </c>
      <c r="AN79" s="181"/>
      <c r="AO79" s="181"/>
      <c r="AP79" s="247"/>
      <c r="AQ79" s="247"/>
      <c r="AR79" s="682"/>
      <c r="AS79" s="682"/>
      <c r="AT79" s="682"/>
      <c r="AU79" s="682"/>
      <c r="AV79" s="682"/>
      <c r="AW79" s="85"/>
      <c r="AX79" s="85"/>
      <c r="AY79" s="85"/>
      <c r="AZ79" s="85"/>
      <c r="BA79" s="85"/>
      <c r="BB79" s="85"/>
      <c r="BC79" s="85"/>
    </row>
    <row r="80" spans="1:55" s="86" customFormat="1" ht="34.5" customHeight="1" x14ac:dyDescent="0.2">
      <c r="A80" s="764"/>
      <c r="B80" s="765"/>
      <c r="C80" s="766"/>
      <c r="D80" s="608"/>
      <c r="E80" s="612"/>
      <c r="F80" s="613"/>
      <c r="G80" s="534">
        <v>214997</v>
      </c>
      <c r="H80" s="536"/>
      <c r="I80" s="538"/>
      <c r="J80" s="635"/>
      <c r="K80" s="656" t="s">
        <v>982</v>
      </c>
      <c r="L80" s="657"/>
      <c r="M80" s="183">
        <f>M78</f>
        <v>3000</v>
      </c>
      <c r="N80" s="514">
        <f>IF(M81&lt;&gt;"",M80/M81,"")</f>
        <v>1.3787968618583423E-2</v>
      </c>
      <c r="O80" s="185">
        <f>O78</f>
        <v>3600</v>
      </c>
      <c r="P80" s="514">
        <f>IF(O81&lt;&gt;"",O80/O81,"")</f>
        <v>1.6192073979786895E-2</v>
      </c>
      <c r="Q80" s="185">
        <f>Q78</f>
        <v>4000</v>
      </c>
      <c r="R80" s="839">
        <f>IF(Q81&lt;&gt;"",Q80/Q81,"")</f>
        <v>1.7735921004207848E-2</v>
      </c>
      <c r="S80" s="667"/>
      <c r="T80" s="668"/>
      <c r="U80" s="668"/>
      <c r="V80" s="668"/>
      <c r="W80" s="668"/>
      <c r="X80" s="668"/>
      <c r="Y80" s="668"/>
      <c r="Z80" s="668"/>
      <c r="AA80" s="668"/>
      <c r="AB80" s="669"/>
      <c r="AC80" s="141"/>
      <c r="AD80" s="247"/>
      <c r="AE80" s="247"/>
      <c r="AF80" s="247"/>
      <c r="AG80" s="247"/>
      <c r="AH80" s="247"/>
      <c r="AI80" s="247"/>
      <c r="AJ80" s="246">
        <f t="shared" ca="1" si="0"/>
        <v>31</v>
      </c>
      <c r="AK80" s="246" t="e">
        <f t="shared" ca="1" si="0"/>
        <v>#VALUE!</v>
      </c>
      <c r="AL80" s="684"/>
      <c r="AM80" s="63">
        <f t="shared" ca="1" si="1"/>
        <v>6</v>
      </c>
      <c r="AN80" s="181"/>
      <c r="AO80" s="181"/>
      <c r="AP80" s="247"/>
      <c r="AQ80" s="247"/>
      <c r="AR80" s="682"/>
      <c r="AS80" s="682"/>
      <c r="AT80" s="682"/>
      <c r="AU80" s="682"/>
      <c r="AV80" s="682"/>
      <c r="AW80" s="85"/>
      <c r="AX80" s="85"/>
      <c r="AY80" s="85"/>
      <c r="AZ80" s="85"/>
      <c r="BA80" s="85"/>
      <c r="BB80" s="85"/>
      <c r="BC80" s="85"/>
    </row>
    <row r="81" spans="1:75" s="86" customFormat="1" ht="34.5" customHeight="1" x14ac:dyDescent="0.2">
      <c r="A81" s="767"/>
      <c r="B81" s="768"/>
      <c r="C81" s="769"/>
      <c r="D81" s="609"/>
      <c r="E81" s="614"/>
      <c r="F81" s="615"/>
      <c r="G81" s="535"/>
      <c r="H81" s="515"/>
      <c r="I81" s="539"/>
      <c r="J81" s="636"/>
      <c r="K81" s="658"/>
      <c r="L81" s="659"/>
      <c r="M81" s="184">
        <f>M79</f>
        <v>217581</v>
      </c>
      <c r="N81" s="515"/>
      <c r="O81" s="186">
        <f>O79</f>
        <v>222331</v>
      </c>
      <c r="P81" s="515"/>
      <c r="Q81" s="186">
        <f>Q79</f>
        <v>225531</v>
      </c>
      <c r="R81" s="840"/>
      <c r="S81" s="670"/>
      <c r="T81" s="671"/>
      <c r="U81" s="671"/>
      <c r="V81" s="671"/>
      <c r="W81" s="671"/>
      <c r="X81" s="671"/>
      <c r="Y81" s="671"/>
      <c r="Z81" s="671"/>
      <c r="AA81" s="671"/>
      <c r="AB81" s="672"/>
      <c r="AC81" s="141"/>
      <c r="AD81" s="247"/>
      <c r="AE81" s="247"/>
      <c r="AF81" s="247"/>
      <c r="AG81" s="247"/>
      <c r="AH81" s="247"/>
      <c r="AI81" s="247"/>
      <c r="AJ81" s="246">
        <f t="shared" ca="1" si="0"/>
        <v>31</v>
      </c>
      <c r="AK81" s="246" t="e">
        <f t="shared" ca="1" si="0"/>
        <v>#VALUE!</v>
      </c>
      <c r="AL81" s="684"/>
      <c r="AM81" s="63">
        <f t="shared" ca="1" si="1"/>
        <v>6</v>
      </c>
      <c r="AN81" s="181"/>
      <c r="AO81" s="181"/>
      <c r="AP81" s="247"/>
      <c r="AQ81" s="247"/>
      <c r="AR81" s="682"/>
      <c r="AS81" s="682"/>
      <c r="AT81" s="682"/>
      <c r="AU81" s="682"/>
      <c r="AV81" s="682"/>
      <c r="AW81" s="85"/>
      <c r="AX81" s="85"/>
      <c r="AY81" s="85"/>
      <c r="AZ81" s="85"/>
      <c r="BA81" s="85"/>
      <c r="BB81" s="85"/>
      <c r="BC81" s="85"/>
    </row>
    <row r="82" spans="1:75" s="86" customFormat="1" ht="15" customHeight="1" x14ac:dyDescent="0.2">
      <c r="A82" s="761" t="s">
        <v>1930</v>
      </c>
      <c r="B82" s="762"/>
      <c r="C82" s="763"/>
      <c r="D82" s="607" t="s">
        <v>1408</v>
      </c>
      <c r="E82" s="610" t="s">
        <v>554</v>
      </c>
      <c r="F82" s="611"/>
      <c r="G82" s="534">
        <f>1013+21679</f>
        <v>22692</v>
      </c>
      <c r="H82" s="514" t="str">
        <f>IF($G84&lt;&gt;"",$G82/$G84,"")</f>
        <v/>
      </c>
      <c r="I82" s="537">
        <v>2012</v>
      </c>
      <c r="J82" s="634" t="s">
        <v>0</v>
      </c>
      <c r="K82" s="616" t="s">
        <v>981</v>
      </c>
      <c r="L82" s="617"/>
      <c r="M82" s="183"/>
      <c r="N82" s="514" t="str">
        <f>IF(M83&lt;&gt;"",M82/M83,"")</f>
        <v/>
      </c>
      <c r="O82" s="185"/>
      <c r="P82" s="514" t="str">
        <f>IF(O83&lt;&gt;"",O82/O83,"")</f>
        <v/>
      </c>
      <c r="Q82" s="185"/>
      <c r="R82" s="839" t="str">
        <f>IF(Q83&lt;&gt;"",Q82/Q83,"")</f>
        <v/>
      </c>
      <c r="S82" s="841" t="s">
        <v>1980</v>
      </c>
      <c r="T82" s="842"/>
      <c r="U82" s="842"/>
      <c r="V82" s="842"/>
      <c r="W82" s="842"/>
      <c r="X82" s="842"/>
      <c r="Y82" s="842"/>
      <c r="Z82" s="842"/>
      <c r="AA82" s="842"/>
      <c r="AB82" s="843"/>
      <c r="AC82" s="141"/>
      <c r="AD82" s="247"/>
      <c r="AE82" s="247"/>
      <c r="AF82" s="247"/>
      <c r="AG82" s="247"/>
      <c r="AH82" s="247"/>
      <c r="AI82" s="247"/>
      <c r="AJ82" s="246">
        <f t="shared" ca="1" si="0"/>
        <v>31</v>
      </c>
      <c r="AK82" s="246" t="e">
        <f t="shared" ca="1" si="0"/>
        <v>#VALUE!</v>
      </c>
      <c r="AL82" s="684" t="str">
        <f ca="1">IFERROR(IF(INDIRECT(ADDRESS(ROW()-4,COLUMN()))+1&lt;=AJ82+AK82,INDIRECT(ADDRESS(ROW()-4,COLUMN()))+1,""),"")</f>
        <v/>
      </c>
      <c r="AM82" s="63">
        <f t="shared" ca="1" si="1"/>
        <v>6</v>
      </c>
      <c r="AN82" s="181"/>
      <c r="AO82" s="181"/>
      <c r="AP82" s="247"/>
      <c r="AQ82" s="247"/>
      <c r="AR82" s="682"/>
      <c r="AS82" s="682"/>
      <c r="AT82" s="682"/>
      <c r="AU82" s="682"/>
      <c r="AV82" s="682"/>
      <c r="AW82" s="85"/>
      <c r="AX82" s="85"/>
      <c r="AY82" s="85"/>
      <c r="AZ82" s="85"/>
      <c r="BA82" s="85"/>
      <c r="BB82" s="85"/>
      <c r="BC82" s="85"/>
    </row>
    <row r="83" spans="1:75" s="86" customFormat="1" x14ac:dyDescent="0.2">
      <c r="A83" s="764"/>
      <c r="B83" s="765"/>
      <c r="C83" s="766"/>
      <c r="D83" s="608"/>
      <c r="E83" s="612"/>
      <c r="F83" s="613"/>
      <c r="G83" s="535"/>
      <c r="H83" s="536"/>
      <c r="I83" s="538"/>
      <c r="J83" s="635"/>
      <c r="K83" s="618"/>
      <c r="L83" s="619"/>
      <c r="M83" s="184"/>
      <c r="N83" s="515"/>
      <c r="O83" s="186"/>
      <c r="P83" s="515"/>
      <c r="Q83" s="186"/>
      <c r="R83" s="840"/>
      <c r="S83" s="844"/>
      <c r="T83" s="845"/>
      <c r="U83" s="845"/>
      <c r="V83" s="845"/>
      <c r="W83" s="845"/>
      <c r="X83" s="845"/>
      <c r="Y83" s="845"/>
      <c r="Z83" s="845"/>
      <c r="AA83" s="845"/>
      <c r="AB83" s="846"/>
      <c r="AC83" s="141"/>
      <c r="AD83" s="247"/>
      <c r="AE83" s="247"/>
      <c r="AF83" s="247"/>
      <c r="AG83" s="247"/>
      <c r="AH83" s="247"/>
      <c r="AI83" s="247"/>
      <c r="AJ83" s="246">
        <f t="shared" ca="1" si="0"/>
        <v>31</v>
      </c>
      <c r="AK83" s="246" t="e">
        <f t="shared" ca="1" si="0"/>
        <v>#VALUE!</v>
      </c>
      <c r="AL83" s="684"/>
      <c r="AM83" s="63">
        <f t="shared" ca="1" si="1"/>
        <v>6</v>
      </c>
      <c r="AN83" s="181"/>
      <c r="AO83" s="181"/>
      <c r="AP83" s="247"/>
      <c r="AQ83" s="247"/>
      <c r="AR83" s="682"/>
      <c r="AS83" s="682"/>
      <c r="AT83" s="682"/>
      <c r="AU83" s="682"/>
      <c r="AV83" s="682"/>
      <c r="AW83" s="85"/>
      <c r="AX83" s="85"/>
      <c r="AY83" s="85"/>
      <c r="AZ83" s="85"/>
      <c r="BA83" s="85"/>
      <c r="BB83" s="85"/>
      <c r="BC83" s="85"/>
    </row>
    <row r="84" spans="1:75" s="86" customFormat="1" ht="15" customHeight="1" x14ac:dyDescent="0.2">
      <c r="A84" s="764"/>
      <c r="B84" s="765"/>
      <c r="C84" s="766"/>
      <c r="D84" s="608"/>
      <c r="E84" s="612"/>
      <c r="F84" s="613"/>
      <c r="G84" s="534"/>
      <c r="H84" s="536"/>
      <c r="I84" s="538"/>
      <c r="J84" s="635"/>
      <c r="K84" s="656" t="s">
        <v>982</v>
      </c>
      <c r="L84" s="657"/>
      <c r="M84" s="183"/>
      <c r="N84" s="514" t="str">
        <f>IF(M85&lt;&gt;"",M84/M85,"")</f>
        <v/>
      </c>
      <c r="O84" s="185"/>
      <c r="P84" s="514" t="str">
        <f>IF(O85&lt;&gt;"",O84/O85,"")</f>
        <v/>
      </c>
      <c r="Q84" s="185"/>
      <c r="R84" s="839" t="str">
        <f>IF(Q85&lt;&gt;"",Q84/Q85,"")</f>
        <v/>
      </c>
      <c r="S84" s="844"/>
      <c r="T84" s="845"/>
      <c r="U84" s="845"/>
      <c r="V84" s="845"/>
      <c r="W84" s="845"/>
      <c r="X84" s="845"/>
      <c r="Y84" s="845"/>
      <c r="Z84" s="845"/>
      <c r="AA84" s="845"/>
      <c r="AB84" s="846"/>
      <c r="AC84" s="141"/>
      <c r="AD84" s="247"/>
      <c r="AE84" s="247"/>
      <c r="AF84" s="247"/>
      <c r="AG84" s="247"/>
      <c r="AH84" s="247"/>
      <c r="AI84" s="247"/>
      <c r="AJ84" s="246">
        <f t="shared" ca="1" si="0"/>
        <v>31</v>
      </c>
      <c r="AK84" s="246" t="e">
        <f t="shared" ca="1" si="0"/>
        <v>#VALUE!</v>
      </c>
      <c r="AL84" s="684"/>
      <c r="AM84" s="63">
        <f t="shared" ca="1" si="1"/>
        <v>6</v>
      </c>
      <c r="AN84" s="181"/>
      <c r="AO84" s="181"/>
      <c r="AP84" s="247"/>
      <c r="AQ84" s="247"/>
      <c r="AR84" s="682"/>
      <c r="AS84" s="682"/>
      <c r="AT84" s="682"/>
      <c r="AU84" s="682"/>
      <c r="AV84" s="682"/>
      <c r="AW84" s="85"/>
      <c r="AX84" s="85"/>
      <c r="AY84" s="85"/>
      <c r="AZ84" s="85"/>
      <c r="BA84" s="85"/>
      <c r="BB84" s="85"/>
      <c r="BC84" s="85"/>
    </row>
    <row r="85" spans="1:75" s="86" customFormat="1" x14ac:dyDescent="0.2">
      <c r="A85" s="767"/>
      <c r="B85" s="768"/>
      <c r="C85" s="769"/>
      <c r="D85" s="609"/>
      <c r="E85" s="614"/>
      <c r="F85" s="615"/>
      <c r="G85" s="535"/>
      <c r="H85" s="515"/>
      <c r="I85" s="539"/>
      <c r="J85" s="636"/>
      <c r="K85" s="658"/>
      <c r="L85" s="659"/>
      <c r="M85" s="184"/>
      <c r="N85" s="515"/>
      <c r="O85" s="186"/>
      <c r="P85" s="515"/>
      <c r="Q85" s="186"/>
      <c r="R85" s="840"/>
      <c r="S85" s="847"/>
      <c r="T85" s="848"/>
      <c r="U85" s="848"/>
      <c r="V85" s="848"/>
      <c r="W85" s="848"/>
      <c r="X85" s="848"/>
      <c r="Y85" s="848"/>
      <c r="Z85" s="848"/>
      <c r="AA85" s="848"/>
      <c r="AB85" s="849"/>
      <c r="AC85" s="141"/>
      <c r="AD85" s="247"/>
      <c r="AE85" s="247"/>
      <c r="AF85" s="247"/>
      <c r="AG85" s="247"/>
      <c r="AH85" s="247"/>
      <c r="AI85" s="247"/>
      <c r="AJ85" s="246">
        <f t="shared" ca="1" si="0"/>
        <v>31</v>
      </c>
      <c r="AK85" s="246" t="e">
        <f t="shared" ca="1" si="0"/>
        <v>#VALUE!</v>
      </c>
      <c r="AL85" s="684"/>
      <c r="AM85" s="63">
        <f t="shared" ca="1" si="1"/>
        <v>6</v>
      </c>
      <c r="AN85" s="181"/>
      <c r="AO85" s="181"/>
      <c r="AP85" s="247"/>
      <c r="AQ85" s="247"/>
      <c r="AR85" s="682"/>
      <c r="AS85" s="682"/>
      <c r="AT85" s="682"/>
      <c r="AU85" s="682"/>
      <c r="AV85" s="682"/>
      <c r="AW85" s="85"/>
      <c r="AX85" s="85"/>
      <c r="AY85" s="85"/>
      <c r="AZ85" s="85"/>
      <c r="BA85" s="85"/>
      <c r="BB85" s="85"/>
      <c r="BC85" s="85"/>
    </row>
    <row r="86" spans="1:75" s="163" customFormat="1" ht="18" customHeight="1" x14ac:dyDescent="0.2">
      <c r="A86" s="144" t="s">
        <v>1546</v>
      </c>
      <c r="B86" s="242"/>
      <c r="C86" s="242"/>
      <c r="D86" s="242"/>
      <c r="E86" s="242"/>
      <c r="F86" s="242"/>
      <c r="G86" s="242"/>
      <c r="H86" s="242"/>
      <c r="I86" s="242"/>
      <c r="J86" s="242"/>
      <c r="K86" s="242"/>
      <c r="L86" s="242"/>
      <c r="M86" s="242"/>
      <c r="N86" s="242"/>
      <c r="O86" s="242"/>
      <c r="P86" s="242"/>
      <c r="Q86" s="242"/>
      <c r="R86" s="242"/>
      <c r="S86" s="242"/>
      <c r="T86" s="242"/>
      <c r="U86" s="242"/>
      <c r="V86" s="242"/>
      <c r="W86" s="242"/>
      <c r="X86" s="242"/>
      <c r="Y86" s="242"/>
      <c r="Z86" s="242"/>
      <c r="AA86" s="242"/>
      <c r="AB86" s="243"/>
      <c r="AC86" s="92"/>
      <c r="AD86" s="92"/>
      <c r="AE86" s="92"/>
      <c r="AF86" s="92"/>
      <c r="AG86" s="92"/>
      <c r="AH86" s="92"/>
      <c r="AI86" s="92"/>
      <c r="AJ86" s="92"/>
      <c r="AK86" s="92"/>
      <c r="AL86" s="225"/>
      <c r="AM86" s="92">
        <f t="shared" ca="1" si="1"/>
        <v>6</v>
      </c>
      <c r="AN86" s="92"/>
      <c r="AO86" s="92"/>
      <c r="AP86" s="92"/>
      <c r="AQ86" s="92"/>
      <c r="AR86" s="92"/>
      <c r="AS86" s="92"/>
      <c r="AT86" s="92"/>
      <c r="AU86" s="92"/>
      <c r="AV86" s="161"/>
      <c r="AW86" s="161"/>
      <c r="AX86" s="161"/>
      <c r="AY86" s="161"/>
      <c r="AZ86" s="161"/>
      <c r="BA86" s="161"/>
      <c r="BB86" s="161"/>
      <c r="BC86" s="162"/>
      <c r="BD86" s="162"/>
      <c r="BE86" s="162"/>
      <c r="BF86" s="162"/>
      <c r="BG86" s="162"/>
      <c r="BH86" s="162"/>
      <c r="BI86" s="162"/>
      <c r="BJ86" s="162"/>
      <c r="BK86" s="162"/>
      <c r="BL86" s="162"/>
      <c r="BM86" s="162"/>
      <c r="BN86" s="162"/>
      <c r="BO86" s="162"/>
      <c r="BP86" s="162"/>
      <c r="BQ86" s="162"/>
      <c r="BR86" s="162"/>
      <c r="BS86" s="162"/>
      <c r="BT86" s="162"/>
      <c r="BU86" s="162"/>
    </row>
    <row r="87" spans="1:75" s="159" customFormat="1" ht="18" customHeight="1" x14ac:dyDescent="0.2">
      <c r="A87" s="555" t="s">
        <v>1547</v>
      </c>
      <c r="B87" s="556"/>
      <c r="C87" s="556"/>
      <c r="D87" s="556"/>
      <c r="E87" s="557"/>
      <c r="F87" s="317">
        <f>M90+O90+Q90+M94+O94+Q94+M98+O98+Q98</f>
        <v>5946700.3571428657</v>
      </c>
      <c r="G87" s="240"/>
      <c r="H87" s="240"/>
      <c r="I87" s="164"/>
      <c r="J87" s="558" t="s">
        <v>1548</v>
      </c>
      <c r="K87" s="559"/>
      <c r="L87" s="559"/>
      <c r="M87" s="559"/>
      <c r="N87" s="559"/>
      <c r="O87" s="559"/>
      <c r="P87" s="559"/>
      <c r="Q87" s="654">
        <f>M91+O91+Q91</f>
        <v>1053571</v>
      </c>
      <c r="R87" s="655"/>
      <c r="S87" s="562"/>
      <c r="T87" s="562"/>
      <c r="U87" s="562"/>
      <c r="V87" s="164"/>
      <c r="W87" s="164"/>
      <c r="X87" s="164"/>
      <c r="Y87" s="164"/>
      <c r="Z87" s="164"/>
      <c r="AA87" s="164"/>
      <c r="AB87" s="165"/>
      <c r="AC87" s="96"/>
      <c r="AD87" s="96"/>
      <c r="AE87" s="96"/>
      <c r="AF87" s="96"/>
      <c r="AG87" s="96"/>
      <c r="AH87" s="96"/>
      <c r="AI87" s="96"/>
      <c r="AJ87" s="96"/>
      <c r="AK87" s="96"/>
      <c r="AL87" s="226"/>
      <c r="AM87" s="63">
        <f t="shared" ca="1" si="1"/>
        <v>6</v>
      </c>
      <c r="AN87" s="182">
        <f>F87</f>
        <v>5946700.3571428657</v>
      </c>
      <c r="AO87" s="182">
        <f>Q87</f>
        <v>1053571</v>
      </c>
      <c r="AP87" s="96"/>
      <c r="AQ87" s="96"/>
      <c r="AR87" s="96"/>
      <c r="AS87" s="96"/>
      <c r="AT87" s="96"/>
      <c r="AU87" s="96"/>
      <c r="AV87" s="116"/>
      <c r="AW87" s="116"/>
      <c r="AX87" s="116"/>
      <c r="AY87" s="116"/>
      <c r="AZ87" s="116"/>
      <c r="BA87" s="116"/>
      <c r="BB87" s="116"/>
      <c r="BC87" s="158"/>
      <c r="BD87" s="158"/>
      <c r="BE87" s="158"/>
      <c r="BF87" s="158"/>
      <c r="BG87" s="158"/>
      <c r="BH87" s="158"/>
      <c r="BI87" s="158"/>
      <c r="BJ87" s="158"/>
      <c r="BK87" s="158"/>
      <c r="BL87" s="158"/>
      <c r="BM87" s="158"/>
      <c r="BN87" s="158"/>
      <c r="BO87" s="158"/>
      <c r="BP87" s="158"/>
      <c r="BQ87" s="158"/>
      <c r="BR87" s="158"/>
      <c r="BS87" s="158"/>
      <c r="BT87" s="158"/>
      <c r="BU87" s="158"/>
    </row>
    <row r="88" spans="1:75" s="104" customFormat="1" ht="30.75" customHeight="1" x14ac:dyDescent="0.2">
      <c r="A88" s="354" t="s">
        <v>1545</v>
      </c>
      <c r="B88" s="355"/>
      <c r="C88" s="386"/>
      <c r="D88" s="563" t="s">
        <v>1539</v>
      </c>
      <c r="E88" s="564"/>
      <c r="F88" s="564"/>
      <c r="G88" s="564"/>
      <c r="H88" s="564"/>
      <c r="I88" s="565"/>
      <c r="J88" s="389" t="s">
        <v>1006</v>
      </c>
      <c r="K88" s="354" t="s">
        <v>1536</v>
      </c>
      <c r="L88" s="355"/>
      <c r="M88" s="355"/>
      <c r="N88" s="355"/>
      <c r="O88" s="355"/>
      <c r="P88" s="355"/>
      <c r="Q88" s="355"/>
      <c r="R88" s="386"/>
      <c r="S88" s="563" t="s">
        <v>1538</v>
      </c>
      <c r="T88" s="564"/>
      <c r="U88" s="564"/>
      <c r="V88" s="564"/>
      <c r="W88" s="564"/>
      <c r="X88" s="564"/>
      <c r="Y88" s="565"/>
      <c r="Z88" s="755" t="s">
        <v>1537</v>
      </c>
      <c r="AA88" s="755"/>
      <c r="AB88" s="755"/>
      <c r="AC88" s="92"/>
      <c r="AD88" s="92"/>
      <c r="AE88" s="92"/>
      <c r="AF88" s="92"/>
      <c r="AG88" s="92"/>
      <c r="AH88" s="92"/>
      <c r="AI88" s="92"/>
      <c r="AJ88" s="92"/>
      <c r="AK88" s="92"/>
      <c r="AL88" s="225"/>
      <c r="AM88" s="63">
        <f t="shared" ca="1" si="1"/>
        <v>6</v>
      </c>
      <c r="AN88" s="92"/>
      <c r="AO88" s="92"/>
      <c r="AP88" s="92"/>
      <c r="AQ88" s="92"/>
      <c r="AR88" s="92"/>
      <c r="AS88" s="92"/>
      <c r="AT88" s="92"/>
      <c r="AU88" s="92"/>
      <c r="AV88" s="92"/>
      <c r="AW88" s="92"/>
      <c r="AX88" s="85"/>
      <c r="AY88" s="85"/>
      <c r="AZ88" s="85"/>
      <c r="BA88" s="85"/>
      <c r="BB88" s="85"/>
      <c r="BC88" s="85"/>
      <c r="BD88" s="85"/>
      <c r="BE88" s="90"/>
      <c r="BF88" s="90"/>
      <c r="BG88" s="90"/>
      <c r="BH88" s="90"/>
      <c r="BI88" s="90"/>
      <c r="BJ88" s="90"/>
      <c r="BK88" s="90"/>
      <c r="BL88" s="90"/>
      <c r="BM88" s="90"/>
      <c r="BN88" s="90"/>
      <c r="BO88" s="90"/>
      <c r="BP88" s="90"/>
      <c r="BQ88" s="90"/>
      <c r="BR88" s="90"/>
      <c r="BS88" s="90"/>
      <c r="BT88" s="90"/>
      <c r="BU88" s="90"/>
      <c r="BV88" s="90"/>
      <c r="BW88" s="90"/>
    </row>
    <row r="89" spans="1:75" s="104" customFormat="1" ht="67.5" customHeight="1" x14ac:dyDescent="0.2">
      <c r="A89" s="387"/>
      <c r="B89" s="391"/>
      <c r="C89" s="388"/>
      <c r="D89" s="552" t="s">
        <v>1540</v>
      </c>
      <c r="E89" s="553"/>
      <c r="F89" s="553"/>
      <c r="G89" s="553"/>
      <c r="H89" s="553"/>
      <c r="I89" s="554"/>
      <c r="J89" s="390"/>
      <c r="K89" s="238"/>
      <c r="L89" s="239"/>
      <c r="M89" s="374" t="s">
        <v>544</v>
      </c>
      <c r="N89" s="376"/>
      <c r="O89" s="755" t="s">
        <v>18</v>
      </c>
      <c r="P89" s="755"/>
      <c r="Q89" s="755" t="s">
        <v>17</v>
      </c>
      <c r="R89" s="755"/>
      <c r="S89" s="552" t="s">
        <v>1921</v>
      </c>
      <c r="T89" s="553"/>
      <c r="U89" s="553"/>
      <c r="V89" s="553"/>
      <c r="W89" s="553"/>
      <c r="X89" s="553"/>
      <c r="Y89" s="554"/>
      <c r="Z89" s="755"/>
      <c r="AA89" s="755"/>
      <c r="AB89" s="755"/>
      <c r="AC89" s="92"/>
      <c r="AD89" s="92"/>
      <c r="AE89" s="92"/>
      <c r="AF89" s="92"/>
      <c r="AG89" s="92"/>
      <c r="AH89" s="92"/>
      <c r="AI89" s="92"/>
      <c r="AJ89" s="92"/>
      <c r="AK89" s="92"/>
      <c r="AL89" s="225"/>
      <c r="AM89" s="63">
        <f t="shared" ca="1" si="1"/>
        <v>6</v>
      </c>
      <c r="AN89" s="92"/>
      <c r="AO89" s="92"/>
      <c r="AP89" s="92"/>
      <c r="AQ89" s="92"/>
      <c r="AR89" s="92"/>
      <c r="AS89" s="92"/>
      <c r="AT89" s="92"/>
      <c r="AU89" s="92"/>
      <c r="AV89" s="92"/>
      <c r="AW89" s="92"/>
      <c r="AX89" s="85"/>
      <c r="AY89" s="85"/>
      <c r="AZ89" s="85"/>
      <c r="BA89" s="85"/>
      <c r="BB89" s="85"/>
      <c r="BC89" s="85"/>
      <c r="BD89" s="85"/>
      <c r="BE89" s="90"/>
      <c r="BF89" s="90"/>
      <c r="BG89" s="90"/>
      <c r="BH89" s="90"/>
      <c r="BI89" s="90"/>
      <c r="BJ89" s="90"/>
      <c r="BK89" s="90"/>
      <c r="BL89" s="90"/>
      <c r="BM89" s="90"/>
      <c r="BN89" s="90"/>
      <c r="BO89" s="90"/>
      <c r="BP89" s="90"/>
      <c r="BQ89" s="90"/>
      <c r="BR89" s="90"/>
      <c r="BS89" s="90"/>
      <c r="BT89" s="90"/>
      <c r="BU89" s="90"/>
      <c r="BV89" s="90"/>
      <c r="BW89" s="90"/>
    </row>
    <row r="90" spans="1:75" s="117" customFormat="1" ht="180" customHeight="1" x14ac:dyDescent="0.2">
      <c r="A90" s="850" t="s">
        <v>1951</v>
      </c>
      <c r="B90" s="621"/>
      <c r="C90" s="621"/>
      <c r="D90" s="625" t="s">
        <v>2012</v>
      </c>
      <c r="E90" s="626"/>
      <c r="F90" s="626"/>
      <c r="G90" s="626"/>
      <c r="H90" s="626"/>
      <c r="I90" s="645"/>
      <c r="J90" s="603" t="s">
        <v>1408</v>
      </c>
      <c r="K90" s="594" t="s">
        <v>981</v>
      </c>
      <c r="L90" s="594"/>
      <c r="M90" s="595">
        <v>220259</v>
      </c>
      <c r="N90" s="596"/>
      <c r="O90" s="859">
        <v>128484</v>
      </c>
      <c r="P90" s="860"/>
      <c r="Q90" s="859">
        <v>66078</v>
      </c>
      <c r="R90" s="860"/>
      <c r="S90" s="625" t="s">
        <v>2051</v>
      </c>
      <c r="T90" s="626"/>
      <c r="U90" s="626"/>
      <c r="V90" s="626"/>
      <c r="W90" s="626"/>
      <c r="X90" s="626"/>
      <c r="Y90" s="645"/>
      <c r="Z90" s="625" t="s">
        <v>1948</v>
      </c>
      <c r="AA90" s="626"/>
      <c r="AB90" s="627"/>
      <c r="AC90" s="143"/>
      <c r="AD90" s="143"/>
      <c r="AE90" s="143"/>
      <c r="AF90" s="96"/>
      <c r="AG90" s="96"/>
      <c r="AH90" s="96"/>
      <c r="AI90" s="96"/>
      <c r="AJ90" s="96"/>
      <c r="AK90" s="96"/>
      <c r="AL90" s="226"/>
      <c r="AM90" s="96"/>
      <c r="AN90" s="92"/>
      <c r="AO90" s="92"/>
      <c r="AP90" s="96"/>
      <c r="AQ90" s="96"/>
      <c r="AR90" s="96"/>
      <c r="AS90" s="96"/>
      <c r="AT90" s="96"/>
      <c r="AU90" s="96"/>
      <c r="AV90" s="96"/>
      <c r="AW90" s="96"/>
      <c r="AX90" s="116"/>
      <c r="AY90" s="116"/>
      <c r="AZ90" s="116"/>
      <c r="BA90" s="116"/>
      <c r="BB90" s="116"/>
      <c r="BC90" s="116"/>
      <c r="BD90" s="116"/>
      <c r="BE90" s="116"/>
      <c r="BF90" s="116"/>
      <c r="BG90" s="116"/>
      <c r="BH90" s="116"/>
      <c r="BI90" s="116"/>
      <c r="BJ90" s="116"/>
      <c r="BK90" s="116"/>
      <c r="BL90" s="116"/>
      <c r="BM90" s="116"/>
      <c r="BN90" s="116"/>
      <c r="BO90" s="116"/>
      <c r="BP90" s="116"/>
      <c r="BQ90" s="116"/>
      <c r="BR90" s="116"/>
      <c r="BS90" s="116"/>
      <c r="BT90" s="116"/>
      <c r="BU90" s="116"/>
      <c r="BV90" s="116"/>
      <c r="BW90" s="116"/>
    </row>
    <row r="91" spans="1:75" s="117" customFormat="1" ht="70.5" customHeight="1" x14ac:dyDescent="0.2">
      <c r="A91" s="851"/>
      <c r="B91" s="852"/>
      <c r="C91" s="852"/>
      <c r="D91" s="646"/>
      <c r="E91" s="647"/>
      <c r="F91" s="647"/>
      <c r="G91" s="647"/>
      <c r="H91" s="647"/>
      <c r="I91" s="648"/>
      <c r="J91" s="604"/>
      <c r="K91" s="599" t="s">
        <v>982</v>
      </c>
      <c r="L91" s="599"/>
      <c r="M91" s="854">
        <v>513937</v>
      </c>
      <c r="N91" s="854"/>
      <c r="O91" s="855">
        <v>238614</v>
      </c>
      <c r="P91" s="855"/>
      <c r="Q91" s="856">
        <v>301020</v>
      </c>
      <c r="R91" s="856"/>
      <c r="S91" s="628"/>
      <c r="T91" s="629"/>
      <c r="U91" s="629"/>
      <c r="V91" s="629"/>
      <c r="W91" s="629"/>
      <c r="X91" s="629"/>
      <c r="Y91" s="649"/>
      <c r="Z91" s="628"/>
      <c r="AA91" s="629"/>
      <c r="AB91" s="630"/>
      <c r="AC91" s="96"/>
      <c r="AD91" s="96"/>
      <c r="AE91" s="143"/>
      <c r="AF91" s="96"/>
      <c r="AG91" s="96"/>
      <c r="AH91" s="96"/>
      <c r="AI91" s="96"/>
      <c r="AJ91" s="96"/>
      <c r="AK91" s="96"/>
      <c r="AL91" s="226"/>
      <c r="AM91" s="96"/>
      <c r="AN91" s="92"/>
      <c r="AO91" s="92"/>
      <c r="AP91" s="96"/>
      <c r="AQ91" s="96"/>
      <c r="AR91" s="96"/>
      <c r="AS91" s="96"/>
      <c r="AT91" s="96"/>
      <c r="AU91" s="96"/>
      <c r="AV91" s="96"/>
      <c r="AW91" s="96"/>
      <c r="AX91" s="116"/>
      <c r="AY91" s="116"/>
      <c r="AZ91" s="116"/>
      <c r="BA91" s="116"/>
      <c r="BB91" s="116"/>
      <c r="BC91" s="116"/>
      <c r="BD91" s="116"/>
      <c r="BE91" s="116"/>
      <c r="BF91" s="116"/>
      <c r="BG91" s="116"/>
      <c r="BH91" s="116"/>
      <c r="BI91" s="116"/>
      <c r="BJ91" s="116"/>
      <c r="BK91" s="116"/>
      <c r="BL91" s="116"/>
      <c r="BM91" s="116"/>
      <c r="BN91" s="116"/>
      <c r="BO91" s="116"/>
      <c r="BP91" s="116"/>
      <c r="BQ91" s="116"/>
      <c r="BR91" s="116"/>
      <c r="BS91" s="116"/>
      <c r="BT91" s="116"/>
      <c r="BU91" s="116"/>
      <c r="BV91" s="116"/>
      <c r="BW91" s="116"/>
    </row>
    <row r="92" spans="1:75" s="117" customFormat="1" ht="42.75" customHeight="1" x14ac:dyDescent="0.2">
      <c r="A92" s="851"/>
      <c r="B92" s="852"/>
      <c r="C92" s="852"/>
      <c r="D92" s="646"/>
      <c r="E92" s="647"/>
      <c r="F92" s="647"/>
      <c r="G92" s="647"/>
      <c r="H92" s="647"/>
      <c r="I92" s="648"/>
      <c r="J92" s="603" t="s">
        <v>1408</v>
      </c>
      <c r="K92" s="594" t="s">
        <v>981</v>
      </c>
      <c r="L92" s="594"/>
      <c r="M92" s="605"/>
      <c r="N92" s="605"/>
      <c r="O92" s="606"/>
      <c r="P92" s="606"/>
      <c r="Q92" s="606"/>
      <c r="R92" s="606"/>
      <c r="S92" s="620"/>
      <c r="T92" s="620"/>
      <c r="U92" s="620"/>
      <c r="V92" s="620"/>
      <c r="W92" s="620"/>
      <c r="X92" s="620"/>
      <c r="Y92" s="620"/>
      <c r="Z92" s="621"/>
      <c r="AA92" s="621"/>
      <c r="AB92" s="622"/>
      <c r="AC92" s="143"/>
      <c r="AD92" s="143"/>
      <c r="AE92" s="143"/>
      <c r="AF92" s="96"/>
      <c r="AG92" s="96"/>
      <c r="AH92" s="96"/>
      <c r="AI92" s="96"/>
      <c r="AJ92" s="96"/>
      <c r="AK92" s="96"/>
      <c r="AL92" s="226"/>
      <c r="AM92" s="96"/>
      <c r="AN92" s="92"/>
      <c r="AO92" s="92"/>
      <c r="AP92" s="96"/>
      <c r="AQ92" s="96"/>
      <c r="AR92" s="96"/>
      <c r="AS92" s="96"/>
      <c r="AT92" s="96"/>
      <c r="AU92" s="96"/>
      <c r="AV92" s="96"/>
      <c r="AW92" s="96"/>
      <c r="AX92" s="116"/>
      <c r="AY92" s="116"/>
      <c r="AZ92" s="116"/>
      <c r="BA92" s="116"/>
      <c r="BB92" s="116"/>
      <c r="BC92" s="116"/>
      <c r="BD92" s="116"/>
      <c r="BE92" s="116"/>
      <c r="BF92" s="116"/>
      <c r="BG92" s="116"/>
      <c r="BH92" s="116"/>
      <c r="BI92" s="116"/>
      <c r="BJ92" s="116"/>
      <c r="BK92" s="116"/>
      <c r="BL92" s="116"/>
      <c r="BM92" s="116"/>
      <c r="BN92" s="116"/>
      <c r="BO92" s="116"/>
      <c r="BP92" s="116"/>
      <c r="BQ92" s="116"/>
      <c r="BR92" s="116"/>
      <c r="BS92" s="116"/>
      <c r="BT92" s="116"/>
      <c r="BU92" s="116"/>
      <c r="BV92" s="116"/>
      <c r="BW92" s="116"/>
    </row>
    <row r="93" spans="1:75" s="117" customFormat="1" ht="42.75" customHeight="1" x14ac:dyDescent="0.2">
      <c r="A93" s="853"/>
      <c r="B93" s="623"/>
      <c r="C93" s="623"/>
      <c r="D93" s="628"/>
      <c r="E93" s="629"/>
      <c r="F93" s="629"/>
      <c r="G93" s="629"/>
      <c r="H93" s="629"/>
      <c r="I93" s="649"/>
      <c r="J93" s="604"/>
      <c r="K93" s="599" t="s">
        <v>982</v>
      </c>
      <c r="L93" s="599"/>
      <c r="M93" s="600"/>
      <c r="N93" s="600"/>
      <c r="O93" s="601"/>
      <c r="P93" s="601"/>
      <c r="Q93" s="602"/>
      <c r="R93" s="602"/>
      <c r="S93" s="620"/>
      <c r="T93" s="620"/>
      <c r="U93" s="620"/>
      <c r="V93" s="620"/>
      <c r="W93" s="620"/>
      <c r="X93" s="620"/>
      <c r="Y93" s="620"/>
      <c r="Z93" s="623"/>
      <c r="AA93" s="623"/>
      <c r="AB93" s="624"/>
      <c r="AC93" s="96"/>
      <c r="AD93" s="96"/>
      <c r="AE93" s="96"/>
      <c r="AF93" s="96"/>
      <c r="AG93" s="96"/>
      <c r="AH93" s="96"/>
      <c r="AI93" s="96"/>
      <c r="AJ93" s="96"/>
      <c r="AK93" s="96"/>
      <c r="AL93" s="226"/>
      <c r="AM93" s="96"/>
      <c r="AN93" s="92"/>
      <c r="AO93" s="92"/>
      <c r="AP93" s="96"/>
      <c r="AQ93" s="96"/>
      <c r="AR93" s="96"/>
      <c r="AS93" s="96"/>
      <c r="AT93" s="96"/>
      <c r="AU93" s="96"/>
      <c r="AV93" s="96"/>
      <c r="AW93" s="96"/>
      <c r="AX93" s="116"/>
      <c r="AY93" s="116"/>
      <c r="AZ93" s="116"/>
      <c r="BA93" s="116"/>
      <c r="BB93" s="116"/>
      <c r="BC93" s="116"/>
      <c r="BD93" s="116"/>
      <c r="BE93" s="116"/>
      <c r="BF93" s="116"/>
      <c r="BG93" s="116"/>
      <c r="BH93" s="116"/>
      <c r="BI93" s="116"/>
      <c r="BJ93" s="116"/>
      <c r="BK93" s="116"/>
      <c r="BL93" s="116"/>
      <c r="BM93" s="116"/>
      <c r="BN93" s="116"/>
      <c r="BO93" s="116"/>
      <c r="BP93" s="116"/>
      <c r="BQ93" s="116"/>
      <c r="BR93" s="116"/>
      <c r="BS93" s="116"/>
      <c r="BT93" s="116"/>
      <c r="BU93" s="116"/>
      <c r="BV93" s="116"/>
      <c r="BW93" s="116"/>
    </row>
    <row r="94" spans="1:75" s="117" customFormat="1" ht="165.75" customHeight="1" x14ac:dyDescent="0.2">
      <c r="A94" s="850" t="s">
        <v>2002</v>
      </c>
      <c r="B94" s="621"/>
      <c r="C94" s="621"/>
      <c r="D94" s="803" t="s">
        <v>1949</v>
      </c>
      <c r="E94" s="803"/>
      <c r="F94" s="803"/>
      <c r="G94" s="803"/>
      <c r="H94" s="803"/>
      <c r="I94" s="803"/>
      <c r="J94" s="603" t="s">
        <v>1408</v>
      </c>
      <c r="K94" s="594" t="s">
        <v>981</v>
      </c>
      <c r="L94" s="594"/>
      <c r="M94" s="605">
        <f>383807*41/42</f>
        <v>374668.73809523811</v>
      </c>
      <c r="N94" s="605"/>
      <c r="O94" s="606">
        <f>254303*2*41/42</f>
        <v>496496.33333333331</v>
      </c>
      <c r="P94" s="606"/>
      <c r="Q94" s="606">
        <v>0</v>
      </c>
      <c r="R94" s="606"/>
      <c r="S94" s="857" t="s">
        <v>2017</v>
      </c>
      <c r="T94" s="677"/>
      <c r="U94" s="677"/>
      <c r="V94" s="677"/>
      <c r="W94" s="677"/>
      <c r="X94" s="677"/>
      <c r="Y94" s="678"/>
      <c r="Z94" s="858" t="s">
        <v>1950</v>
      </c>
      <c r="AA94" s="626"/>
      <c r="AB94" s="627"/>
      <c r="AC94" s="96"/>
      <c r="AD94" s="96"/>
      <c r="AE94" s="253"/>
      <c r="AF94" s="254"/>
      <c r="AG94" s="254"/>
      <c r="AH94" s="96"/>
      <c r="AI94" s="96"/>
      <c r="AJ94" s="96"/>
      <c r="AK94" s="96"/>
      <c r="AL94" s="226"/>
      <c r="AM94" s="96"/>
      <c r="AN94" s="92"/>
      <c r="AO94" s="92"/>
      <c r="AP94" s="96"/>
      <c r="AQ94" s="96"/>
      <c r="AR94" s="96"/>
      <c r="AS94" s="96"/>
      <c r="AT94" s="96"/>
      <c r="AU94" s="96"/>
      <c r="AV94" s="96"/>
      <c r="AW94" s="96"/>
      <c r="AX94" s="116"/>
      <c r="AY94" s="116"/>
      <c r="AZ94" s="116"/>
      <c r="BA94" s="116"/>
      <c r="BB94" s="116"/>
      <c r="BC94" s="116"/>
      <c r="BD94" s="116"/>
      <c r="BE94" s="116"/>
      <c r="BF94" s="116"/>
      <c r="BG94" s="116"/>
      <c r="BH94" s="116"/>
      <c r="BI94" s="116"/>
      <c r="BJ94" s="116"/>
      <c r="BK94" s="116"/>
      <c r="BL94" s="116"/>
      <c r="BM94" s="116"/>
      <c r="BN94" s="116"/>
      <c r="BO94" s="116"/>
      <c r="BP94" s="116"/>
      <c r="BQ94" s="116"/>
      <c r="BR94" s="116"/>
      <c r="BS94" s="116"/>
      <c r="BT94" s="116"/>
      <c r="BU94" s="116"/>
      <c r="BV94" s="116"/>
      <c r="BW94" s="116"/>
    </row>
    <row r="95" spans="1:75" s="117" customFormat="1" ht="129" customHeight="1" x14ac:dyDescent="0.2">
      <c r="A95" s="851"/>
      <c r="B95" s="852"/>
      <c r="C95" s="852"/>
      <c r="D95" s="804"/>
      <c r="E95" s="804"/>
      <c r="F95" s="804"/>
      <c r="G95" s="804"/>
      <c r="H95" s="804"/>
      <c r="I95" s="804"/>
      <c r="J95" s="604"/>
      <c r="K95" s="599" t="s">
        <v>982</v>
      </c>
      <c r="L95" s="599"/>
      <c r="M95" s="600"/>
      <c r="N95" s="600"/>
      <c r="O95" s="601"/>
      <c r="P95" s="601"/>
      <c r="Q95" s="602"/>
      <c r="R95" s="602"/>
      <c r="S95" s="679"/>
      <c r="T95" s="680"/>
      <c r="U95" s="680"/>
      <c r="V95" s="680"/>
      <c r="W95" s="680"/>
      <c r="X95" s="680"/>
      <c r="Y95" s="681"/>
      <c r="Z95" s="628"/>
      <c r="AA95" s="629"/>
      <c r="AB95" s="630"/>
      <c r="AC95" s="96"/>
      <c r="AD95" s="96"/>
      <c r="AE95" s="253"/>
      <c r="AF95" s="254"/>
      <c r="AG95" s="254"/>
      <c r="AH95" s="96"/>
      <c r="AI95" s="96"/>
      <c r="AJ95" s="96"/>
      <c r="AK95" s="96"/>
      <c r="AL95" s="226"/>
      <c r="AM95" s="96"/>
      <c r="AN95" s="92"/>
      <c r="AO95" s="92"/>
      <c r="AP95" s="96"/>
      <c r="AQ95" s="96"/>
      <c r="AR95" s="96"/>
      <c r="AS95" s="96"/>
      <c r="AT95" s="96"/>
      <c r="AU95" s="96"/>
      <c r="AV95" s="96"/>
      <c r="AW95" s="96"/>
      <c r="AX95" s="116"/>
      <c r="AY95" s="116"/>
      <c r="AZ95" s="116"/>
      <c r="BA95" s="116"/>
      <c r="BB95" s="116"/>
      <c r="BC95" s="116"/>
      <c r="BD95" s="116"/>
      <c r="BE95" s="116"/>
      <c r="BF95" s="116"/>
      <c r="BG95" s="116"/>
      <c r="BH95" s="116"/>
      <c r="BI95" s="116"/>
      <c r="BJ95" s="116"/>
      <c r="BK95" s="116"/>
      <c r="BL95" s="116"/>
      <c r="BM95" s="116"/>
      <c r="BN95" s="116"/>
      <c r="BO95" s="116"/>
      <c r="BP95" s="116"/>
      <c r="BQ95" s="116"/>
      <c r="BR95" s="116"/>
      <c r="BS95" s="116"/>
      <c r="BT95" s="116"/>
      <c r="BU95" s="116"/>
      <c r="BV95" s="116"/>
      <c r="BW95" s="116"/>
    </row>
    <row r="96" spans="1:75" s="117" customFormat="1" ht="36.75" customHeight="1" x14ac:dyDescent="0.2">
      <c r="A96" s="851"/>
      <c r="B96" s="852"/>
      <c r="C96" s="852"/>
      <c r="D96" s="804"/>
      <c r="E96" s="804"/>
      <c r="F96" s="804"/>
      <c r="G96" s="804"/>
      <c r="H96" s="804"/>
      <c r="I96" s="804"/>
      <c r="J96" s="603"/>
      <c r="K96" s="594" t="s">
        <v>981</v>
      </c>
      <c r="L96" s="594"/>
      <c r="M96" s="605"/>
      <c r="N96" s="605"/>
      <c r="O96" s="606"/>
      <c r="P96" s="606"/>
      <c r="Q96" s="606"/>
      <c r="R96" s="606"/>
      <c r="S96" s="620"/>
      <c r="T96" s="620"/>
      <c r="U96" s="620"/>
      <c r="V96" s="620"/>
      <c r="W96" s="620"/>
      <c r="X96" s="620"/>
      <c r="Y96" s="620"/>
      <c r="Z96" s="621"/>
      <c r="AA96" s="621"/>
      <c r="AB96" s="622"/>
      <c r="AC96" s="143"/>
      <c r="AD96" s="143"/>
      <c r="AE96" s="253"/>
      <c r="AF96" s="254"/>
      <c r="AG96" s="254"/>
      <c r="AH96" s="96"/>
      <c r="AI96" s="96"/>
      <c r="AJ96" s="96"/>
      <c r="AK96" s="96"/>
      <c r="AL96" s="226"/>
      <c r="AM96" s="96"/>
      <c r="AN96" s="92"/>
      <c r="AO96" s="92"/>
      <c r="AP96" s="96"/>
      <c r="AQ96" s="96"/>
      <c r="AR96" s="96"/>
      <c r="AS96" s="96"/>
      <c r="AT96" s="96"/>
      <c r="AU96" s="96"/>
      <c r="AV96" s="96"/>
      <c r="AW96" s="96"/>
      <c r="AX96" s="116"/>
      <c r="AY96" s="116"/>
      <c r="AZ96" s="116"/>
      <c r="BA96" s="116"/>
      <c r="BB96" s="116"/>
      <c r="BC96" s="116"/>
      <c r="BD96" s="116"/>
      <c r="BE96" s="116"/>
      <c r="BF96" s="116"/>
      <c r="BG96" s="116"/>
      <c r="BH96" s="116"/>
      <c r="BI96" s="116"/>
      <c r="BJ96" s="116"/>
      <c r="BK96" s="116"/>
      <c r="BL96" s="116"/>
      <c r="BM96" s="116"/>
      <c r="BN96" s="116"/>
      <c r="BO96" s="116"/>
      <c r="BP96" s="116"/>
      <c r="BQ96" s="116"/>
      <c r="BR96" s="116"/>
      <c r="BS96" s="116"/>
      <c r="BT96" s="116"/>
      <c r="BU96" s="116"/>
      <c r="BV96" s="116"/>
      <c r="BW96" s="116"/>
    </row>
    <row r="97" spans="1:75" s="117" customFormat="1" ht="35.25" customHeight="1" x14ac:dyDescent="0.2">
      <c r="A97" s="853"/>
      <c r="B97" s="623"/>
      <c r="C97" s="623"/>
      <c r="D97" s="805"/>
      <c r="E97" s="805"/>
      <c r="F97" s="805"/>
      <c r="G97" s="805"/>
      <c r="H97" s="805"/>
      <c r="I97" s="805"/>
      <c r="J97" s="604"/>
      <c r="K97" s="599" t="s">
        <v>982</v>
      </c>
      <c r="L97" s="599"/>
      <c r="M97" s="600"/>
      <c r="N97" s="600"/>
      <c r="O97" s="601"/>
      <c r="P97" s="601"/>
      <c r="Q97" s="602"/>
      <c r="R97" s="602"/>
      <c r="S97" s="620"/>
      <c r="T97" s="620"/>
      <c r="U97" s="620"/>
      <c r="V97" s="620"/>
      <c r="W97" s="620"/>
      <c r="X97" s="620"/>
      <c r="Y97" s="620"/>
      <c r="Z97" s="623"/>
      <c r="AA97" s="623"/>
      <c r="AB97" s="624"/>
      <c r="AC97" s="96"/>
      <c r="AD97" s="96"/>
      <c r="AE97" s="96"/>
      <c r="AF97" s="96"/>
      <c r="AG97" s="96"/>
      <c r="AH97" s="96"/>
      <c r="AI97" s="96"/>
      <c r="AJ97" s="96"/>
      <c r="AK97" s="96"/>
      <c r="AL97" s="226"/>
      <c r="AM97" s="96"/>
      <c r="AN97" s="92"/>
      <c r="AO97" s="92"/>
      <c r="AP97" s="96"/>
      <c r="AQ97" s="96"/>
      <c r="AR97" s="96"/>
      <c r="AS97" s="96"/>
      <c r="AT97" s="96"/>
      <c r="AU97" s="96"/>
      <c r="AV97" s="96"/>
      <c r="AW97" s="96"/>
      <c r="AX97" s="116"/>
      <c r="AY97" s="116"/>
      <c r="AZ97" s="116"/>
      <c r="BA97" s="116"/>
      <c r="BB97" s="116"/>
      <c r="BC97" s="116"/>
      <c r="BD97" s="116"/>
      <c r="BE97" s="116"/>
      <c r="BF97" s="116"/>
      <c r="BG97" s="116"/>
      <c r="BH97" s="116"/>
      <c r="BI97" s="116"/>
      <c r="BJ97" s="116"/>
      <c r="BK97" s="116"/>
      <c r="BL97" s="116"/>
      <c r="BM97" s="116"/>
      <c r="BN97" s="116"/>
      <c r="BO97" s="116"/>
      <c r="BP97" s="116"/>
      <c r="BQ97" s="116"/>
      <c r="BR97" s="116"/>
      <c r="BS97" s="116"/>
      <c r="BT97" s="116"/>
      <c r="BU97" s="116"/>
      <c r="BV97" s="116"/>
      <c r="BW97" s="116"/>
    </row>
    <row r="98" spans="1:75" s="117" customFormat="1" ht="177.75" customHeight="1" x14ac:dyDescent="0.2">
      <c r="A98" s="454" t="s">
        <v>1952</v>
      </c>
      <c r="B98" s="455"/>
      <c r="C98" s="861"/>
      <c r="D98" s="803" t="s">
        <v>2008</v>
      </c>
      <c r="E98" s="803"/>
      <c r="F98" s="803"/>
      <c r="G98" s="803"/>
      <c r="H98" s="803"/>
      <c r="I98" s="803"/>
      <c r="J98" s="603" t="s">
        <v>1408</v>
      </c>
      <c r="K98" s="594" t="s">
        <v>981</v>
      </c>
      <c r="L98" s="594"/>
      <c r="M98" s="605">
        <f>954878.048780488*41/42</f>
        <v>932142.85714285728</v>
      </c>
      <c r="N98" s="605"/>
      <c r="O98" s="606">
        <f>1909756.09756098*41/42</f>
        <v>1864285.7142857185</v>
      </c>
      <c r="P98" s="606"/>
      <c r="Q98" s="606">
        <f>1909756.09756098*41/42</f>
        <v>1864285.7142857185</v>
      </c>
      <c r="R98" s="606"/>
      <c r="S98" s="625" t="s">
        <v>2050</v>
      </c>
      <c r="T98" s="626"/>
      <c r="U98" s="626"/>
      <c r="V98" s="626"/>
      <c r="W98" s="626"/>
      <c r="X98" s="626"/>
      <c r="Y98" s="645"/>
      <c r="Z98" s="864" t="s">
        <v>2009</v>
      </c>
      <c r="AA98" s="806"/>
      <c r="AB98" s="807"/>
      <c r="AC98" s="96"/>
      <c r="AD98" s="96"/>
      <c r="AE98" s="96"/>
      <c r="AF98" s="96"/>
      <c r="AG98" s="96"/>
      <c r="AH98" s="96"/>
      <c r="AI98" s="96"/>
      <c r="AJ98" s="96"/>
      <c r="AK98" s="96"/>
      <c r="AL98" s="226"/>
      <c r="AM98" s="96"/>
      <c r="AN98" s="92"/>
      <c r="AO98" s="92"/>
      <c r="AP98" s="96"/>
      <c r="AQ98" s="96"/>
      <c r="AR98" s="96"/>
      <c r="AS98" s="96"/>
      <c r="AT98" s="96"/>
      <c r="AU98" s="96"/>
      <c r="AV98" s="96"/>
      <c r="AW98" s="96"/>
      <c r="AX98" s="116"/>
      <c r="AY98" s="116"/>
      <c r="AZ98" s="116"/>
      <c r="BA98" s="116"/>
      <c r="BB98" s="116"/>
      <c r="BC98" s="116"/>
      <c r="BD98" s="116"/>
      <c r="BE98" s="116"/>
      <c r="BF98" s="116"/>
      <c r="BG98" s="116"/>
      <c r="BH98" s="116"/>
      <c r="BI98" s="116"/>
      <c r="BJ98" s="116"/>
      <c r="BK98" s="116"/>
      <c r="BL98" s="116"/>
      <c r="BM98" s="116"/>
      <c r="BN98" s="116"/>
      <c r="BO98" s="116"/>
      <c r="BP98" s="116"/>
      <c r="BQ98" s="116"/>
      <c r="BR98" s="116"/>
      <c r="BS98" s="116"/>
      <c r="BT98" s="116"/>
      <c r="BU98" s="116"/>
      <c r="BV98" s="116"/>
      <c r="BW98" s="116"/>
    </row>
    <row r="99" spans="1:75" s="117" customFormat="1" ht="177.75" customHeight="1" x14ac:dyDescent="0.2">
      <c r="A99" s="468"/>
      <c r="B99" s="469"/>
      <c r="C99" s="862"/>
      <c r="D99" s="804"/>
      <c r="E99" s="804"/>
      <c r="F99" s="804"/>
      <c r="G99" s="804"/>
      <c r="H99" s="804"/>
      <c r="I99" s="804"/>
      <c r="J99" s="604"/>
      <c r="K99" s="599" t="s">
        <v>982</v>
      </c>
      <c r="L99" s="599"/>
      <c r="M99" s="600"/>
      <c r="N99" s="600"/>
      <c r="O99" s="810"/>
      <c r="P99" s="811"/>
      <c r="Q99" s="601"/>
      <c r="R99" s="601"/>
      <c r="S99" s="628"/>
      <c r="T99" s="629"/>
      <c r="U99" s="629"/>
      <c r="V99" s="629"/>
      <c r="W99" s="629"/>
      <c r="X99" s="629"/>
      <c r="Y99" s="649"/>
      <c r="Z99" s="808"/>
      <c r="AA99" s="808"/>
      <c r="AB99" s="809"/>
      <c r="AC99" s="96"/>
      <c r="AD99"/>
      <c r="AE99" s="96"/>
      <c r="AF99" s="96"/>
      <c r="AG99" s="96"/>
      <c r="AH99" s="96"/>
      <c r="AI99" s="96"/>
      <c r="AJ99" s="96"/>
      <c r="AK99" s="96"/>
      <c r="AL99" s="226"/>
      <c r="AM99" s="96"/>
      <c r="AN99" s="92"/>
      <c r="AO99" s="92"/>
      <c r="AP99" s="96"/>
      <c r="AQ99" s="96"/>
      <c r="AR99" s="96"/>
      <c r="AS99" s="96"/>
      <c r="AT99" s="96"/>
      <c r="AU99" s="96"/>
      <c r="AV99" s="96"/>
      <c r="AW99" s="96"/>
      <c r="AX99" s="116"/>
      <c r="AY99" s="116"/>
      <c r="AZ99" s="116"/>
      <c r="BA99" s="116"/>
      <c r="BB99" s="116"/>
      <c r="BC99" s="116"/>
      <c r="BD99" s="116"/>
      <c r="BE99" s="116"/>
      <c r="BF99" s="116"/>
      <c r="BG99" s="116"/>
      <c r="BH99" s="116"/>
      <c r="BI99" s="116"/>
      <c r="BJ99" s="116"/>
      <c r="BK99" s="116"/>
      <c r="BL99" s="116"/>
      <c r="BM99" s="116"/>
      <c r="BN99" s="116"/>
      <c r="BO99" s="116"/>
      <c r="BP99" s="116"/>
      <c r="BQ99" s="116"/>
      <c r="BR99" s="116"/>
      <c r="BS99" s="116"/>
      <c r="BT99" s="116"/>
      <c r="BU99" s="116"/>
      <c r="BV99" s="116"/>
      <c r="BW99" s="116"/>
    </row>
    <row r="100" spans="1:75" s="117" customFormat="1" ht="142.5" customHeight="1" x14ac:dyDescent="0.2">
      <c r="A100" s="468"/>
      <c r="B100" s="469"/>
      <c r="C100" s="862"/>
      <c r="D100" s="804"/>
      <c r="E100" s="804"/>
      <c r="F100" s="804"/>
      <c r="G100" s="804"/>
      <c r="H100" s="804"/>
      <c r="I100" s="804"/>
      <c r="J100" s="603"/>
      <c r="K100" s="594" t="s">
        <v>981</v>
      </c>
      <c r="L100" s="594"/>
      <c r="M100" s="605"/>
      <c r="N100" s="605"/>
      <c r="O100" s="606"/>
      <c r="P100" s="606"/>
      <c r="Q100" s="606"/>
      <c r="R100" s="606"/>
      <c r="S100" s="620"/>
      <c r="T100" s="620"/>
      <c r="U100" s="620"/>
      <c r="V100" s="620"/>
      <c r="W100" s="620"/>
      <c r="X100" s="620"/>
      <c r="Y100" s="620"/>
      <c r="Z100" s="621"/>
      <c r="AA100" s="621"/>
      <c r="AB100" s="622"/>
      <c r="AC100" s="143"/>
      <c r="AD100" s="143"/>
      <c r="AE100" s="143"/>
      <c r="AF100" s="96"/>
      <c r="AG100" s="96"/>
      <c r="AH100" s="96"/>
      <c r="AI100" s="96"/>
      <c r="AJ100" s="96"/>
      <c r="AK100" s="96"/>
      <c r="AL100" s="226"/>
      <c r="AM100" s="96"/>
      <c r="AN100" s="92"/>
      <c r="AO100" s="92"/>
      <c r="AP100" s="96"/>
      <c r="AQ100" s="96"/>
      <c r="AR100" s="96"/>
      <c r="AS100" s="96"/>
      <c r="AT100" s="96"/>
      <c r="AU100" s="96"/>
      <c r="AV100" s="96"/>
      <c r="AW100" s="96"/>
      <c r="AX100" s="116"/>
      <c r="AY100" s="116"/>
      <c r="AZ100" s="116"/>
      <c r="BA100" s="116"/>
      <c r="BB100" s="116"/>
      <c r="BC100" s="116"/>
      <c r="BD100" s="116"/>
      <c r="BE100" s="116"/>
      <c r="BF100" s="116"/>
      <c r="BG100" s="116"/>
      <c r="BH100" s="116"/>
      <c r="BI100" s="116"/>
      <c r="BJ100" s="116"/>
      <c r="BK100" s="116"/>
      <c r="BL100" s="116"/>
      <c r="BM100" s="116"/>
      <c r="BN100" s="116"/>
      <c r="BO100" s="116"/>
      <c r="BP100" s="116"/>
      <c r="BQ100" s="116"/>
      <c r="BR100" s="116"/>
      <c r="BS100" s="116"/>
      <c r="BT100" s="116"/>
      <c r="BU100" s="116"/>
      <c r="BV100" s="116"/>
      <c r="BW100" s="116"/>
    </row>
    <row r="101" spans="1:75" s="117" customFormat="1" ht="98.25" customHeight="1" x14ac:dyDescent="0.2">
      <c r="A101" s="457"/>
      <c r="B101" s="458"/>
      <c r="C101" s="863"/>
      <c r="D101" s="805"/>
      <c r="E101" s="805"/>
      <c r="F101" s="805"/>
      <c r="G101" s="805"/>
      <c r="H101" s="805"/>
      <c r="I101" s="805"/>
      <c r="J101" s="604"/>
      <c r="K101" s="599" t="s">
        <v>982</v>
      </c>
      <c r="L101" s="599"/>
      <c r="M101" s="600"/>
      <c r="N101" s="600"/>
      <c r="O101" s="601"/>
      <c r="P101" s="601"/>
      <c r="Q101" s="602"/>
      <c r="R101" s="602"/>
      <c r="S101" s="620"/>
      <c r="T101" s="620"/>
      <c r="U101" s="620"/>
      <c r="V101" s="620"/>
      <c r="W101" s="620"/>
      <c r="X101" s="620"/>
      <c r="Y101" s="620"/>
      <c r="Z101" s="623"/>
      <c r="AA101" s="623"/>
      <c r="AB101" s="624"/>
      <c r="AC101" s="96"/>
      <c r="AD101" s="96"/>
      <c r="AE101" s="96"/>
      <c r="AF101" s="96"/>
      <c r="AG101" s="96"/>
      <c r="AH101" s="96"/>
      <c r="AI101" s="96"/>
      <c r="AJ101" s="96"/>
      <c r="AK101" s="96"/>
      <c r="AL101" s="226"/>
      <c r="AM101" s="96"/>
      <c r="AN101" s="92"/>
      <c r="AO101" s="92"/>
      <c r="AP101" s="96"/>
      <c r="AQ101" s="96"/>
      <c r="AR101" s="96"/>
      <c r="AS101" s="96"/>
      <c r="AT101" s="96"/>
      <c r="AU101" s="96"/>
      <c r="AV101" s="96"/>
      <c r="AW101" s="96"/>
      <c r="AX101" s="116"/>
      <c r="AY101" s="116"/>
      <c r="AZ101" s="116"/>
      <c r="BA101" s="116"/>
      <c r="BB101" s="116"/>
      <c r="BC101" s="116"/>
      <c r="BD101" s="116"/>
      <c r="BE101" s="116"/>
      <c r="BF101" s="116"/>
      <c r="BG101" s="116"/>
      <c r="BH101" s="116"/>
      <c r="BI101" s="116"/>
      <c r="BJ101" s="116"/>
      <c r="BK101" s="116"/>
      <c r="BL101" s="116"/>
      <c r="BM101" s="116"/>
      <c r="BN101" s="116"/>
      <c r="BO101" s="116"/>
      <c r="BP101" s="116"/>
      <c r="BQ101" s="116"/>
      <c r="BR101" s="116"/>
      <c r="BS101" s="116"/>
      <c r="BT101" s="116"/>
      <c r="BU101" s="116"/>
      <c r="BV101" s="116"/>
      <c r="BW101" s="116"/>
    </row>
    <row r="102" spans="1:75" s="54" customFormat="1" ht="18" customHeight="1" x14ac:dyDescent="0.2">
      <c r="A102" s="51"/>
      <c r="B102" s="52"/>
      <c r="C102" s="52"/>
      <c r="D102" s="52"/>
      <c r="E102" s="52"/>
      <c r="F102" s="52"/>
      <c r="G102" s="52"/>
      <c r="H102" s="52"/>
      <c r="I102" s="52"/>
      <c r="J102" s="52"/>
      <c r="K102" s="52"/>
      <c r="L102" s="52"/>
      <c r="M102" s="52"/>
      <c r="N102" s="52"/>
      <c r="O102" s="52"/>
      <c r="P102" s="53"/>
      <c r="Q102" s="53"/>
      <c r="R102" s="53"/>
      <c r="S102" s="53"/>
      <c r="T102" s="53"/>
      <c r="U102" s="53"/>
      <c r="V102" s="53"/>
      <c r="W102" s="53"/>
      <c r="X102" s="53"/>
      <c r="Y102" s="53"/>
      <c r="Z102" s="45"/>
      <c r="AA102" s="45"/>
      <c r="AB102" s="45"/>
      <c r="AC102" s="92"/>
      <c r="AD102" s="92"/>
      <c r="AE102" s="92"/>
      <c r="AF102" s="92"/>
      <c r="AG102" s="92"/>
      <c r="AH102" s="45"/>
      <c r="AI102" s="45"/>
      <c r="AJ102" s="45"/>
      <c r="AK102" s="45"/>
      <c r="AL102" s="225"/>
      <c r="AM102" s="63"/>
      <c r="AN102" s="92"/>
      <c r="AO102" s="92"/>
      <c r="AP102" s="45"/>
      <c r="AQ102" s="45"/>
      <c r="AR102" s="45"/>
      <c r="AS102" s="45"/>
      <c r="AT102" s="45"/>
      <c r="AU102" s="45"/>
      <c r="AV102" s="45"/>
      <c r="AW102" s="45"/>
      <c r="AX102" s="50"/>
      <c r="AY102" s="50"/>
      <c r="AZ102" s="50"/>
      <c r="BA102" s="50"/>
      <c r="BB102" s="50"/>
      <c r="BC102" s="50"/>
      <c r="BD102" s="50"/>
      <c r="BE102" s="42"/>
      <c r="BF102" s="42"/>
      <c r="BG102" s="42"/>
      <c r="BH102" s="42"/>
      <c r="BI102" s="42"/>
      <c r="BJ102" s="42"/>
      <c r="BK102" s="42"/>
      <c r="BL102" s="42"/>
      <c r="BM102" s="42"/>
      <c r="BN102" s="42"/>
      <c r="BO102" s="42"/>
      <c r="BP102" s="42"/>
      <c r="BQ102" s="42"/>
      <c r="BR102" s="42"/>
      <c r="BS102" s="42"/>
      <c r="BT102" s="42"/>
      <c r="BU102" s="42"/>
      <c r="BV102" s="42"/>
      <c r="BW102" s="42"/>
    </row>
    <row r="103" spans="1:75" s="74" customFormat="1" ht="33" customHeight="1" x14ac:dyDescent="0.2">
      <c r="A103" s="433" t="s">
        <v>986</v>
      </c>
      <c r="B103" s="434"/>
      <c r="C103" s="178"/>
      <c r="D103" s="723" t="s">
        <v>1574</v>
      </c>
      <c r="E103" s="723"/>
      <c r="F103" s="723"/>
      <c r="G103" s="723"/>
      <c r="H103" s="723"/>
      <c r="I103" s="723"/>
      <c r="J103" s="723"/>
      <c r="K103" s="244"/>
      <c r="L103" s="245"/>
      <c r="M103" s="245"/>
      <c r="N103" s="245"/>
      <c r="O103" s="245"/>
      <c r="P103" s="245"/>
      <c r="Q103" s="245"/>
      <c r="R103" s="245"/>
      <c r="S103" s="245"/>
      <c r="T103" s="245"/>
      <c r="U103" s="245"/>
      <c r="V103" s="245"/>
      <c r="W103" s="245"/>
      <c r="X103" s="245"/>
      <c r="Y103" s="245"/>
      <c r="Z103" s="245"/>
      <c r="AA103" s="245"/>
      <c r="AB103" s="77"/>
      <c r="AC103" s="92"/>
      <c r="AD103" s="92"/>
      <c r="AE103" s="92"/>
      <c r="AF103" s="92"/>
      <c r="AG103" s="92"/>
      <c r="AH103" s="92"/>
      <c r="AI103" s="92"/>
      <c r="AJ103" s="92"/>
      <c r="AK103" s="92"/>
      <c r="AL103" s="225"/>
      <c r="AM103" s="63">
        <v>8</v>
      </c>
      <c r="AN103" s="92"/>
      <c r="AO103" s="92"/>
      <c r="AP103" s="92"/>
      <c r="AQ103" s="92"/>
      <c r="AR103" s="92"/>
      <c r="AS103" s="92"/>
      <c r="AT103" s="92"/>
      <c r="AU103" s="92"/>
      <c r="AV103" s="85"/>
      <c r="AW103" s="85"/>
      <c r="AX103" s="85"/>
      <c r="AY103" s="85"/>
      <c r="AZ103" s="85"/>
      <c r="BA103" s="85"/>
      <c r="BB103" s="85"/>
      <c r="BC103" s="94"/>
      <c r="BD103" s="94"/>
      <c r="BE103" s="94"/>
      <c r="BF103" s="94"/>
      <c r="BG103" s="94"/>
      <c r="BH103" s="94"/>
      <c r="BI103" s="94"/>
      <c r="BJ103" s="94"/>
      <c r="BK103" s="94"/>
      <c r="BL103" s="94"/>
      <c r="BM103" s="94"/>
      <c r="BN103" s="94"/>
      <c r="BO103" s="94"/>
      <c r="BP103" s="94"/>
      <c r="BQ103" s="94"/>
      <c r="BR103" s="94"/>
      <c r="BS103" s="94"/>
      <c r="BT103" s="94"/>
      <c r="BU103" s="94"/>
    </row>
    <row r="104" spans="1:75" s="163" customFormat="1" ht="18" customHeight="1" x14ac:dyDescent="0.2">
      <c r="A104" s="144" t="s">
        <v>980</v>
      </c>
      <c r="B104" s="160"/>
      <c r="C104" s="160"/>
      <c r="D104" s="160"/>
      <c r="E104" s="160"/>
      <c r="F104" s="160"/>
      <c r="G104" s="100"/>
      <c r="H104" s="100"/>
      <c r="I104" s="100"/>
      <c r="J104" s="100"/>
      <c r="K104" s="100"/>
      <c r="L104" s="100"/>
      <c r="M104" s="100"/>
      <c r="N104" s="100"/>
      <c r="O104" s="100"/>
      <c r="P104" s="100"/>
      <c r="Q104" s="100"/>
      <c r="R104" s="414"/>
      <c r="S104" s="414"/>
      <c r="T104" s="414"/>
      <c r="U104" s="414"/>
      <c r="V104" s="414"/>
      <c r="W104" s="414"/>
      <c r="X104" s="414"/>
      <c r="Y104" s="414"/>
      <c r="Z104" s="414"/>
      <c r="AA104" s="414"/>
      <c r="AB104" s="415"/>
      <c r="AC104" s="92"/>
      <c r="AD104" s="92"/>
      <c r="AE104" s="92"/>
      <c r="AF104" s="92"/>
      <c r="AG104" s="92"/>
      <c r="AH104" s="92"/>
      <c r="AI104" s="92"/>
      <c r="AJ104" s="92"/>
      <c r="AK104" s="92"/>
      <c r="AL104" s="225"/>
      <c r="AM104" s="92">
        <f ca="1">INDIRECT(ADDRESS(ROW()-1,COLUMN()))</f>
        <v>8</v>
      </c>
      <c r="AN104" s="92"/>
      <c r="AO104" s="92"/>
      <c r="AP104" s="92"/>
      <c r="AQ104" s="92"/>
      <c r="AR104" s="92"/>
      <c r="AS104" s="92"/>
      <c r="AT104" s="92"/>
      <c r="AU104" s="92"/>
      <c r="AV104" s="92"/>
      <c r="AW104" s="161"/>
      <c r="AX104" s="161"/>
      <c r="AY104" s="161"/>
      <c r="AZ104" s="161"/>
      <c r="BA104" s="161"/>
      <c r="BB104" s="161"/>
      <c r="BC104" s="161"/>
      <c r="BD104" s="162"/>
      <c r="BE104" s="162"/>
      <c r="BF104" s="162"/>
      <c r="BG104" s="162"/>
      <c r="BH104" s="162"/>
      <c r="BI104" s="162"/>
      <c r="BJ104" s="162"/>
      <c r="BK104" s="162"/>
      <c r="BL104" s="162"/>
      <c r="BM104" s="162"/>
      <c r="BN104" s="162"/>
      <c r="BO104" s="162"/>
      <c r="BP104" s="162"/>
      <c r="BQ104" s="162"/>
      <c r="BR104" s="162"/>
      <c r="BS104" s="162"/>
      <c r="BT104" s="162"/>
      <c r="BU104" s="162"/>
      <c r="BV104" s="162"/>
    </row>
    <row r="105" spans="1:75" s="75" customFormat="1" ht="25.15" customHeight="1" x14ac:dyDescent="0.2">
      <c r="A105" s="355" t="s">
        <v>1900</v>
      </c>
      <c r="B105" s="355"/>
      <c r="C105" s="386"/>
      <c r="D105" s="686" t="s">
        <v>1006</v>
      </c>
      <c r="E105" s="354" t="s">
        <v>61</v>
      </c>
      <c r="F105" s="386"/>
      <c r="G105" s="354" t="s">
        <v>22</v>
      </c>
      <c r="H105" s="355"/>
      <c r="I105" s="355"/>
      <c r="J105" s="386"/>
      <c r="K105" s="354"/>
      <c r="L105" s="355"/>
      <c r="M105" s="374" t="s">
        <v>21</v>
      </c>
      <c r="N105" s="375"/>
      <c r="O105" s="375"/>
      <c r="P105" s="375"/>
      <c r="Q105" s="375"/>
      <c r="R105" s="376"/>
      <c r="S105" s="505" t="s">
        <v>614</v>
      </c>
      <c r="T105" s="506"/>
      <c r="U105" s="506"/>
      <c r="V105" s="506"/>
      <c r="W105" s="506"/>
      <c r="X105" s="506"/>
      <c r="Y105" s="506"/>
      <c r="Z105" s="506"/>
      <c r="AA105" s="506"/>
      <c r="AB105" s="507"/>
      <c r="AC105" s="134"/>
      <c r="AD105" s="249"/>
      <c r="AE105" s="249"/>
      <c r="AF105" s="249"/>
      <c r="AG105" s="249"/>
      <c r="AH105" s="249"/>
      <c r="AI105" s="249"/>
      <c r="AJ105" s="248">
        <v>44</v>
      </c>
      <c r="AK105" s="248" t="e">
        <v>#VALUE!</v>
      </c>
      <c r="AL105" s="685">
        <v>44</v>
      </c>
      <c r="AM105" s="63">
        <f ca="1">INDIRECT(ADDRESS(ROW()-1,COLUMN()))</f>
        <v>8</v>
      </c>
      <c r="AN105" s="180"/>
      <c r="AO105" s="180"/>
      <c r="AP105" s="249"/>
      <c r="AQ105" s="249"/>
      <c r="AR105" s="683"/>
      <c r="AS105" s="683"/>
      <c r="AT105" s="683"/>
      <c r="AU105" s="683"/>
      <c r="AV105" s="683"/>
      <c r="AW105" s="85"/>
      <c r="AX105" s="85"/>
      <c r="AY105" s="85"/>
      <c r="AZ105" s="85"/>
      <c r="BA105" s="85"/>
      <c r="BB105" s="85"/>
      <c r="BC105" s="85"/>
      <c r="BD105" s="95"/>
      <c r="BE105" s="95"/>
      <c r="BF105" s="95"/>
      <c r="BG105" s="95"/>
      <c r="BH105" s="95"/>
      <c r="BI105" s="95"/>
      <c r="BJ105" s="95"/>
      <c r="BK105" s="95"/>
      <c r="BL105" s="95"/>
      <c r="BM105" s="95"/>
      <c r="BN105" s="95"/>
      <c r="BO105" s="95"/>
      <c r="BP105" s="95"/>
      <c r="BQ105" s="95"/>
      <c r="BR105" s="95"/>
      <c r="BS105" s="95"/>
      <c r="BT105" s="95"/>
      <c r="BU105" s="95"/>
      <c r="BV105" s="95"/>
    </row>
    <row r="106" spans="1:75" s="75" customFormat="1" ht="26.25" customHeight="1" x14ac:dyDescent="0.2">
      <c r="A106" s="358"/>
      <c r="B106" s="358"/>
      <c r="C106" s="405"/>
      <c r="D106" s="687"/>
      <c r="E106" s="357"/>
      <c r="F106" s="405"/>
      <c r="G106" s="387"/>
      <c r="H106" s="391"/>
      <c r="I106" s="391"/>
      <c r="J106" s="388"/>
      <c r="K106" s="357"/>
      <c r="L106" s="358"/>
      <c r="M106" s="374" t="s">
        <v>544</v>
      </c>
      <c r="N106" s="376"/>
      <c r="O106" s="374" t="s">
        <v>18</v>
      </c>
      <c r="P106" s="376"/>
      <c r="Q106" s="374" t="s">
        <v>17</v>
      </c>
      <c r="R106" s="376"/>
      <c r="S106" s="508" t="s">
        <v>1901</v>
      </c>
      <c r="T106" s="509"/>
      <c r="U106" s="509"/>
      <c r="V106" s="509"/>
      <c r="W106" s="509"/>
      <c r="X106" s="509"/>
      <c r="Y106" s="509"/>
      <c r="Z106" s="509"/>
      <c r="AA106" s="509"/>
      <c r="AB106" s="510"/>
      <c r="AC106" s="134"/>
      <c r="AD106" s="249"/>
      <c r="AE106" s="249"/>
      <c r="AF106" s="249"/>
      <c r="AG106" s="249"/>
      <c r="AH106" s="249"/>
      <c r="AI106" s="249"/>
      <c r="AJ106" s="246">
        <f ca="1">INDIRECT(ADDRESS(ROW()-1,COLUMN()))</f>
        <v>44</v>
      </c>
      <c r="AK106" s="246" t="e">
        <f ca="1">INDIRECT(ADDRESS(ROW()-1,COLUMN()))</f>
        <v>#VALUE!</v>
      </c>
      <c r="AL106" s="685"/>
      <c r="AM106" s="63">
        <f ca="1">INDIRECT(ADDRESS(ROW()-1,COLUMN()))</f>
        <v>8</v>
      </c>
      <c r="AN106" s="180"/>
      <c r="AO106" s="180"/>
      <c r="AP106" s="249"/>
      <c r="AQ106" s="249"/>
      <c r="AR106" s="683"/>
      <c r="AS106" s="683"/>
      <c r="AT106" s="683"/>
      <c r="AU106" s="683"/>
      <c r="AV106" s="683"/>
      <c r="AW106" s="85"/>
      <c r="AX106" s="85"/>
      <c r="AY106" s="85"/>
      <c r="AZ106" s="85"/>
      <c r="BA106" s="85"/>
      <c r="BB106" s="85"/>
      <c r="BC106" s="85"/>
      <c r="BD106" s="95"/>
      <c r="BE106" s="95"/>
      <c r="BF106" s="95"/>
      <c r="BG106" s="95"/>
      <c r="BH106" s="95"/>
      <c r="BI106" s="95"/>
      <c r="BJ106" s="95"/>
      <c r="BK106" s="95"/>
      <c r="BL106" s="95"/>
      <c r="BM106" s="95"/>
      <c r="BN106" s="95"/>
      <c r="BO106" s="95"/>
      <c r="BP106" s="95"/>
      <c r="BQ106" s="95"/>
      <c r="BR106" s="95"/>
      <c r="BS106" s="95"/>
      <c r="BT106" s="95"/>
      <c r="BU106" s="95"/>
      <c r="BV106" s="95"/>
    </row>
    <row r="107" spans="1:75" s="75" customFormat="1" ht="18" customHeight="1" x14ac:dyDescent="0.2">
      <c r="A107" s="358"/>
      <c r="B107" s="358"/>
      <c r="C107" s="405"/>
      <c r="D107" s="687"/>
      <c r="E107" s="357"/>
      <c r="F107" s="405"/>
      <c r="G107" s="241" t="s">
        <v>15</v>
      </c>
      <c r="H107" s="389" t="s">
        <v>14</v>
      </c>
      <c r="I107" s="389" t="s">
        <v>555</v>
      </c>
      <c r="J107" s="389" t="s">
        <v>9</v>
      </c>
      <c r="K107" s="357"/>
      <c r="L107" s="416"/>
      <c r="M107" s="156" t="s">
        <v>15</v>
      </c>
      <c r="N107" s="503" t="s">
        <v>14</v>
      </c>
      <c r="O107" s="156" t="s">
        <v>15</v>
      </c>
      <c r="P107" s="503" t="s">
        <v>14</v>
      </c>
      <c r="Q107" s="156" t="s">
        <v>15</v>
      </c>
      <c r="R107" s="503" t="s">
        <v>14</v>
      </c>
      <c r="S107" s="508"/>
      <c r="T107" s="509"/>
      <c r="U107" s="509"/>
      <c r="V107" s="509"/>
      <c r="W107" s="509"/>
      <c r="X107" s="509"/>
      <c r="Y107" s="509"/>
      <c r="Z107" s="509"/>
      <c r="AA107" s="509"/>
      <c r="AB107" s="510"/>
      <c r="AC107" s="134"/>
      <c r="AD107" s="249"/>
      <c r="AE107" s="249"/>
      <c r="AF107" s="249"/>
      <c r="AG107" s="249"/>
      <c r="AH107" s="249"/>
      <c r="AI107" s="249"/>
      <c r="AJ107" s="246">
        <f t="shared" ref="AJ107:AK120" ca="1" si="2">INDIRECT(ADDRESS(ROW()-1,COLUMN()))</f>
        <v>44</v>
      </c>
      <c r="AK107" s="246" t="e">
        <f t="shared" ca="1" si="2"/>
        <v>#VALUE!</v>
      </c>
      <c r="AL107" s="685"/>
      <c r="AM107" s="63">
        <f t="shared" ref="AM107:AM124" ca="1" si="3">INDIRECT(ADDRESS(ROW()-1,COLUMN()))</f>
        <v>8</v>
      </c>
      <c r="AN107" s="180"/>
      <c r="AO107" s="180"/>
      <c r="AP107" s="249"/>
      <c r="AQ107" s="249"/>
      <c r="AR107" s="683"/>
      <c r="AS107" s="683"/>
      <c r="AT107" s="683"/>
      <c r="AU107" s="683"/>
      <c r="AV107" s="683"/>
      <c r="AW107" s="85"/>
      <c r="AX107" s="85"/>
      <c r="AY107" s="85"/>
      <c r="AZ107" s="85"/>
      <c r="BA107" s="85"/>
      <c r="BB107" s="85"/>
      <c r="BC107" s="85"/>
      <c r="BD107" s="95"/>
      <c r="BE107" s="95"/>
      <c r="BF107" s="95"/>
      <c r="BG107" s="95"/>
      <c r="BH107" s="95"/>
      <c r="BI107" s="95"/>
      <c r="BJ107" s="95"/>
      <c r="BK107" s="95"/>
      <c r="BL107" s="95"/>
      <c r="BM107" s="95"/>
      <c r="BN107" s="95"/>
      <c r="BO107" s="95"/>
      <c r="BP107" s="95"/>
      <c r="BQ107" s="95"/>
      <c r="BR107" s="95"/>
      <c r="BS107" s="95"/>
      <c r="BT107" s="95"/>
      <c r="BU107" s="95"/>
      <c r="BV107" s="95"/>
    </row>
    <row r="108" spans="1:75" s="75" customFormat="1" ht="18" customHeight="1" x14ac:dyDescent="0.2">
      <c r="A108" s="391"/>
      <c r="B108" s="391"/>
      <c r="C108" s="388"/>
      <c r="D108" s="688"/>
      <c r="E108" s="387"/>
      <c r="F108" s="388"/>
      <c r="G108" s="250" t="s">
        <v>13</v>
      </c>
      <c r="H108" s="390"/>
      <c r="I108" s="390"/>
      <c r="J108" s="390"/>
      <c r="K108" s="387"/>
      <c r="L108" s="417"/>
      <c r="M108" s="157" t="s">
        <v>13</v>
      </c>
      <c r="N108" s="504"/>
      <c r="O108" s="157" t="s">
        <v>13</v>
      </c>
      <c r="P108" s="504"/>
      <c r="Q108" s="157" t="s">
        <v>13</v>
      </c>
      <c r="R108" s="504"/>
      <c r="S108" s="511"/>
      <c r="T108" s="512"/>
      <c r="U108" s="512"/>
      <c r="V108" s="512"/>
      <c r="W108" s="512"/>
      <c r="X108" s="512"/>
      <c r="Y108" s="512"/>
      <c r="Z108" s="512"/>
      <c r="AA108" s="512"/>
      <c r="AB108" s="513"/>
      <c r="AC108" s="134"/>
      <c r="AD108" s="249"/>
      <c r="AE108" s="249"/>
      <c r="AF108" s="249"/>
      <c r="AG108" s="249"/>
      <c r="AH108" s="249"/>
      <c r="AI108" s="249"/>
      <c r="AJ108" s="246">
        <f t="shared" ca="1" si="2"/>
        <v>44</v>
      </c>
      <c r="AK108" s="246" t="e">
        <f t="shared" ca="1" si="2"/>
        <v>#VALUE!</v>
      </c>
      <c r="AL108" s="685"/>
      <c r="AM108" s="63">
        <f t="shared" ca="1" si="3"/>
        <v>8</v>
      </c>
      <c r="AN108" s="180"/>
      <c r="AO108" s="180"/>
      <c r="AP108" s="249"/>
      <c r="AQ108" s="249"/>
      <c r="AR108" s="683"/>
      <c r="AS108" s="683"/>
      <c r="AT108" s="683"/>
      <c r="AU108" s="683"/>
      <c r="AV108" s="683"/>
      <c r="AW108" s="85"/>
      <c r="AX108" s="85"/>
      <c r="AY108" s="85"/>
      <c r="AZ108" s="85"/>
      <c r="BA108" s="85"/>
      <c r="BB108" s="85"/>
      <c r="BC108" s="85"/>
      <c r="BD108" s="95"/>
      <c r="BE108" s="95"/>
      <c r="BF108" s="95"/>
      <c r="BG108" s="95"/>
      <c r="BH108" s="95"/>
      <c r="BI108" s="95"/>
      <c r="BJ108" s="95"/>
      <c r="BK108" s="95"/>
      <c r="BL108" s="95"/>
      <c r="BM108" s="95"/>
      <c r="BN108" s="95"/>
      <c r="BO108" s="95"/>
      <c r="BP108" s="95"/>
      <c r="BQ108" s="95"/>
      <c r="BR108" s="95"/>
      <c r="BS108" s="95"/>
      <c r="BT108" s="95"/>
      <c r="BU108" s="95"/>
      <c r="BV108" s="95"/>
    </row>
    <row r="109" spans="1:75" s="86" customFormat="1" ht="50.25" customHeight="1" x14ac:dyDescent="0.2">
      <c r="A109" s="761" t="s">
        <v>1931</v>
      </c>
      <c r="B109" s="762"/>
      <c r="C109" s="763"/>
      <c r="D109" s="607" t="s">
        <v>1408</v>
      </c>
      <c r="E109" s="610" t="s">
        <v>552</v>
      </c>
      <c r="F109" s="611"/>
      <c r="G109" s="534">
        <v>1994</v>
      </c>
      <c r="H109" s="514">
        <f>G109/G111</f>
        <v>0.17385997035486964</v>
      </c>
      <c r="I109" s="537">
        <v>2012</v>
      </c>
      <c r="J109" s="634" t="s">
        <v>48</v>
      </c>
      <c r="K109" s="616" t="s">
        <v>981</v>
      </c>
      <c r="L109" s="617"/>
      <c r="M109" s="183">
        <v>2700</v>
      </c>
      <c r="N109" s="756">
        <f>M109/M110</f>
        <v>0.22085889570552147</v>
      </c>
      <c r="O109" s="185">
        <v>3097</v>
      </c>
      <c r="P109" s="662">
        <f>IF(O110&lt;&gt;"",O109/O110,"")</f>
        <v>0.24831622835150738</v>
      </c>
      <c r="Q109" s="185">
        <v>3609</v>
      </c>
      <c r="R109" s="756">
        <f>IF(Q110&lt;&gt;"",Q109/Q110,"")</f>
        <v>0.27885952712100137</v>
      </c>
      <c r="S109" s="664" t="s">
        <v>2006</v>
      </c>
      <c r="T109" s="665"/>
      <c r="U109" s="665"/>
      <c r="V109" s="665"/>
      <c r="W109" s="665"/>
      <c r="X109" s="665"/>
      <c r="Y109" s="665"/>
      <c r="Z109" s="665"/>
      <c r="AA109" s="665"/>
      <c r="AB109" s="666"/>
      <c r="AC109" s="141"/>
      <c r="AD109" s="247"/>
      <c r="AE109" s="247"/>
      <c r="AF109" s="247"/>
      <c r="AG109" s="247"/>
      <c r="AH109" s="221"/>
      <c r="AI109" s="221"/>
      <c r="AJ109" s="246">
        <f t="shared" ca="1" si="2"/>
        <v>44</v>
      </c>
      <c r="AK109" s="246" t="e">
        <f t="shared" ca="1" si="2"/>
        <v>#VALUE!</v>
      </c>
      <c r="AL109" s="684" t="str">
        <f ca="1">IFERROR(IF(INDIRECT(ADDRESS(ROW()-4,COLUMN()))+1&lt;=AJ109+AK109,INDIRECT(ADDRESS(ROW()-4,COLUMN()))+1,""),"")</f>
        <v/>
      </c>
      <c r="AM109" s="63">
        <f ca="1">INDIRECT(ADDRESS(ROW()-1,COLUMN()))</f>
        <v>8</v>
      </c>
      <c r="AN109" s="181"/>
      <c r="AO109" s="181"/>
      <c r="AP109" s="247"/>
      <c r="AQ109" s="247"/>
      <c r="AR109" s="682"/>
      <c r="AS109" s="682"/>
      <c r="AT109" s="682"/>
      <c r="AU109" s="682"/>
      <c r="AV109" s="682"/>
      <c r="AW109" s="85"/>
      <c r="AX109" s="85"/>
      <c r="AY109" s="85"/>
      <c r="AZ109" s="85"/>
      <c r="BA109" s="85"/>
      <c r="BB109" s="85"/>
      <c r="BC109" s="85"/>
    </row>
    <row r="110" spans="1:75" s="86" customFormat="1" ht="50.25" customHeight="1" x14ac:dyDescent="0.2">
      <c r="A110" s="764"/>
      <c r="B110" s="765"/>
      <c r="C110" s="766"/>
      <c r="D110" s="608"/>
      <c r="E110" s="612"/>
      <c r="F110" s="613"/>
      <c r="G110" s="535"/>
      <c r="H110" s="536"/>
      <c r="I110" s="538"/>
      <c r="J110" s="635"/>
      <c r="K110" s="618"/>
      <c r="L110" s="619"/>
      <c r="M110" s="184">
        <v>12225</v>
      </c>
      <c r="N110" s="757"/>
      <c r="O110" s="186">
        <v>12472</v>
      </c>
      <c r="P110" s="663"/>
      <c r="Q110" s="186">
        <v>12942</v>
      </c>
      <c r="R110" s="757"/>
      <c r="S110" s="667"/>
      <c r="T110" s="668"/>
      <c r="U110" s="668"/>
      <c r="V110" s="668"/>
      <c r="W110" s="668"/>
      <c r="X110" s="668"/>
      <c r="Y110" s="668"/>
      <c r="Z110" s="668"/>
      <c r="AA110" s="668"/>
      <c r="AB110" s="669"/>
      <c r="AC110" s="141"/>
      <c r="AD110" s="247"/>
      <c r="AE110" s="247"/>
      <c r="AF110" s="247"/>
      <c r="AG110" s="247"/>
      <c r="AH110" s="221"/>
      <c r="AI110" s="221"/>
      <c r="AJ110" s="246">
        <f t="shared" ca="1" si="2"/>
        <v>44</v>
      </c>
      <c r="AK110" s="246" t="e">
        <f t="shared" ca="1" si="2"/>
        <v>#VALUE!</v>
      </c>
      <c r="AL110" s="684"/>
      <c r="AM110" s="63">
        <f t="shared" ca="1" si="3"/>
        <v>8</v>
      </c>
      <c r="AN110" s="181"/>
      <c r="AO110" s="181"/>
      <c r="AP110" s="247"/>
      <c r="AQ110" s="247"/>
      <c r="AR110" s="682"/>
      <c r="AS110" s="682"/>
      <c r="AT110" s="682"/>
      <c r="AU110" s="682"/>
      <c r="AV110" s="682"/>
      <c r="AW110" s="85"/>
      <c r="AX110" s="85"/>
      <c r="AY110" s="85"/>
      <c r="AZ110" s="85"/>
      <c r="BA110" s="85"/>
      <c r="BB110" s="85"/>
      <c r="BC110" s="85"/>
    </row>
    <row r="111" spans="1:75" s="86" customFormat="1" ht="50.25" customHeight="1" x14ac:dyDescent="0.2">
      <c r="A111" s="764"/>
      <c r="B111" s="765"/>
      <c r="C111" s="766"/>
      <c r="D111" s="608"/>
      <c r="E111" s="612"/>
      <c r="F111" s="613"/>
      <c r="G111" s="534">
        <v>11469</v>
      </c>
      <c r="H111" s="536"/>
      <c r="I111" s="538"/>
      <c r="J111" s="635"/>
      <c r="K111" s="656" t="s">
        <v>982</v>
      </c>
      <c r="L111" s="657"/>
      <c r="M111" s="183">
        <f>M109+968</f>
        <v>3668</v>
      </c>
      <c r="N111" s="756">
        <f>IF(M112&lt;&gt;"",M111/M112,"")</f>
        <v>0.30004089979550103</v>
      </c>
      <c r="O111" s="185">
        <f>O109+1268</f>
        <v>4365</v>
      </c>
      <c r="P111" s="662">
        <f>IF(O112&lt;&gt;"",O111/O112,"")</f>
        <v>0.34998396407953819</v>
      </c>
      <c r="Q111" s="185">
        <f>Q109+1566</f>
        <v>5175</v>
      </c>
      <c r="R111" s="756">
        <f>IF(Q112&lt;&gt;"",Q111/Q112,"")</f>
        <v>0.39986091794158551</v>
      </c>
      <c r="S111" s="667"/>
      <c r="T111" s="668"/>
      <c r="U111" s="668"/>
      <c r="V111" s="668"/>
      <c r="W111" s="668"/>
      <c r="X111" s="668"/>
      <c r="Y111" s="668"/>
      <c r="Z111" s="668"/>
      <c r="AA111" s="668"/>
      <c r="AB111" s="669"/>
      <c r="AC111" s="141"/>
      <c r="AD111" s="247"/>
      <c r="AE111" s="247"/>
      <c r="AF111" s="247"/>
      <c r="AG111" s="247"/>
      <c r="AH111" s="247"/>
      <c r="AI111" s="247"/>
      <c r="AJ111" s="246">
        <f t="shared" ca="1" si="2"/>
        <v>44</v>
      </c>
      <c r="AK111" s="246" t="e">
        <f t="shared" ca="1" si="2"/>
        <v>#VALUE!</v>
      </c>
      <c r="AL111" s="684"/>
      <c r="AM111" s="63">
        <f t="shared" ca="1" si="3"/>
        <v>8</v>
      </c>
      <c r="AN111" s="181"/>
      <c r="AO111" s="181"/>
      <c r="AP111" s="247"/>
      <c r="AQ111" s="247"/>
      <c r="AR111" s="682"/>
      <c r="AS111" s="682"/>
      <c r="AT111" s="682"/>
      <c r="AU111" s="682"/>
      <c r="AV111" s="682"/>
      <c r="AW111" s="85"/>
      <c r="AX111" s="85"/>
      <c r="AY111" s="85"/>
      <c r="AZ111" s="85"/>
      <c r="BA111" s="85"/>
      <c r="BB111" s="85"/>
      <c r="BC111" s="85"/>
    </row>
    <row r="112" spans="1:75" s="86" customFormat="1" ht="34.5" customHeight="1" x14ac:dyDescent="0.2">
      <c r="A112" s="767"/>
      <c r="B112" s="768"/>
      <c r="C112" s="769"/>
      <c r="D112" s="609"/>
      <c r="E112" s="614"/>
      <c r="F112" s="615"/>
      <c r="G112" s="535"/>
      <c r="H112" s="515"/>
      <c r="I112" s="539"/>
      <c r="J112" s="636"/>
      <c r="K112" s="658"/>
      <c r="L112" s="659"/>
      <c r="M112" s="184">
        <v>12225</v>
      </c>
      <c r="N112" s="757"/>
      <c r="O112" s="186">
        <v>12472</v>
      </c>
      <c r="P112" s="663"/>
      <c r="Q112" s="186">
        <v>12942</v>
      </c>
      <c r="R112" s="757"/>
      <c r="S112" s="670"/>
      <c r="T112" s="671"/>
      <c r="U112" s="671"/>
      <c r="V112" s="671"/>
      <c r="W112" s="671"/>
      <c r="X112" s="671"/>
      <c r="Y112" s="671"/>
      <c r="Z112" s="671"/>
      <c r="AA112" s="671"/>
      <c r="AB112" s="672"/>
      <c r="AC112" s="141"/>
      <c r="AD112" s="247"/>
      <c r="AE112" s="247"/>
      <c r="AF112" s="247"/>
      <c r="AG112" s="247"/>
      <c r="AH112" s="247"/>
      <c r="AI112" s="247"/>
      <c r="AJ112" s="246">
        <f t="shared" ca="1" si="2"/>
        <v>44</v>
      </c>
      <c r="AK112" s="246" t="e">
        <f t="shared" ca="1" si="2"/>
        <v>#VALUE!</v>
      </c>
      <c r="AL112" s="684"/>
      <c r="AM112" s="63">
        <f t="shared" ca="1" si="3"/>
        <v>8</v>
      </c>
      <c r="AN112" s="181"/>
      <c r="AO112" s="181"/>
      <c r="AP112" s="247"/>
      <c r="AQ112" s="247"/>
      <c r="AR112" s="682"/>
      <c r="AS112" s="682"/>
      <c r="AT112" s="682"/>
      <c r="AU112" s="682"/>
      <c r="AV112" s="682"/>
      <c r="AW112" s="85"/>
      <c r="AX112" s="85"/>
      <c r="AY112" s="85"/>
      <c r="AZ112" s="85"/>
      <c r="BA112" s="85"/>
      <c r="BB112" s="85"/>
      <c r="BC112" s="85"/>
    </row>
    <row r="113" spans="1:75" s="86" customFormat="1" ht="40.5" customHeight="1" x14ac:dyDescent="0.2">
      <c r="A113" s="761" t="s">
        <v>1797</v>
      </c>
      <c r="B113" s="762"/>
      <c r="C113" s="763"/>
      <c r="D113" s="607" t="s">
        <v>1408</v>
      </c>
      <c r="E113" s="610" t="s">
        <v>552</v>
      </c>
      <c r="F113" s="611"/>
      <c r="G113" s="534">
        <v>3</v>
      </c>
      <c r="H113" s="514">
        <f>IF($G115&lt;&gt;"",$G113/$G115,"")</f>
        <v>0.42857142857142855</v>
      </c>
      <c r="I113" s="537">
        <v>2012</v>
      </c>
      <c r="J113" s="634" t="s">
        <v>51</v>
      </c>
      <c r="K113" s="616" t="s">
        <v>981</v>
      </c>
      <c r="L113" s="617"/>
      <c r="M113" s="183">
        <v>4</v>
      </c>
      <c r="N113" s="756">
        <f>IF(M114&lt;&gt;"",M113/M114,"")</f>
        <v>1</v>
      </c>
      <c r="O113" s="185">
        <v>5</v>
      </c>
      <c r="P113" s="756">
        <f>IF(O114&lt;&gt;"",O113/O114,"")</f>
        <v>1</v>
      </c>
      <c r="Q113" s="185">
        <v>7</v>
      </c>
      <c r="R113" s="756">
        <f>IF(Q114&lt;&gt;"",Q113/Q114,"")</f>
        <v>1</v>
      </c>
      <c r="S113" s="812" t="s">
        <v>1985</v>
      </c>
      <c r="T113" s="665"/>
      <c r="U113" s="665"/>
      <c r="V113" s="665"/>
      <c r="W113" s="665"/>
      <c r="X113" s="665"/>
      <c r="Y113" s="665"/>
      <c r="Z113" s="665"/>
      <c r="AA113" s="665"/>
      <c r="AB113" s="666"/>
      <c r="AC113" s="141"/>
      <c r="AD113" s="247"/>
      <c r="AE113" s="247"/>
      <c r="AF113" s="247"/>
      <c r="AG113" s="247"/>
      <c r="AH113" s="247"/>
      <c r="AI113" s="247"/>
      <c r="AJ113" s="246">
        <f t="shared" ca="1" si="2"/>
        <v>44</v>
      </c>
      <c r="AK113" s="246" t="e">
        <f t="shared" ca="1" si="2"/>
        <v>#VALUE!</v>
      </c>
      <c r="AL113" s="684" t="str">
        <f t="shared" ref="AL113" ca="1" si="4">IFERROR(IF(INDIRECT(ADDRESS(ROW()-4,COLUMN()))+1&lt;=AJ113+AK113,INDIRECT(ADDRESS(ROW()-4,COLUMN()))+1,""),"")</f>
        <v/>
      </c>
      <c r="AM113" s="63">
        <f t="shared" ca="1" si="3"/>
        <v>8</v>
      </c>
      <c r="AN113" s="181"/>
      <c r="AO113" s="181"/>
      <c r="AP113" s="247"/>
      <c r="AQ113" s="247"/>
      <c r="AR113" s="682"/>
      <c r="AS113" s="682"/>
      <c r="AT113" s="682"/>
      <c r="AU113" s="682"/>
      <c r="AV113" s="682"/>
      <c r="AW113" s="85"/>
      <c r="AX113" s="85"/>
      <c r="AY113" s="85"/>
      <c r="AZ113" s="85"/>
      <c r="BA113" s="85"/>
      <c r="BB113" s="85"/>
      <c r="BC113" s="85"/>
    </row>
    <row r="114" spans="1:75" s="86" customFormat="1" ht="40.5" customHeight="1" x14ac:dyDescent="0.2">
      <c r="A114" s="764"/>
      <c r="B114" s="765"/>
      <c r="C114" s="766"/>
      <c r="D114" s="608"/>
      <c r="E114" s="612"/>
      <c r="F114" s="613"/>
      <c r="G114" s="535"/>
      <c r="H114" s="536"/>
      <c r="I114" s="538"/>
      <c r="J114" s="635"/>
      <c r="K114" s="618"/>
      <c r="L114" s="619"/>
      <c r="M114" s="184">
        <v>4</v>
      </c>
      <c r="N114" s="757"/>
      <c r="O114" s="186">
        <v>5</v>
      </c>
      <c r="P114" s="757"/>
      <c r="Q114" s="186">
        <v>7</v>
      </c>
      <c r="R114" s="757"/>
      <c r="S114" s="667"/>
      <c r="T114" s="668"/>
      <c r="U114" s="668"/>
      <c r="V114" s="668"/>
      <c r="W114" s="668"/>
      <c r="X114" s="668"/>
      <c r="Y114" s="668"/>
      <c r="Z114" s="668"/>
      <c r="AA114" s="668"/>
      <c r="AB114" s="669"/>
      <c r="AC114" s="141"/>
      <c r="AD114" s="247"/>
      <c r="AE114" s="247"/>
      <c r="AF114" s="247"/>
      <c r="AG114" s="247"/>
      <c r="AH114" s="247"/>
      <c r="AI114" s="247"/>
      <c r="AJ114" s="246">
        <f t="shared" ca="1" si="2"/>
        <v>44</v>
      </c>
      <c r="AK114" s="246" t="e">
        <f t="shared" ca="1" si="2"/>
        <v>#VALUE!</v>
      </c>
      <c r="AL114" s="684"/>
      <c r="AM114" s="63">
        <f t="shared" ca="1" si="3"/>
        <v>8</v>
      </c>
      <c r="AN114" s="181"/>
      <c r="AO114" s="181"/>
      <c r="AP114" s="247"/>
      <c r="AQ114" s="247"/>
      <c r="AR114" s="682"/>
      <c r="AS114" s="682"/>
      <c r="AT114" s="682"/>
      <c r="AU114" s="682"/>
      <c r="AV114" s="682"/>
      <c r="AW114" s="85"/>
      <c r="AX114" s="85"/>
      <c r="AY114" s="85"/>
      <c r="AZ114" s="85"/>
      <c r="BA114" s="85"/>
      <c r="BB114" s="85"/>
      <c r="BC114" s="85"/>
    </row>
    <row r="115" spans="1:75" s="86" customFormat="1" ht="40.5" customHeight="1" x14ac:dyDescent="0.2">
      <c r="A115" s="764"/>
      <c r="B115" s="765"/>
      <c r="C115" s="766"/>
      <c r="D115" s="608"/>
      <c r="E115" s="612"/>
      <c r="F115" s="613"/>
      <c r="G115" s="534">
        <v>7</v>
      </c>
      <c r="H115" s="536"/>
      <c r="I115" s="538"/>
      <c r="J115" s="635"/>
      <c r="K115" s="656" t="s">
        <v>982</v>
      </c>
      <c r="L115" s="657"/>
      <c r="M115" s="183">
        <f>M113</f>
        <v>4</v>
      </c>
      <c r="N115" s="756">
        <f>N113</f>
        <v>1</v>
      </c>
      <c r="O115" s="185">
        <f>O113</f>
        <v>5</v>
      </c>
      <c r="P115" s="756">
        <f>P113</f>
        <v>1</v>
      </c>
      <c r="Q115" s="185">
        <f>Q113</f>
        <v>7</v>
      </c>
      <c r="R115" s="813">
        <f>Q115/Q116</f>
        <v>1</v>
      </c>
      <c r="S115" s="667"/>
      <c r="T115" s="668"/>
      <c r="U115" s="668"/>
      <c r="V115" s="668"/>
      <c r="W115" s="668"/>
      <c r="X115" s="668"/>
      <c r="Y115" s="668"/>
      <c r="Z115" s="668"/>
      <c r="AA115" s="668"/>
      <c r="AB115" s="669"/>
      <c r="AC115" s="141"/>
      <c r="AD115" s="247"/>
      <c r="AE115" s="247"/>
      <c r="AF115" s="247"/>
      <c r="AG115" s="247"/>
      <c r="AH115" s="247"/>
      <c r="AI115" s="247"/>
      <c r="AJ115" s="246">
        <f t="shared" ca="1" si="2"/>
        <v>44</v>
      </c>
      <c r="AK115" s="246" t="e">
        <f t="shared" ca="1" si="2"/>
        <v>#VALUE!</v>
      </c>
      <c r="AL115" s="684"/>
      <c r="AM115" s="63">
        <f t="shared" ca="1" si="3"/>
        <v>8</v>
      </c>
      <c r="AN115" s="181"/>
      <c r="AO115" s="181"/>
      <c r="AP115" s="247"/>
      <c r="AQ115" s="247"/>
      <c r="AR115" s="682"/>
      <c r="AS115" s="682"/>
      <c r="AT115" s="682"/>
      <c r="AU115" s="682"/>
      <c r="AV115" s="682"/>
      <c r="AW115" s="85"/>
      <c r="AX115" s="85"/>
      <c r="AY115" s="85"/>
      <c r="AZ115" s="85"/>
      <c r="BA115" s="85"/>
      <c r="BB115" s="85"/>
      <c r="BC115" s="85"/>
    </row>
    <row r="116" spans="1:75" s="86" customFormat="1" ht="29.25" customHeight="1" x14ac:dyDescent="0.2">
      <c r="A116" s="767"/>
      <c r="B116" s="768"/>
      <c r="C116" s="769"/>
      <c r="D116" s="609"/>
      <c r="E116" s="614"/>
      <c r="F116" s="615"/>
      <c r="G116" s="535"/>
      <c r="H116" s="515"/>
      <c r="I116" s="539"/>
      <c r="J116" s="636"/>
      <c r="K116" s="658"/>
      <c r="L116" s="659"/>
      <c r="M116" s="184">
        <f>M114</f>
        <v>4</v>
      </c>
      <c r="N116" s="757"/>
      <c r="O116" s="186">
        <f>O114</f>
        <v>5</v>
      </c>
      <c r="P116" s="757"/>
      <c r="Q116" s="186">
        <f>Q114</f>
        <v>7</v>
      </c>
      <c r="R116" s="814"/>
      <c r="S116" s="670"/>
      <c r="T116" s="671"/>
      <c r="U116" s="671"/>
      <c r="V116" s="671"/>
      <c r="W116" s="671"/>
      <c r="X116" s="671"/>
      <c r="Y116" s="671"/>
      <c r="Z116" s="671"/>
      <c r="AA116" s="671"/>
      <c r="AB116" s="672"/>
      <c r="AC116" s="141"/>
      <c r="AD116" s="247"/>
      <c r="AE116" s="247"/>
      <c r="AF116" s="247"/>
      <c r="AG116" s="247"/>
      <c r="AH116" s="247"/>
      <c r="AI116" s="247"/>
      <c r="AJ116" s="246">
        <f t="shared" ca="1" si="2"/>
        <v>44</v>
      </c>
      <c r="AK116" s="246" t="e">
        <f t="shared" ca="1" si="2"/>
        <v>#VALUE!</v>
      </c>
      <c r="AL116" s="684"/>
      <c r="AM116" s="63">
        <f t="shared" ca="1" si="3"/>
        <v>8</v>
      </c>
      <c r="AN116" s="181"/>
      <c r="AO116" s="181"/>
      <c r="AP116" s="247"/>
      <c r="AQ116" s="247"/>
      <c r="AR116" s="682"/>
      <c r="AS116" s="682"/>
      <c r="AT116" s="682"/>
      <c r="AU116" s="682"/>
      <c r="AV116" s="682"/>
      <c r="AW116" s="85"/>
      <c r="AX116" s="85"/>
      <c r="AY116" s="85"/>
      <c r="AZ116" s="85"/>
      <c r="BA116" s="85"/>
      <c r="BB116" s="85"/>
      <c r="BC116" s="85"/>
    </row>
    <row r="117" spans="1:75" s="86" customFormat="1" ht="50.25" customHeight="1" x14ac:dyDescent="0.2">
      <c r="A117" s="761" t="s">
        <v>1798</v>
      </c>
      <c r="B117" s="762"/>
      <c r="C117" s="763"/>
      <c r="D117" s="607" t="s">
        <v>1408</v>
      </c>
      <c r="E117" s="610" t="s">
        <v>552</v>
      </c>
      <c r="F117" s="611"/>
      <c r="G117" s="534">
        <v>1807</v>
      </c>
      <c r="H117" s="514">
        <f>IF($G119&lt;&gt;"",$G117/$G119,"")</f>
        <v>0.15755514866160955</v>
      </c>
      <c r="I117" s="537">
        <v>2012</v>
      </c>
      <c r="J117" s="634" t="s">
        <v>48</v>
      </c>
      <c r="K117" s="616" t="s">
        <v>981</v>
      </c>
      <c r="L117" s="617"/>
      <c r="M117" s="183">
        <v>2700</v>
      </c>
      <c r="N117" s="662">
        <f>M117/M118</f>
        <v>0.22085889570552147</v>
      </c>
      <c r="O117" s="185">
        <v>3087</v>
      </c>
      <c r="P117" s="662">
        <f>IF(O118&lt;&gt;"",O117/O118,"")</f>
        <v>0.24751443232841566</v>
      </c>
      <c r="Q117" s="185">
        <v>3609</v>
      </c>
      <c r="R117" s="756">
        <f>IF(Q118&lt;&gt;"",Q117/Q118,"")</f>
        <v>0.27885952712100137</v>
      </c>
      <c r="S117" s="664" t="s">
        <v>2011</v>
      </c>
      <c r="T117" s="665"/>
      <c r="U117" s="665"/>
      <c r="V117" s="665"/>
      <c r="W117" s="665"/>
      <c r="X117" s="665"/>
      <c r="Y117" s="665"/>
      <c r="Z117" s="665"/>
      <c r="AA117" s="665"/>
      <c r="AB117" s="666"/>
      <c r="AC117" s="141"/>
      <c r="AD117" s="247"/>
      <c r="AE117" s="247"/>
      <c r="AF117" s="247"/>
      <c r="AG117" s="247"/>
      <c r="AH117" s="247"/>
      <c r="AI117" s="247"/>
      <c r="AJ117" s="246">
        <f t="shared" ca="1" si="2"/>
        <v>44</v>
      </c>
      <c r="AK117" s="246" t="e">
        <f t="shared" ca="1" si="2"/>
        <v>#VALUE!</v>
      </c>
      <c r="AL117" s="684" t="str">
        <f t="shared" ref="AL117" ca="1" si="5">IFERROR(IF(INDIRECT(ADDRESS(ROW()-4,COLUMN()))+1&lt;=AJ117+AK117,INDIRECT(ADDRESS(ROW()-4,COLUMN()))+1,""),"")</f>
        <v/>
      </c>
      <c r="AM117" s="63">
        <f t="shared" ca="1" si="3"/>
        <v>8</v>
      </c>
      <c r="AN117" s="181"/>
      <c r="AO117" s="181"/>
      <c r="AP117" s="247"/>
      <c r="AQ117" s="247"/>
      <c r="AR117" s="682"/>
      <c r="AS117" s="682"/>
      <c r="AT117" s="682"/>
      <c r="AU117" s="682"/>
      <c r="AV117" s="682"/>
      <c r="AW117" s="85"/>
      <c r="AX117" s="85"/>
      <c r="AY117" s="85"/>
      <c r="AZ117" s="85"/>
      <c r="BA117" s="85"/>
      <c r="BB117" s="85"/>
      <c r="BC117" s="85"/>
    </row>
    <row r="118" spans="1:75" s="86" customFormat="1" ht="50.25" customHeight="1" x14ac:dyDescent="0.2">
      <c r="A118" s="764"/>
      <c r="B118" s="765"/>
      <c r="C118" s="766"/>
      <c r="D118" s="608"/>
      <c r="E118" s="612"/>
      <c r="F118" s="613"/>
      <c r="G118" s="535"/>
      <c r="H118" s="536"/>
      <c r="I118" s="538"/>
      <c r="J118" s="635"/>
      <c r="K118" s="618"/>
      <c r="L118" s="619"/>
      <c r="M118" s="184">
        <v>12225</v>
      </c>
      <c r="N118" s="663"/>
      <c r="O118" s="186">
        <v>12472</v>
      </c>
      <c r="P118" s="663"/>
      <c r="Q118" s="186">
        <v>12942</v>
      </c>
      <c r="R118" s="757"/>
      <c r="S118" s="667"/>
      <c r="T118" s="668"/>
      <c r="U118" s="668"/>
      <c r="V118" s="668"/>
      <c r="W118" s="668"/>
      <c r="X118" s="668"/>
      <c r="Y118" s="668"/>
      <c r="Z118" s="668"/>
      <c r="AA118" s="668"/>
      <c r="AB118" s="669"/>
      <c r="AC118" s="141"/>
      <c r="AD118" s="247"/>
      <c r="AE118" s="247"/>
      <c r="AF118" s="247"/>
      <c r="AG118" s="247"/>
      <c r="AH118" s="247"/>
      <c r="AI118" s="247"/>
      <c r="AJ118" s="246">
        <f t="shared" ca="1" si="2"/>
        <v>44</v>
      </c>
      <c r="AK118" s="246" t="e">
        <f t="shared" ca="1" si="2"/>
        <v>#VALUE!</v>
      </c>
      <c r="AL118" s="684"/>
      <c r="AM118" s="63">
        <f t="shared" ca="1" si="3"/>
        <v>8</v>
      </c>
      <c r="AN118" s="181"/>
      <c r="AO118" s="181"/>
      <c r="AP118" s="247"/>
      <c r="AQ118" s="247"/>
      <c r="AR118" s="682"/>
      <c r="AS118" s="682"/>
      <c r="AT118" s="682"/>
      <c r="AU118" s="682"/>
      <c r="AV118" s="682"/>
      <c r="AW118" s="85"/>
      <c r="AX118" s="85"/>
      <c r="AY118" s="85"/>
      <c r="AZ118" s="85"/>
      <c r="BA118" s="85"/>
      <c r="BB118" s="85"/>
      <c r="BC118" s="85"/>
    </row>
    <row r="119" spans="1:75" s="86" customFormat="1" ht="50.25" customHeight="1" x14ac:dyDescent="0.2">
      <c r="A119" s="764"/>
      <c r="B119" s="765"/>
      <c r="C119" s="766"/>
      <c r="D119" s="608"/>
      <c r="E119" s="612"/>
      <c r="F119" s="613"/>
      <c r="G119" s="534">
        <v>11469</v>
      </c>
      <c r="H119" s="536"/>
      <c r="I119" s="538"/>
      <c r="J119" s="635"/>
      <c r="K119" s="656" t="s">
        <v>982</v>
      </c>
      <c r="L119" s="657"/>
      <c r="M119" s="183">
        <f>968+M117</f>
        <v>3668</v>
      </c>
      <c r="N119" s="662">
        <f>IF(M120&lt;&gt;"",M119/M120,"")</f>
        <v>0.30004089979550103</v>
      </c>
      <c r="O119" s="185">
        <f>1268+O117</f>
        <v>4355</v>
      </c>
      <c r="P119" s="662">
        <f>IF(O120&lt;&gt;"",O119/O120,"")</f>
        <v>0.34918216805644642</v>
      </c>
      <c r="Q119" s="185">
        <f>1568+Q117</f>
        <v>5177</v>
      </c>
      <c r="R119" s="756">
        <f>IF(Q120&lt;&gt;"",Q119/Q120,"")</f>
        <v>0.40001545356204604</v>
      </c>
      <c r="S119" s="667"/>
      <c r="T119" s="668"/>
      <c r="U119" s="668"/>
      <c r="V119" s="668"/>
      <c r="W119" s="668"/>
      <c r="X119" s="668"/>
      <c r="Y119" s="668"/>
      <c r="Z119" s="668"/>
      <c r="AA119" s="668"/>
      <c r="AB119" s="669"/>
      <c r="AC119" s="141"/>
      <c r="AD119" s="247"/>
      <c r="AE119" s="247"/>
      <c r="AF119" s="247"/>
      <c r="AG119" s="247"/>
      <c r="AH119" s="247"/>
      <c r="AI119" s="247"/>
      <c r="AJ119" s="246">
        <f t="shared" ca="1" si="2"/>
        <v>44</v>
      </c>
      <c r="AK119" s="246" t="e">
        <f t="shared" ca="1" si="2"/>
        <v>#VALUE!</v>
      </c>
      <c r="AL119" s="684"/>
      <c r="AM119" s="63">
        <f t="shared" ca="1" si="3"/>
        <v>8</v>
      </c>
      <c r="AN119" s="181"/>
      <c r="AO119" s="181"/>
      <c r="AP119" s="247"/>
      <c r="AQ119" s="247"/>
      <c r="AR119" s="682"/>
      <c r="AS119" s="682"/>
      <c r="AT119" s="682"/>
      <c r="AU119" s="682"/>
      <c r="AV119" s="682"/>
      <c r="AW119" s="85"/>
      <c r="AX119" s="85"/>
      <c r="AY119" s="85"/>
      <c r="AZ119" s="85"/>
      <c r="BA119" s="85"/>
      <c r="BB119" s="85"/>
      <c r="BC119" s="85"/>
    </row>
    <row r="120" spans="1:75" s="86" customFormat="1" ht="50.25" customHeight="1" x14ac:dyDescent="0.2">
      <c r="A120" s="767"/>
      <c r="B120" s="768"/>
      <c r="C120" s="769"/>
      <c r="D120" s="609"/>
      <c r="E120" s="614"/>
      <c r="F120" s="615"/>
      <c r="G120" s="535"/>
      <c r="H120" s="515"/>
      <c r="I120" s="539"/>
      <c r="J120" s="636"/>
      <c r="K120" s="658"/>
      <c r="L120" s="659"/>
      <c r="M120" s="184">
        <v>12225</v>
      </c>
      <c r="N120" s="663"/>
      <c r="O120" s="186">
        <v>12472</v>
      </c>
      <c r="P120" s="663"/>
      <c r="Q120" s="186">
        <v>12942</v>
      </c>
      <c r="R120" s="757"/>
      <c r="S120" s="670"/>
      <c r="T120" s="671"/>
      <c r="U120" s="671"/>
      <c r="V120" s="671"/>
      <c r="W120" s="671"/>
      <c r="X120" s="671"/>
      <c r="Y120" s="671"/>
      <c r="Z120" s="671"/>
      <c r="AA120" s="671"/>
      <c r="AB120" s="672"/>
      <c r="AC120" s="141"/>
      <c r="AD120" s="247"/>
      <c r="AE120" s="247"/>
      <c r="AF120" s="247"/>
      <c r="AG120" s="247"/>
      <c r="AH120" s="247"/>
      <c r="AI120" s="247"/>
      <c r="AJ120" s="246">
        <f t="shared" ca="1" si="2"/>
        <v>44</v>
      </c>
      <c r="AK120" s="246" t="e">
        <f t="shared" ca="1" si="2"/>
        <v>#VALUE!</v>
      </c>
      <c r="AL120" s="684"/>
      <c r="AM120" s="63">
        <f t="shared" ca="1" si="3"/>
        <v>8</v>
      </c>
      <c r="AN120" s="181"/>
      <c r="AO120" s="181"/>
      <c r="AP120" s="247"/>
      <c r="AQ120" s="247"/>
      <c r="AR120" s="682"/>
      <c r="AS120" s="682"/>
      <c r="AT120" s="682"/>
      <c r="AU120" s="682"/>
      <c r="AV120" s="682"/>
      <c r="AW120" s="85"/>
      <c r="AX120" s="85"/>
      <c r="AY120" s="85"/>
      <c r="AZ120" s="85"/>
      <c r="BA120" s="85"/>
      <c r="BB120" s="85"/>
      <c r="BC120" s="85"/>
    </row>
    <row r="121" spans="1:75" s="163" customFormat="1" ht="18" customHeight="1" x14ac:dyDescent="0.2">
      <c r="A121" s="144" t="s">
        <v>1546</v>
      </c>
      <c r="B121" s="242"/>
      <c r="C121" s="242"/>
      <c r="D121" s="242"/>
      <c r="E121" s="242"/>
      <c r="F121" s="242"/>
      <c r="G121" s="242"/>
      <c r="H121" s="242"/>
      <c r="I121" s="242"/>
      <c r="J121" s="242"/>
      <c r="K121" s="242"/>
      <c r="L121" s="242"/>
      <c r="M121" s="242"/>
      <c r="N121" s="242"/>
      <c r="O121" s="242"/>
      <c r="P121" s="242"/>
      <c r="Q121" s="242"/>
      <c r="R121" s="242"/>
      <c r="S121" s="242"/>
      <c r="T121" s="242"/>
      <c r="U121" s="242"/>
      <c r="V121" s="242"/>
      <c r="W121" s="242"/>
      <c r="X121" s="242"/>
      <c r="Y121" s="242"/>
      <c r="Z121" s="242"/>
      <c r="AA121" s="242"/>
      <c r="AB121" s="243"/>
      <c r="AC121" s="92"/>
      <c r="AD121" s="92"/>
      <c r="AE121" s="92"/>
      <c r="AF121" s="92"/>
      <c r="AG121" s="92"/>
      <c r="AH121" s="92"/>
      <c r="AI121" s="92"/>
      <c r="AJ121" s="92"/>
      <c r="AK121" s="92"/>
      <c r="AL121" s="225"/>
      <c r="AM121" s="92">
        <f t="shared" ca="1" si="3"/>
        <v>8</v>
      </c>
      <c r="AN121" s="92"/>
      <c r="AO121" s="92"/>
      <c r="AP121" s="92"/>
      <c r="AQ121" s="92"/>
      <c r="AR121" s="92"/>
      <c r="AS121" s="92"/>
      <c r="AT121" s="92"/>
      <c r="AU121" s="92"/>
      <c r="AV121" s="161"/>
      <c r="AW121" s="161"/>
      <c r="AX121" s="161"/>
      <c r="AY121" s="161"/>
      <c r="AZ121" s="161"/>
      <c r="BA121" s="161"/>
      <c r="BB121" s="161"/>
      <c r="BC121" s="162"/>
      <c r="BD121" s="162"/>
      <c r="BE121" s="162"/>
      <c r="BF121" s="162"/>
      <c r="BG121" s="162"/>
      <c r="BH121" s="162"/>
      <c r="BI121" s="162"/>
      <c r="BJ121" s="162"/>
      <c r="BK121" s="162"/>
      <c r="BL121" s="162"/>
      <c r="BM121" s="162"/>
      <c r="BN121" s="162"/>
      <c r="BO121" s="162"/>
      <c r="BP121" s="162"/>
      <c r="BQ121" s="162"/>
      <c r="BR121" s="162"/>
      <c r="BS121" s="162"/>
      <c r="BT121" s="162"/>
      <c r="BU121" s="162"/>
    </row>
    <row r="122" spans="1:75" s="159" customFormat="1" ht="18" customHeight="1" x14ac:dyDescent="0.2">
      <c r="A122" s="555" t="s">
        <v>1547</v>
      </c>
      <c r="B122" s="556"/>
      <c r="C122" s="556"/>
      <c r="D122" s="556"/>
      <c r="E122" s="557"/>
      <c r="F122" s="317">
        <f>M125+O125+Q125+M129+O129+Q129+M133+O133+Q133+M137+O137+Q137+M141+O141+Q141</f>
        <v>52404111.317481413</v>
      </c>
      <c r="G122" s="240"/>
      <c r="H122" s="240"/>
      <c r="I122" s="164"/>
      <c r="J122" s="558" t="s">
        <v>1548</v>
      </c>
      <c r="K122" s="559"/>
      <c r="L122" s="559"/>
      <c r="M122" s="559"/>
      <c r="N122" s="559"/>
      <c r="O122" s="559"/>
      <c r="P122" s="559"/>
      <c r="Q122" s="654">
        <f>M126+O126+Q126+M130+O130+Q130+M138+O138+M142+O142+Q142+Q138</f>
        <v>20309222.479389731</v>
      </c>
      <c r="R122" s="655"/>
      <c r="S122" s="562"/>
      <c r="T122" s="562"/>
      <c r="U122" s="562"/>
      <c r="V122" s="164"/>
      <c r="W122" s="164"/>
      <c r="X122" s="251"/>
      <c r="Y122" s="251"/>
      <c r="Z122" s="164"/>
      <c r="AA122" s="164"/>
      <c r="AB122" s="165"/>
      <c r="AC122" s="96"/>
      <c r="AD122" s="96"/>
      <c r="AE122" s="96"/>
      <c r="AF122" s="96"/>
      <c r="AG122" s="96"/>
      <c r="AH122" s="96"/>
      <c r="AI122" s="96"/>
      <c r="AJ122" s="96"/>
      <c r="AK122" s="96"/>
      <c r="AL122" s="226"/>
      <c r="AM122" s="63">
        <f t="shared" ca="1" si="3"/>
        <v>8</v>
      </c>
      <c r="AN122" s="182">
        <f>F122</f>
        <v>52404111.317481413</v>
      </c>
      <c r="AO122" s="182">
        <f>Q122</f>
        <v>20309222.479389731</v>
      </c>
      <c r="AP122" s="96"/>
      <c r="AQ122" s="96"/>
      <c r="AR122" s="96"/>
      <c r="AS122" s="96"/>
      <c r="AT122" s="96"/>
      <c r="AU122" s="96"/>
      <c r="AV122" s="116"/>
      <c r="AW122" s="116"/>
      <c r="AX122" s="116"/>
      <c r="AY122" s="116"/>
      <c r="AZ122" s="116"/>
      <c r="BA122" s="116"/>
      <c r="BB122" s="116"/>
      <c r="BC122" s="158"/>
      <c r="BD122" s="158"/>
      <c r="BE122" s="158"/>
      <c r="BF122" s="158"/>
      <c r="BG122" s="158"/>
      <c r="BH122" s="158"/>
      <c r="BI122" s="158"/>
      <c r="BJ122" s="158"/>
      <c r="BK122" s="158"/>
      <c r="BL122" s="158"/>
      <c r="BM122" s="158"/>
      <c r="BN122" s="158"/>
      <c r="BO122" s="158"/>
      <c r="BP122" s="158"/>
      <c r="BQ122" s="158"/>
      <c r="BR122" s="158"/>
      <c r="BS122" s="158"/>
      <c r="BT122" s="158"/>
      <c r="BU122" s="158"/>
    </row>
    <row r="123" spans="1:75" s="104" customFormat="1" ht="30.75" customHeight="1" x14ac:dyDescent="0.2">
      <c r="A123" s="354" t="s">
        <v>1545</v>
      </c>
      <c r="B123" s="355"/>
      <c r="C123" s="386"/>
      <c r="D123" s="563" t="s">
        <v>1539</v>
      </c>
      <c r="E123" s="564"/>
      <c r="F123" s="564"/>
      <c r="G123" s="564"/>
      <c r="H123" s="564"/>
      <c r="I123" s="565"/>
      <c r="J123" s="389" t="s">
        <v>1006</v>
      </c>
      <c r="K123" s="354" t="s">
        <v>1536</v>
      </c>
      <c r="L123" s="355"/>
      <c r="M123" s="355"/>
      <c r="N123" s="355"/>
      <c r="O123" s="355"/>
      <c r="P123" s="355"/>
      <c r="Q123" s="355"/>
      <c r="R123" s="386"/>
      <c r="S123" s="563" t="s">
        <v>1538</v>
      </c>
      <c r="T123" s="564"/>
      <c r="U123" s="564"/>
      <c r="V123" s="564"/>
      <c r="W123" s="564"/>
      <c r="X123" s="564"/>
      <c r="Y123" s="565"/>
      <c r="Z123" s="755" t="s">
        <v>1537</v>
      </c>
      <c r="AA123" s="755"/>
      <c r="AB123" s="755"/>
      <c r="AC123" s="92"/>
      <c r="AD123" s="92"/>
      <c r="AE123" s="92"/>
      <c r="AF123" s="92"/>
      <c r="AG123" s="92"/>
      <c r="AH123" s="92"/>
      <c r="AI123" s="92"/>
      <c r="AJ123" s="92"/>
      <c r="AK123" s="92"/>
      <c r="AL123" s="225"/>
      <c r="AM123" s="63">
        <f t="shared" ca="1" si="3"/>
        <v>8</v>
      </c>
      <c r="AN123" s="92"/>
      <c r="AO123" s="92"/>
      <c r="AP123" s="92"/>
      <c r="AQ123" s="92"/>
      <c r="AR123" s="92"/>
      <c r="AS123" s="92"/>
      <c r="AT123" s="92"/>
      <c r="AU123" s="92"/>
      <c r="AV123" s="92"/>
      <c r="AW123" s="92"/>
      <c r="AX123" s="85"/>
      <c r="AY123" s="85"/>
      <c r="AZ123" s="85"/>
      <c r="BA123" s="85"/>
      <c r="BB123" s="85"/>
      <c r="BC123" s="85"/>
      <c r="BD123" s="85"/>
      <c r="BE123" s="90"/>
      <c r="BF123" s="90"/>
      <c r="BG123" s="90"/>
      <c r="BH123" s="90"/>
      <c r="BI123" s="90"/>
      <c r="BJ123" s="90"/>
      <c r="BK123" s="90"/>
      <c r="BL123" s="90"/>
      <c r="BM123" s="90"/>
      <c r="BN123" s="90"/>
      <c r="BO123" s="90"/>
      <c r="BP123" s="90"/>
      <c r="BQ123" s="90"/>
      <c r="BR123" s="90"/>
      <c r="BS123" s="90"/>
      <c r="BT123" s="90"/>
      <c r="BU123" s="90"/>
      <c r="BV123" s="90"/>
      <c r="BW123" s="90"/>
    </row>
    <row r="124" spans="1:75" s="104" customFormat="1" ht="67.5" customHeight="1" x14ac:dyDescent="0.2">
      <c r="A124" s="387"/>
      <c r="B124" s="391"/>
      <c r="C124" s="388"/>
      <c r="D124" s="552" t="s">
        <v>1540</v>
      </c>
      <c r="E124" s="553"/>
      <c r="F124" s="553"/>
      <c r="G124" s="553"/>
      <c r="H124" s="553"/>
      <c r="I124" s="554"/>
      <c r="J124" s="390"/>
      <c r="K124" s="238"/>
      <c r="L124" s="239"/>
      <c r="M124" s="374" t="s">
        <v>544</v>
      </c>
      <c r="N124" s="376"/>
      <c r="O124" s="755" t="s">
        <v>18</v>
      </c>
      <c r="P124" s="755"/>
      <c r="Q124" s="755" t="s">
        <v>17</v>
      </c>
      <c r="R124" s="755"/>
      <c r="S124" s="552" t="s">
        <v>1921</v>
      </c>
      <c r="T124" s="553"/>
      <c r="U124" s="553"/>
      <c r="V124" s="553"/>
      <c r="W124" s="553"/>
      <c r="X124" s="553"/>
      <c r="Y124" s="554"/>
      <c r="Z124" s="755"/>
      <c r="AA124" s="755"/>
      <c r="AB124" s="755"/>
      <c r="AC124" s="92"/>
      <c r="AD124" s="92"/>
      <c r="AE124" s="92"/>
      <c r="AF124" s="92"/>
      <c r="AG124" s="92"/>
      <c r="AH124" s="92"/>
      <c r="AI124" s="92"/>
      <c r="AJ124" s="92"/>
      <c r="AK124" s="92"/>
      <c r="AL124" s="225"/>
      <c r="AM124" s="63">
        <f t="shared" ca="1" si="3"/>
        <v>8</v>
      </c>
      <c r="AN124" s="92"/>
      <c r="AO124" s="92"/>
      <c r="AP124" s="92"/>
      <c r="AQ124" s="92"/>
      <c r="AR124" s="92"/>
      <c r="AS124" s="92"/>
      <c r="AT124" s="92"/>
      <c r="AU124" s="92"/>
      <c r="AV124" s="92"/>
      <c r="AW124" s="92"/>
      <c r="AX124" s="85"/>
      <c r="AY124" s="85"/>
      <c r="AZ124" s="85"/>
      <c r="BA124" s="85"/>
      <c r="BB124" s="85"/>
      <c r="BC124" s="85"/>
      <c r="BD124" s="85"/>
      <c r="BE124" s="90"/>
      <c r="BF124" s="90"/>
      <c r="BG124" s="90"/>
      <c r="BH124" s="90"/>
      <c r="BI124" s="90"/>
      <c r="BJ124" s="90"/>
      <c r="BK124" s="90"/>
      <c r="BL124" s="90"/>
      <c r="BM124" s="90"/>
      <c r="BN124" s="90"/>
      <c r="BO124" s="90"/>
      <c r="BP124" s="90"/>
      <c r="BQ124" s="90"/>
      <c r="BR124" s="90"/>
      <c r="BS124" s="90"/>
      <c r="BT124" s="90"/>
      <c r="BU124" s="90"/>
      <c r="BV124" s="90"/>
      <c r="BW124" s="90"/>
    </row>
    <row r="125" spans="1:75" s="117" customFormat="1" ht="111" customHeight="1" x14ac:dyDescent="0.2">
      <c r="A125" s="583" t="s">
        <v>1681</v>
      </c>
      <c r="B125" s="584"/>
      <c r="C125" s="584"/>
      <c r="D125" s="625" t="s">
        <v>2014</v>
      </c>
      <c r="E125" s="626"/>
      <c r="F125" s="626"/>
      <c r="G125" s="626"/>
      <c r="H125" s="626"/>
      <c r="I125" s="645"/>
      <c r="J125" s="603" t="s">
        <v>1408</v>
      </c>
      <c r="K125" s="594" t="s">
        <v>981</v>
      </c>
      <c r="L125" s="594"/>
      <c r="M125" s="815">
        <f>4427862*41/42+222550</f>
        <v>4544986.7142857146</v>
      </c>
      <c r="N125" s="816"/>
      <c r="O125" s="753">
        <f>M125</f>
        <v>4544986.7142857146</v>
      </c>
      <c r="P125" s="754"/>
      <c r="Q125" s="753">
        <f>O125</f>
        <v>4544986.7142857146</v>
      </c>
      <c r="R125" s="754"/>
      <c r="S125" s="676" t="s">
        <v>2037</v>
      </c>
      <c r="T125" s="677"/>
      <c r="U125" s="677"/>
      <c r="V125" s="677"/>
      <c r="W125" s="677"/>
      <c r="X125" s="677"/>
      <c r="Y125" s="678"/>
      <c r="Z125" s="745">
        <v>0</v>
      </c>
      <c r="AA125" s="745"/>
      <c r="AB125" s="746"/>
      <c r="AC125" s="252"/>
      <c r="AD125" s="252"/>
      <c r="AE125" s="252"/>
      <c r="AF125" s="96"/>
      <c r="AG125" s="96"/>
      <c r="AH125" s="96"/>
      <c r="AI125" s="96"/>
      <c r="AJ125" s="96"/>
      <c r="AK125" s="96"/>
      <c r="AL125" s="226"/>
      <c r="AM125" s="96"/>
      <c r="AN125" s="92"/>
      <c r="AO125" s="92"/>
      <c r="AP125" s="96"/>
      <c r="AQ125" s="96"/>
      <c r="AR125" s="96"/>
      <c r="AS125" s="96"/>
      <c r="AT125" s="96"/>
      <c r="AU125" s="96"/>
      <c r="AV125" s="96"/>
      <c r="AW125" s="96"/>
      <c r="AX125" s="116"/>
      <c r="AY125" s="116"/>
      <c r="AZ125" s="116"/>
      <c r="BA125" s="116"/>
      <c r="BB125" s="116"/>
      <c r="BC125" s="116"/>
      <c r="BD125" s="116"/>
      <c r="BE125" s="116"/>
      <c r="BF125" s="116"/>
      <c r="BG125" s="116"/>
      <c r="BH125" s="116"/>
      <c r="BI125" s="116"/>
      <c r="BJ125" s="116"/>
      <c r="BK125" s="116"/>
      <c r="BL125" s="116"/>
      <c r="BM125" s="116"/>
      <c r="BN125" s="116"/>
      <c r="BO125" s="116"/>
      <c r="BP125" s="116"/>
      <c r="BQ125" s="116"/>
      <c r="BR125" s="116"/>
      <c r="BS125" s="116"/>
      <c r="BT125" s="116"/>
      <c r="BU125" s="116"/>
      <c r="BV125" s="116"/>
      <c r="BW125" s="116"/>
    </row>
    <row r="126" spans="1:75" s="117" customFormat="1" ht="111" customHeight="1" x14ac:dyDescent="0.2">
      <c r="A126" s="585"/>
      <c r="B126" s="586"/>
      <c r="C126" s="586"/>
      <c r="D126" s="646"/>
      <c r="E126" s="647"/>
      <c r="F126" s="647"/>
      <c r="G126" s="647"/>
      <c r="H126" s="647"/>
      <c r="I126" s="648"/>
      <c r="J126" s="604"/>
      <c r="K126" s="599" t="s">
        <v>982</v>
      </c>
      <c r="L126" s="599"/>
      <c r="M126" s="600">
        <f>1157933.88878049*41/42</f>
        <v>1130364.0342857165</v>
      </c>
      <c r="N126" s="600"/>
      <c r="O126" s="601">
        <f>1157933.88878049*41/42</f>
        <v>1130364.0342857165</v>
      </c>
      <c r="P126" s="601"/>
      <c r="Q126" s="602">
        <f>1157933.88878049*41/42</f>
        <v>1130364.0342857165</v>
      </c>
      <c r="R126" s="602"/>
      <c r="S126" s="742"/>
      <c r="T126" s="743"/>
      <c r="U126" s="743"/>
      <c r="V126" s="743"/>
      <c r="W126" s="743"/>
      <c r="X126" s="743"/>
      <c r="Y126" s="744"/>
      <c r="Z126" s="747"/>
      <c r="AA126" s="747"/>
      <c r="AB126" s="748"/>
      <c r="AC126" s="96"/>
      <c r="AD126" s="96"/>
      <c r="AE126" s="96"/>
      <c r="AF126" s="96"/>
      <c r="AG126" s="96"/>
      <c r="AH126" s="96"/>
      <c r="AI126" s="96"/>
      <c r="AJ126" s="96"/>
      <c r="AK126" s="96"/>
      <c r="AL126" s="226"/>
      <c r="AM126" s="96"/>
      <c r="AN126" s="92"/>
      <c r="AO126" s="92"/>
      <c r="AP126" s="96"/>
      <c r="AQ126" s="96"/>
      <c r="AR126" s="96"/>
      <c r="AS126" s="96"/>
      <c r="AT126" s="96"/>
      <c r="AU126" s="96"/>
      <c r="AV126" s="96"/>
      <c r="AW126" s="96"/>
      <c r="AX126" s="116"/>
      <c r="AY126" s="116"/>
      <c r="AZ126" s="116"/>
      <c r="BA126" s="116"/>
      <c r="BB126" s="116"/>
      <c r="BC126" s="116"/>
      <c r="BD126" s="116"/>
      <c r="BE126" s="116"/>
      <c r="BF126" s="116"/>
      <c r="BG126" s="116"/>
      <c r="BH126" s="116"/>
      <c r="BI126" s="116"/>
      <c r="BJ126" s="116"/>
      <c r="BK126" s="116"/>
      <c r="BL126" s="116"/>
      <c r="BM126" s="116"/>
      <c r="BN126" s="116"/>
      <c r="BO126" s="116"/>
      <c r="BP126" s="116"/>
      <c r="BQ126" s="116"/>
      <c r="BR126" s="116"/>
      <c r="BS126" s="116"/>
      <c r="BT126" s="116"/>
      <c r="BU126" s="116"/>
      <c r="BV126" s="116"/>
      <c r="BW126" s="116"/>
    </row>
    <row r="127" spans="1:75" s="117" customFormat="1" ht="111" customHeight="1" x14ac:dyDescent="0.2">
      <c r="A127" s="585"/>
      <c r="B127" s="586"/>
      <c r="C127" s="586"/>
      <c r="D127" s="646"/>
      <c r="E127" s="647"/>
      <c r="F127" s="647"/>
      <c r="G127" s="647"/>
      <c r="H127" s="647"/>
      <c r="I127" s="648"/>
      <c r="J127" s="603"/>
      <c r="K127" s="594" t="s">
        <v>981</v>
      </c>
      <c r="L127" s="594"/>
      <c r="M127" s="605"/>
      <c r="N127" s="605"/>
      <c r="O127" s="606"/>
      <c r="P127" s="606"/>
      <c r="Q127" s="606"/>
      <c r="R127" s="606"/>
      <c r="S127" s="742"/>
      <c r="T127" s="743"/>
      <c r="U127" s="743"/>
      <c r="V127" s="743"/>
      <c r="W127" s="743"/>
      <c r="X127" s="743"/>
      <c r="Y127" s="744"/>
      <c r="Z127" s="621"/>
      <c r="AA127" s="621"/>
      <c r="AB127" s="622"/>
      <c r="AC127" s="252"/>
      <c r="AD127" s="252"/>
      <c r="AE127" s="252"/>
      <c r="AF127" s="96"/>
      <c r="AG127" s="96"/>
      <c r="AH127" s="96"/>
      <c r="AI127" s="96"/>
      <c r="AJ127" s="96"/>
      <c r="AK127" s="96"/>
      <c r="AL127" s="226"/>
      <c r="AM127" s="96"/>
      <c r="AN127" s="92"/>
      <c r="AO127" s="92"/>
      <c r="AP127" s="96"/>
      <c r="AQ127" s="96"/>
      <c r="AR127" s="96"/>
      <c r="AS127" s="96"/>
      <c r="AT127" s="96"/>
      <c r="AU127" s="96"/>
      <c r="AV127" s="96"/>
      <c r="AW127" s="96"/>
      <c r="AX127" s="116"/>
      <c r="AY127" s="116"/>
      <c r="AZ127" s="116"/>
      <c r="BA127" s="116"/>
      <c r="BB127" s="116"/>
      <c r="BC127" s="116"/>
      <c r="BD127" s="116"/>
      <c r="BE127" s="116"/>
      <c r="BF127" s="116"/>
      <c r="BG127" s="116"/>
      <c r="BH127" s="116"/>
      <c r="BI127" s="116"/>
      <c r="BJ127" s="116"/>
      <c r="BK127" s="116"/>
      <c r="BL127" s="116"/>
      <c r="BM127" s="116"/>
      <c r="BN127" s="116"/>
      <c r="BO127" s="116"/>
      <c r="BP127" s="116"/>
      <c r="BQ127" s="116"/>
      <c r="BR127" s="116"/>
      <c r="BS127" s="116"/>
      <c r="BT127" s="116"/>
      <c r="BU127" s="116"/>
      <c r="BV127" s="116"/>
      <c r="BW127" s="116"/>
    </row>
    <row r="128" spans="1:75" s="117" customFormat="1" ht="68.25" customHeight="1" x14ac:dyDescent="0.2">
      <c r="A128" s="587"/>
      <c r="B128" s="588"/>
      <c r="C128" s="588"/>
      <c r="D128" s="628"/>
      <c r="E128" s="629"/>
      <c r="F128" s="629"/>
      <c r="G128" s="629"/>
      <c r="H128" s="629"/>
      <c r="I128" s="649"/>
      <c r="J128" s="604"/>
      <c r="K128" s="599" t="s">
        <v>982</v>
      </c>
      <c r="L128" s="599"/>
      <c r="M128" s="600"/>
      <c r="N128" s="600"/>
      <c r="O128" s="601"/>
      <c r="P128" s="601"/>
      <c r="Q128" s="602"/>
      <c r="R128" s="602"/>
      <c r="S128" s="679"/>
      <c r="T128" s="680"/>
      <c r="U128" s="680"/>
      <c r="V128" s="680"/>
      <c r="W128" s="680"/>
      <c r="X128" s="680"/>
      <c r="Y128" s="681"/>
      <c r="Z128" s="623"/>
      <c r="AA128" s="623"/>
      <c r="AB128" s="624"/>
      <c r="AC128" s="96"/>
      <c r="AD128" s="96"/>
      <c r="AE128" s="96"/>
      <c r="AF128" s="96"/>
      <c r="AG128" s="96"/>
      <c r="AH128" s="96"/>
      <c r="AI128" s="96"/>
      <c r="AJ128" s="96"/>
      <c r="AK128" s="96"/>
      <c r="AL128" s="226"/>
      <c r="AM128" s="96"/>
      <c r="AN128" s="92"/>
      <c r="AO128" s="92"/>
      <c r="AP128" s="96"/>
      <c r="AQ128" s="96"/>
      <c r="AR128" s="96"/>
      <c r="AS128" s="96"/>
      <c r="AT128" s="96"/>
      <c r="AU128" s="96"/>
      <c r="AV128" s="96"/>
      <c r="AW128" s="96"/>
      <c r="AX128" s="116"/>
      <c r="AY128" s="116"/>
      <c r="AZ128" s="116"/>
      <c r="BA128" s="116"/>
      <c r="BB128" s="116"/>
      <c r="BC128" s="116"/>
      <c r="BD128" s="116"/>
      <c r="BE128" s="116"/>
      <c r="BF128" s="116"/>
      <c r="BG128" s="116"/>
      <c r="BH128" s="116"/>
      <c r="BI128" s="116"/>
      <c r="BJ128" s="116"/>
      <c r="BK128" s="116"/>
      <c r="BL128" s="116"/>
      <c r="BM128" s="116"/>
      <c r="BN128" s="116"/>
      <c r="BO128" s="116"/>
      <c r="BP128" s="116"/>
      <c r="BQ128" s="116"/>
      <c r="BR128" s="116"/>
      <c r="BS128" s="116"/>
      <c r="BT128" s="116"/>
      <c r="BU128" s="116"/>
      <c r="BV128" s="116"/>
      <c r="BW128" s="116"/>
    </row>
    <row r="129" spans="1:75" s="117" customFormat="1" ht="101.25" customHeight="1" x14ac:dyDescent="0.2">
      <c r="A129" s="583" t="s">
        <v>1680</v>
      </c>
      <c r="B129" s="584"/>
      <c r="C129" s="584"/>
      <c r="D129" s="803" t="s">
        <v>1986</v>
      </c>
      <c r="E129" s="803"/>
      <c r="F129" s="803"/>
      <c r="G129" s="803"/>
      <c r="H129" s="803"/>
      <c r="I129" s="803"/>
      <c r="J129" s="603" t="s">
        <v>1408</v>
      </c>
      <c r="K129" s="594" t="s">
        <v>981</v>
      </c>
      <c r="L129" s="594"/>
      <c r="M129" s="817">
        <f>(11768066.6203236*41/42)+397087.7</f>
        <v>11884962.257934943</v>
      </c>
      <c r="N129" s="817"/>
      <c r="O129" s="818">
        <f>(11927298.9130118*41/42)+397087.7</f>
        <v>12040403.305559138</v>
      </c>
      <c r="P129" s="818"/>
      <c r="Q129" s="818">
        <f>(14079391.7667675*41/42)+397087.7</f>
        <v>14141255.853273034</v>
      </c>
      <c r="R129" s="818"/>
      <c r="S129" s="676" t="s">
        <v>2052</v>
      </c>
      <c r="T129" s="677"/>
      <c r="U129" s="677"/>
      <c r="V129" s="677"/>
      <c r="W129" s="677"/>
      <c r="X129" s="677"/>
      <c r="Y129" s="678"/>
      <c r="Z129" s="819" t="s">
        <v>2059</v>
      </c>
      <c r="AA129" s="819"/>
      <c r="AB129" s="820"/>
      <c r="AC129" s="96"/>
      <c r="AD129" s="96"/>
      <c r="AE129" s="96"/>
      <c r="AF129" s="96"/>
      <c r="AG129" s="96"/>
      <c r="AH129" s="96"/>
      <c r="AI129" s="96"/>
      <c r="AJ129" s="96"/>
      <c r="AK129" s="96"/>
      <c r="AL129" s="226"/>
      <c r="AM129" s="96"/>
      <c r="AN129" s="92"/>
      <c r="AO129" s="92"/>
      <c r="AP129" s="96"/>
      <c r="AQ129" s="96"/>
      <c r="AR129" s="96"/>
      <c r="AS129" s="96"/>
      <c r="AT129" s="96"/>
      <c r="AU129" s="96"/>
      <c r="AV129" s="96"/>
      <c r="AW129" s="96"/>
      <c r="AX129" s="116"/>
      <c r="AY129" s="116"/>
      <c r="AZ129" s="116"/>
      <c r="BA129" s="116"/>
      <c r="BB129" s="116"/>
      <c r="BC129" s="116"/>
      <c r="BD129" s="116"/>
      <c r="BE129" s="116"/>
      <c r="BF129" s="116"/>
      <c r="BG129" s="116"/>
      <c r="BH129" s="116"/>
      <c r="BI129" s="116"/>
      <c r="BJ129" s="116"/>
      <c r="BK129" s="116"/>
      <c r="BL129" s="116"/>
      <c r="BM129" s="116"/>
      <c r="BN129" s="116"/>
      <c r="BO129" s="116"/>
      <c r="BP129" s="116"/>
      <c r="BQ129" s="116"/>
      <c r="BR129" s="116"/>
      <c r="BS129" s="116"/>
      <c r="BT129" s="116"/>
      <c r="BU129" s="116"/>
      <c r="BV129" s="116"/>
      <c r="BW129" s="116"/>
    </row>
    <row r="130" spans="1:75" s="117" customFormat="1" ht="101.25" customHeight="1" x14ac:dyDescent="0.2">
      <c r="A130" s="585"/>
      <c r="B130" s="586"/>
      <c r="C130" s="586"/>
      <c r="D130" s="804"/>
      <c r="E130" s="804"/>
      <c r="F130" s="804"/>
      <c r="G130" s="804"/>
      <c r="H130" s="804"/>
      <c r="I130" s="804"/>
      <c r="J130" s="604"/>
      <c r="K130" s="599" t="s">
        <v>982</v>
      </c>
      <c r="L130" s="599"/>
      <c r="M130" s="600">
        <f>4717987.13865271*41/42</f>
        <v>4605654.1115419315</v>
      </c>
      <c r="N130" s="600"/>
      <c r="O130" s="601">
        <f>5755234.02709607*41/42</f>
        <v>5618204.6454985449</v>
      </c>
      <c r="P130" s="601"/>
      <c r="Q130" s="602">
        <f>6791034.3470407*41/42</f>
        <v>6629343.0530635398</v>
      </c>
      <c r="R130" s="602"/>
      <c r="S130" s="742"/>
      <c r="T130" s="743"/>
      <c r="U130" s="743"/>
      <c r="V130" s="743"/>
      <c r="W130" s="743"/>
      <c r="X130" s="743"/>
      <c r="Y130" s="744"/>
      <c r="Z130" s="821"/>
      <c r="AA130" s="821"/>
      <c r="AB130" s="822"/>
      <c r="AC130" s="96"/>
      <c r="AD130" s="96"/>
      <c r="AE130" s="96"/>
      <c r="AF130" s="96"/>
      <c r="AG130" s="96"/>
      <c r="AH130" s="96"/>
      <c r="AI130" s="96"/>
      <c r="AJ130" s="96"/>
      <c r="AK130" s="96"/>
      <c r="AL130" s="226"/>
      <c r="AM130" s="96"/>
      <c r="AN130" s="92"/>
      <c r="AO130" s="92"/>
      <c r="AP130" s="96"/>
      <c r="AQ130" s="96"/>
      <c r="AR130" s="96"/>
      <c r="AS130" s="96"/>
      <c r="AT130" s="96"/>
      <c r="AU130" s="96"/>
      <c r="AV130" s="96"/>
      <c r="AW130" s="96"/>
      <c r="AX130" s="116"/>
      <c r="AY130" s="116"/>
      <c r="AZ130" s="116"/>
      <c r="BA130" s="116"/>
      <c r="BB130" s="116"/>
      <c r="BC130" s="116"/>
      <c r="BD130" s="116"/>
      <c r="BE130" s="116"/>
      <c r="BF130" s="116"/>
      <c r="BG130" s="116"/>
      <c r="BH130" s="116"/>
      <c r="BI130" s="116"/>
      <c r="BJ130" s="116"/>
      <c r="BK130" s="116"/>
      <c r="BL130" s="116"/>
      <c r="BM130" s="116"/>
      <c r="BN130" s="116"/>
      <c r="BO130" s="116"/>
      <c r="BP130" s="116"/>
      <c r="BQ130" s="116"/>
      <c r="BR130" s="116"/>
      <c r="BS130" s="116"/>
      <c r="BT130" s="116"/>
      <c r="BU130" s="116"/>
      <c r="BV130" s="116"/>
      <c r="BW130" s="116"/>
    </row>
    <row r="131" spans="1:75" s="117" customFormat="1" ht="101.25" customHeight="1" x14ac:dyDescent="0.2">
      <c r="A131" s="585"/>
      <c r="B131" s="586"/>
      <c r="C131" s="586"/>
      <c r="D131" s="804"/>
      <c r="E131" s="804"/>
      <c r="F131" s="804"/>
      <c r="G131" s="804"/>
      <c r="H131" s="804"/>
      <c r="I131" s="804"/>
      <c r="J131" s="603"/>
      <c r="K131" s="594" t="s">
        <v>981</v>
      </c>
      <c r="L131" s="594"/>
      <c r="M131" s="605"/>
      <c r="N131" s="605"/>
      <c r="O131" s="606"/>
      <c r="P131" s="606"/>
      <c r="Q131" s="606"/>
      <c r="R131" s="606"/>
      <c r="S131" s="742"/>
      <c r="T131" s="743"/>
      <c r="U131" s="743"/>
      <c r="V131" s="743"/>
      <c r="W131" s="743"/>
      <c r="X131" s="743"/>
      <c r="Y131" s="744"/>
      <c r="Z131" s="621"/>
      <c r="AA131" s="621"/>
      <c r="AB131" s="622"/>
      <c r="AC131" s="252"/>
      <c r="AD131" s="252"/>
      <c r="AE131" s="252"/>
      <c r="AF131" s="96"/>
      <c r="AG131" s="96"/>
      <c r="AH131" s="96"/>
      <c r="AI131" s="96"/>
      <c r="AJ131" s="96"/>
      <c r="AK131" s="96"/>
      <c r="AL131" s="226"/>
      <c r="AM131" s="96"/>
      <c r="AN131" s="92"/>
      <c r="AO131" s="92"/>
      <c r="AP131" s="96"/>
      <c r="AQ131" s="96"/>
      <c r="AR131" s="96"/>
      <c r="AS131" s="96"/>
      <c r="AT131" s="96"/>
      <c r="AU131" s="96"/>
      <c r="AV131" s="96"/>
      <c r="AW131" s="96"/>
      <c r="AX131" s="116"/>
      <c r="AY131" s="116"/>
      <c r="AZ131" s="116"/>
      <c r="BA131" s="116"/>
      <c r="BB131" s="116"/>
      <c r="BC131" s="116"/>
      <c r="BD131" s="116"/>
      <c r="BE131" s="116"/>
      <c r="BF131" s="116"/>
      <c r="BG131" s="116"/>
      <c r="BH131" s="116"/>
      <c r="BI131" s="116"/>
      <c r="BJ131" s="116"/>
      <c r="BK131" s="116"/>
      <c r="BL131" s="116"/>
      <c r="BM131" s="116"/>
      <c r="BN131" s="116"/>
      <c r="BO131" s="116"/>
      <c r="BP131" s="116"/>
      <c r="BQ131" s="116"/>
      <c r="BR131" s="116"/>
      <c r="BS131" s="116"/>
      <c r="BT131" s="116"/>
      <c r="BU131" s="116"/>
      <c r="BV131" s="116"/>
      <c r="BW131" s="116"/>
    </row>
    <row r="132" spans="1:75" s="117" customFormat="1" ht="130.15" customHeight="1" x14ac:dyDescent="0.2">
      <c r="A132" s="587"/>
      <c r="B132" s="588"/>
      <c r="C132" s="588"/>
      <c r="D132" s="805"/>
      <c r="E132" s="805"/>
      <c r="F132" s="805"/>
      <c r="G132" s="805"/>
      <c r="H132" s="805"/>
      <c r="I132" s="805"/>
      <c r="J132" s="604"/>
      <c r="K132" s="599" t="s">
        <v>982</v>
      </c>
      <c r="L132" s="599"/>
      <c r="M132" s="600"/>
      <c r="N132" s="600"/>
      <c r="O132" s="601"/>
      <c r="P132" s="601"/>
      <c r="Q132" s="602"/>
      <c r="R132" s="602"/>
      <c r="S132" s="679"/>
      <c r="T132" s="680"/>
      <c r="U132" s="680"/>
      <c r="V132" s="680"/>
      <c r="W132" s="680"/>
      <c r="X132" s="680"/>
      <c r="Y132" s="681"/>
      <c r="Z132" s="623"/>
      <c r="AA132" s="623"/>
      <c r="AB132" s="624"/>
      <c r="AC132" s="96"/>
      <c r="AD132" s="96"/>
      <c r="AE132" s="96"/>
      <c r="AF132" s="96"/>
      <c r="AG132" s="96"/>
      <c r="AH132" s="96"/>
      <c r="AI132" s="96"/>
      <c r="AJ132" s="96"/>
      <c r="AK132" s="96"/>
      <c r="AL132" s="226"/>
      <c r="AM132" s="96"/>
      <c r="AN132" s="92"/>
      <c r="AO132" s="92"/>
      <c r="AP132" s="96"/>
      <c r="AQ132" s="96"/>
      <c r="AR132" s="96"/>
      <c r="AS132" s="96"/>
      <c r="AT132" s="96"/>
      <c r="AU132" s="96"/>
      <c r="AV132" s="96"/>
      <c r="AW132" s="96"/>
      <c r="AX132" s="116"/>
      <c r="AY132" s="116"/>
      <c r="AZ132" s="116"/>
      <c r="BA132" s="116"/>
      <c r="BB132" s="116"/>
      <c r="BC132" s="116"/>
      <c r="BD132" s="116"/>
      <c r="BE132" s="116"/>
      <c r="BF132" s="116"/>
      <c r="BG132" s="116"/>
      <c r="BH132" s="116"/>
      <c r="BI132" s="116"/>
      <c r="BJ132" s="116"/>
      <c r="BK132" s="116"/>
      <c r="BL132" s="116"/>
      <c r="BM132" s="116"/>
      <c r="BN132" s="116"/>
      <c r="BO132" s="116"/>
      <c r="BP132" s="116"/>
      <c r="BQ132" s="116"/>
      <c r="BR132" s="116"/>
      <c r="BS132" s="116"/>
      <c r="BT132" s="116"/>
      <c r="BU132" s="116"/>
      <c r="BV132" s="116"/>
      <c r="BW132" s="116"/>
    </row>
    <row r="133" spans="1:75" s="117" customFormat="1" ht="25.5" customHeight="1" x14ac:dyDescent="0.2">
      <c r="A133" s="583" t="s">
        <v>1677</v>
      </c>
      <c r="B133" s="584"/>
      <c r="C133" s="584"/>
      <c r="D133" s="625" t="s">
        <v>1942</v>
      </c>
      <c r="E133" s="626"/>
      <c r="F133" s="626"/>
      <c r="G133" s="626"/>
      <c r="H133" s="626"/>
      <c r="I133" s="645"/>
      <c r="J133" s="603" t="s">
        <v>1408</v>
      </c>
      <c r="K133" s="594" t="s">
        <v>981</v>
      </c>
      <c r="L133" s="594"/>
      <c r="M133" s="817">
        <v>0</v>
      </c>
      <c r="N133" s="817"/>
      <c r="O133" s="818">
        <v>0</v>
      </c>
      <c r="P133" s="818"/>
      <c r="Q133" s="818">
        <v>0</v>
      </c>
      <c r="R133" s="818"/>
      <c r="S133" s="741"/>
      <c r="T133" s="741"/>
      <c r="U133" s="741"/>
      <c r="V133" s="741"/>
      <c r="W133" s="741"/>
      <c r="X133" s="741"/>
      <c r="Y133" s="741"/>
      <c r="Z133" s="749">
        <v>0</v>
      </c>
      <c r="AA133" s="749"/>
      <c r="AB133" s="750"/>
      <c r="AC133" s="96"/>
      <c r="AD133" s="96"/>
      <c r="AE133" s="96"/>
      <c r="AF133" s="96"/>
      <c r="AG133" s="96"/>
      <c r="AH133" s="96"/>
      <c r="AI133" s="96"/>
      <c r="AJ133" s="96"/>
      <c r="AK133" s="96"/>
      <c r="AL133" s="226"/>
      <c r="AM133" s="96"/>
      <c r="AN133" s="92"/>
      <c r="AO133" s="92"/>
      <c r="AP133" s="96"/>
      <c r="AQ133" s="96"/>
      <c r="AR133" s="96"/>
      <c r="AS133" s="96"/>
      <c r="AT133" s="96"/>
      <c r="AU133" s="96"/>
      <c r="AV133" s="96"/>
      <c r="AW133" s="96"/>
      <c r="AX133" s="116"/>
      <c r="AY133" s="116"/>
      <c r="AZ133" s="116"/>
      <c r="BA133" s="116"/>
      <c r="BB133" s="116"/>
      <c r="BC133" s="116"/>
      <c r="BD133" s="116"/>
      <c r="BE133" s="116"/>
      <c r="BF133" s="116"/>
      <c r="BG133" s="116"/>
      <c r="BH133" s="116"/>
      <c r="BI133" s="116"/>
      <c r="BJ133" s="116"/>
      <c r="BK133" s="116"/>
      <c r="BL133" s="116"/>
      <c r="BM133" s="116"/>
      <c r="BN133" s="116"/>
      <c r="BO133" s="116"/>
      <c r="BP133" s="116"/>
      <c r="BQ133" s="116"/>
      <c r="BR133" s="116"/>
      <c r="BS133" s="116"/>
      <c r="BT133" s="116"/>
      <c r="BU133" s="116"/>
      <c r="BV133" s="116"/>
      <c r="BW133" s="116"/>
    </row>
    <row r="134" spans="1:75" s="117" customFormat="1" ht="25.5" customHeight="1" x14ac:dyDescent="0.2">
      <c r="A134" s="585"/>
      <c r="B134" s="586"/>
      <c r="C134" s="586"/>
      <c r="D134" s="646"/>
      <c r="E134" s="647"/>
      <c r="F134" s="647"/>
      <c r="G134" s="647"/>
      <c r="H134" s="647"/>
      <c r="I134" s="648"/>
      <c r="J134" s="604"/>
      <c r="K134" s="599" t="s">
        <v>982</v>
      </c>
      <c r="L134" s="599"/>
      <c r="M134" s="823">
        <v>0</v>
      </c>
      <c r="N134" s="823"/>
      <c r="O134" s="824">
        <v>0</v>
      </c>
      <c r="P134" s="825"/>
      <c r="Q134" s="826">
        <v>0</v>
      </c>
      <c r="R134" s="826"/>
      <c r="S134" s="741"/>
      <c r="T134" s="741"/>
      <c r="U134" s="741"/>
      <c r="V134" s="741"/>
      <c r="W134" s="741"/>
      <c r="X134" s="741"/>
      <c r="Y134" s="741"/>
      <c r="Z134" s="751"/>
      <c r="AA134" s="751"/>
      <c r="AB134" s="752"/>
      <c r="AC134" s="96"/>
      <c r="AD134" s="96"/>
      <c r="AE134" s="96"/>
      <c r="AF134" s="96"/>
      <c r="AG134" s="96"/>
      <c r="AH134" s="96"/>
      <c r="AI134" s="96"/>
      <c r="AJ134" s="96"/>
      <c r="AK134" s="96"/>
      <c r="AL134" s="226"/>
      <c r="AM134" s="96"/>
      <c r="AN134" s="92"/>
      <c r="AO134" s="92"/>
      <c r="AP134" s="96"/>
      <c r="AQ134" s="96"/>
      <c r="AR134" s="96"/>
      <c r="AS134" s="96"/>
      <c r="AT134" s="96"/>
      <c r="AU134" s="96"/>
      <c r="AV134" s="96"/>
      <c r="AW134" s="96"/>
      <c r="AX134" s="116"/>
      <c r="AY134" s="116"/>
      <c r="AZ134" s="116"/>
      <c r="BA134" s="116"/>
      <c r="BB134" s="116"/>
      <c r="BC134" s="116"/>
      <c r="BD134" s="116"/>
      <c r="BE134" s="116"/>
      <c r="BF134" s="116"/>
      <c r="BG134" s="116"/>
      <c r="BH134" s="116"/>
      <c r="BI134" s="116"/>
      <c r="BJ134" s="116"/>
      <c r="BK134" s="116"/>
      <c r="BL134" s="116"/>
      <c r="BM134" s="116"/>
      <c r="BN134" s="116"/>
      <c r="BO134" s="116"/>
      <c r="BP134" s="116"/>
      <c r="BQ134" s="116"/>
      <c r="BR134" s="116"/>
      <c r="BS134" s="116"/>
      <c r="BT134" s="116"/>
      <c r="BU134" s="116"/>
      <c r="BV134" s="116"/>
      <c r="BW134" s="116"/>
    </row>
    <row r="135" spans="1:75" s="117" customFormat="1" ht="25.5" customHeight="1" x14ac:dyDescent="0.2">
      <c r="A135" s="585"/>
      <c r="B135" s="586"/>
      <c r="C135" s="586"/>
      <c r="D135" s="646"/>
      <c r="E135" s="647"/>
      <c r="F135" s="647"/>
      <c r="G135" s="647"/>
      <c r="H135" s="647"/>
      <c r="I135" s="648"/>
      <c r="J135" s="603"/>
      <c r="K135" s="594" t="s">
        <v>981</v>
      </c>
      <c r="L135" s="594"/>
      <c r="M135" s="605"/>
      <c r="N135" s="605"/>
      <c r="O135" s="606"/>
      <c r="P135" s="606"/>
      <c r="Q135" s="606"/>
      <c r="R135" s="606"/>
      <c r="S135" s="741"/>
      <c r="T135" s="741"/>
      <c r="U135" s="741"/>
      <c r="V135" s="741"/>
      <c r="W135" s="741"/>
      <c r="X135" s="741"/>
      <c r="Y135" s="741"/>
      <c r="Z135" s="621"/>
      <c r="AA135" s="621"/>
      <c r="AB135" s="622"/>
      <c r="AC135" s="252"/>
      <c r="AD135" s="252"/>
      <c r="AE135" s="252"/>
      <c r="AF135" s="96"/>
      <c r="AG135" s="96"/>
      <c r="AH135" s="96"/>
      <c r="AI135" s="96"/>
      <c r="AJ135" s="96"/>
      <c r="AK135" s="96"/>
      <c r="AL135" s="226"/>
      <c r="AM135" s="96"/>
      <c r="AN135" s="92"/>
      <c r="AO135" s="92"/>
      <c r="AP135" s="96"/>
      <c r="AQ135" s="96"/>
      <c r="AR135" s="96"/>
      <c r="AS135" s="96"/>
      <c r="AT135" s="96"/>
      <c r="AU135" s="96"/>
      <c r="AV135" s="96"/>
      <c r="AW135" s="96"/>
      <c r="AX135" s="116"/>
      <c r="AY135" s="116"/>
      <c r="AZ135" s="116"/>
      <c r="BA135" s="116"/>
      <c r="BB135" s="116"/>
      <c r="BC135" s="116"/>
      <c r="BD135" s="116"/>
      <c r="BE135" s="116"/>
      <c r="BF135" s="116"/>
      <c r="BG135" s="116"/>
      <c r="BH135" s="116"/>
      <c r="BI135" s="116"/>
      <c r="BJ135" s="116"/>
      <c r="BK135" s="116"/>
      <c r="BL135" s="116"/>
      <c r="BM135" s="116"/>
      <c r="BN135" s="116"/>
      <c r="BO135" s="116"/>
      <c r="BP135" s="116"/>
      <c r="BQ135" s="116"/>
      <c r="BR135" s="116"/>
      <c r="BS135" s="116"/>
      <c r="BT135" s="116"/>
      <c r="BU135" s="116"/>
      <c r="BV135" s="116"/>
      <c r="BW135" s="116"/>
    </row>
    <row r="136" spans="1:75" s="117" customFormat="1" ht="25.5" customHeight="1" x14ac:dyDescent="0.2">
      <c r="A136" s="587"/>
      <c r="B136" s="588"/>
      <c r="C136" s="588"/>
      <c r="D136" s="628"/>
      <c r="E136" s="629"/>
      <c r="F136" s="629"/>
      <c r="G136" s="629"/>
      <c r="H136" s="629"/>
      <c r="I136" s="649"/>
      <c r="J136" s="604"/>
      <c r="K136" s="599" t="s">
        <v>982</v>
      </c>
      <c r="L136" s="599"/>
      <c r="M136" s="600"/>
      <c r="N136" s="600"/>
      <c r="O136" s="601"/>
      <c r="P136" s="601"/>
      <c r="Q136" s="602"/>
      <c r="R136" s="602"/>
      <c r="S136" s="741"/>
      <c r="T136" s="741"/>
      <c r="U136" s="741"/>
      <c r="V136" s="741"/>
      <c r="W136" s="741"/>
      <c r="X136" s="741"/>
      <c r="Y136" s="741"/>
      <c r="Z136" s="623"/>
      <c r="AA136" s="623"/>
      <c r="AB136" s="624"/>
      <c r="AC136" s="96"/>
      <c r="AD136" s="96"/>
      <c r="AE136" s="96"/>
      <c r="AF136" s="96"/>
      <c r="AG136" s="96"/>
      <c r="AH136" s="96"/>
      <c r="AI136" s="96"/>
      <c r="AJ136" s="96"/>
      <c r="AK136" s="96"/>
      <c r="AL136" s="226"/>
      <c r="AM136" s="96"/>
      <c r="AN136" s="92"/>
      <c r="AO136" s="92"/>
      <c r="AP136" s="96"/>
      <c r="AQ136" s="96"/>
      <c r="AR136" s="96"/>
      <c r="AS136" s="96"/>
      <c r="AT136" s="96"/>
      <c r="AU136" s="96"/>
      <c r="AV136" s="96"/>
      <c r="AW136" s="96"/>
      <c r="AX136" s="116"/>
      <c r="AY136" s="116"/>
      <c r="AZ136" s="116"/>
      <c r="BA136" s="116"/>
      <c r="BB136" s="116"/>
      <c r="BC136" s="116"/>
      <c r="BD136" s="116"/>
      <c r="BE136" s="116"/>
      <c r="BF136" s="116"/>
      <c r="BG136" s="116"/>
      <c r="BH136" s="116"/>
      <c r="BI136" s="116"/>
      <c r="BJ136" s="116"/>
      <c r="BK136" s="116"/>
      <c r="BL136" s="116"/>
      <c r="BM136" s="116"/>
      <c r="BN136" s="116"/>
      <c r="BO136" s="116"/>
      <c r="BP136" s="116"/>
      <c r="BQ136" s="116"/>
      <c r="BR136" s="116"/>
      <c r="BS136" s="116"/>
      <c r="BT136" s="116"/>
      <c r="BU136" s="116"/>
      <c r="BV136" s="116"/>
      <c r="BW136" s="116"/>
    </row>
    <row r="137" spans="1:75" s="117" customFormat="1" ht="88.5" customHeight="1" x14ac:dyDescent="0.2">
      <c r="A137" s="830" t="s">
        <v>1943</v>
      </c>
      <c r="B137" s="584"/>
      <c r="C137" s="584"/>
      <c r="D137" s="625" t="s">
        <v>1987</v>
      </c>
      <c r="E137" s="626"/>
      <c r="F137" s="626"/>
      <c r="G137" s="626"/>
      <c r="H137" s="626"/>
      <c r="I137" s="645"/>
      <c r="J137" s="603" t="s">
        <v>1408</v>
      </c>
      <c r="K137" s="594" t="s">
        <v>981</v>
      </c>
      <c r="L137" s="594"/>
      <c r="M137" s="605">
        <f>235406.5*41/42</f>
        <v>229801.58333333334</v>
      </c>
      <c r="N137" s="605"/>
      <c r="O137" s="606">
        <f>M137</f>
        <v>229801.58333333334</v>
      </c>
      <c r="P137" s="606"/>
      <c r="Q137" s="606">
        <f>O137</f>
        <v>229801.58333333334</v>
      </c>
      <c r="R137" s="606"/>
      <c r="S137" s="676" t="s">
        <v>2036</v>
      </c>
      <c r="T137" s="677"/>
      <c r="U137" s="677"/>
      <c r="V137" s="677"/>
      <c r="W137" s="677"/>
      <c r="X137" s="677"/>
      <c r="Y137" s="678"/>
      <c r="Z137" s="745">
        <v>0</v>
      </c>
      <c r="AA137" s="745"/>
      <c r="AB137" s="746"/>
      <c r="AC137" s="96"/>
      <c r="AD137" s="96"/>
      <c r="AE137" s="96"/>
      <c r="AF137" s="96"/>
      <c r="AG137" s="96"/>
      <c r="AH137" s="96"/>
      <c r="AI137" s="96"/>
      <c r="AJ137" s="96"/>
      <c r="AK137" s="96"/>
      <c r="AL137" s="226"/>
      <c r="AM137" s="96"/>
      <c r="AN137" s="92"/>
      <c r="AO137" s="92"/>
      <c r="AP137" s="96"/>
      <c r="AQ137" s="96"/>
      <c r="AR137" s="96"/>
      <c r="AS137" s="96"/>
      <c r="AT137" s="96"/>
      <c r="AU137" s="96"/>
      <c r="AV137" s="96"/>
      <c r="AW137" s="96"/>
      <c r="AX137" s="116"/>
      <c r="AY137" s="116"/>
      <c r="AZ137" s="116"/>
      <c r="BA137" s="116"/>
      <c r="BB137" s="116"/>
      <c r="BC137" s="116"/>
      <c r="BD137" s="116"/>
      <c r="BE137" s="116"/>
      <c r="BF137" s="116"/>
      <c r="BG137" s="116"/>
      <c r="BH137" s="116"/>
      <c r="BI137" s="116"/>
      <c r="BJ137" s="116"/>
      <c r="BK137" s="116"/>
      <c r="BL137" s="116"/>
      <c r="BM137" s="116"/>
      <c r="BN137" s="116"/>
      <c r="BO137" s="116"/>
      <c r="BP137" s="116"/>
      <c r="BQ137" s="116"/>
      <c r="BR137" s="116"/>
      <c r="BS137" s="116"/>
      <c r="BT137" s="116"/>
      <c r="BU137" s="116"/>
      <c r="BV137" s="116"/>
      <c r="BW137" s="116"/>
    </row>
    <row r="138" spans="1:75" s="117" customFormat="1" ht="42" customHeight="1" x14ac:dyDescent="0.2">
      <c r="A138" s="585"/>
      <c r="B138" s="586"/>
      <c r="C138" s="586"/>
      <c r="D138" s="646"/>
      <c r="E138" s="647"/>
      <c r="F138" s="647"/>
      <c r="G138" s="647"/>
      <c r="H138" s="647"/>
      <c r="I138" s="648"/>
      <c r="J138" s="604"/>
      <c r="K138" s="599" t="s">
        <v>982</v>
      </c>
      <c r="L138" s="599"/>
      <c r="M138" s="600">
        <f>22170.73*41/42</f>
        <v>21642.855476190474</v>
      </c>
      <c r="N138" s="600"/>
      <c r="O138" s="601">
        <f>M138</f>
        <v>21642.855476190474</v>
      </c>
      <c r="P138" s="601"/>
      <c r="Q138" s="602">
        <f>O138</f>
        <v>21642.855476190474</v>
      </c>
      <c r="R138" s="602"/>
      <c r="S138" s="742"/>
      <c r="T138" s="743"/>
      <c r="U138" s="743"/>
      <c r="V138" s="743"/>
      <c r="W138" s="743"/>
      <c r="X138" s="743"/>
      <c r="Y138" s="744"/>
      <c r="Z138" s="747"/>
      <c r="AA138" s="747"/>
      <c r="AB138" s="748"/>
      <c r="AC138" s="96"/>
      <c r="AD138" s="96"/>
      <c r="AE138" s="96"/>
      <c r="AF138" s="96"/>
      <c r="AG138" s="96"/>
      <c r="AH138" s="96"/>
      <c r="AI138" s="96"/>
      <c r="AJ138" s="96"/>
      <c r="AK138" s="96"/>
      <c r="AL138" s="226"/>
      <c r="AM138" s="96"/>
      <c r="AN138" s="92"/>
      <c r="AO138" s="92"/>
      <c r="AP138" s="96"/>
      <c r="AQ138" s="96"/>
      <c r="AR138" s="96"/>
      <c r="AS138" s="96"/>
      <c r="AT138" s="96"/>
      <c r="AU138" s="96"/>
      <c r="AV138" s="96"/>
      <c r="AW138" s="96"/>
      <c r="AX138" s="116"/>
      <c r="AY138" s="116"/>
      <c r="AZ138" s="116"/>
      <c r="BA138" s="116"/>
      <c r="BB138" s="116"/>
      <c r="BC138" s="116"/>
      <c r="BD138" s="116"/>
      <c r="BE138" s="116"/>
      <c r="BF138" s="116"/>
      <c r="BG138" s="116"/>
      <c r="BH138" s="116"/>
      <c r="BI138" s="116"/>
      <c r="BJ138" s="116"/>
      <c r="BK138" s="116"/>
      <c r="BL138" s="116"/>
      <c r="BM138" s="116"/>
      <c r="BN138" s="116"/>
      <c r="BO138" s="116"/>
      <c r="BP138" s="116"/>
      <c r="BQ138" s="116"/>
      <c r="BR138" s="116"/>
      <c r="BS138" s="116"/>
      <c r="BT138" s="116"/>
      <c r="BU138" s="116"/>
      <c r="BV138" s="116"/>
      <c r="BW138" s="116"/>
    </row>
    <row r="139" spans="1:75" s="117" customFormat="1" ht="73.900000000000006" customHeight="1" x14ac:dyDescent="0.2">
      <c r="A139" s="585"/>
      <c r="B139" s="586"/>
      <c r="C139" s="586"/>
      <c r="D139" s="646"/>
      <c r="E139" s="647"/>
      <c r="F139" s="647"/>
      <c r="G139" s="647"/>
      <c r="H139" s="647"/>
      <c r="I139" s="648"/>
      <c r="J139" s="603"/>
      <c r="K139" s="594" t="s">
        <v>981</v>
      </c>
      <c r="L139" s="594"/>
      <c r="M139" s="605"/>
      <c r="N139" s="605"/>
      <c r="O139" s="606"/>
      <c r="P139" s="606"/>
      <c r="Q139" s="606"/>
      <c r="R139" s="606"/>
      <c r="S139" s="742"/>
      <c r="T139" s="743"/>
      <c r="U139" s="743"/>
      <c r="V139" s="743"/>
      <c r="W139" s="743"/>
      <c r="X139" s="743"/>
      <c r="Y139" s="744"/>
      <c r="Z139" s="621"/>
      <c r="AA139" s="621"/>
      <c r="AB139" s="622"/>
      <c r="AC139" s="252"/>
      <c r="AD139" s="252"/>
      <c r="AE139" s="252"/>
      <c r="AF139" s="96"/>
      <c r="AG139" s="96"/>
      <c r="AH139" s="96"/>
      <c r="AI139" s="96"/>
      <c r="AJ139" s="96"/>
      <c r="AK139" s="96"/>
      <c r="AL139" s="226"/>
      <c r="AM139" s="96"/>
      <c r="AN139" s="92"/>
      <c r="AO139" s="92"/>
      <c r="AP139" s="96"/>
      <c r="AQ139" s="96"/>
      <c r="AR139" s="96"/>
      <c r="AS139" s="96"/>
      <c r="AT139" s="96"/>
      <c r="AU139" s="96"/>
      <c r="AV139" s="96"/>
      <c r="AW139" s="96"/>
      <c r="AX139" s="116"/>
      <c r="AY139" s="116"/>
      <c r="AZ139" s="116"/>
      <c r="BA139" s="116"/>
      <c r="BB139" s="116"/>
      <c r="BC139" s="116"/>
      <c r="BD139" s="116"/>
      <c r="BE139" s="116"/>
      <c r="BF139" s="116"/>
      <c r="BG139" s="116"/>
      <c r="BH139" s="116"/>
      <c r="BI139" s="116"/>
      <c r="BJ139" s="116"/>
      <c r="BK139" s="116"/>
      <c r="BL139" s="116"/>
      <c r="BM139" s="116"/>
      <c r="BN139" s="116"/>
      <c r="BO139" s="116"/>
      <c r="BP139" s="116"/>
      <c r="BQ139" s="116"/>
      <c r="BR139" s="116"/>
      <c r="BS139" s="116"/>
      <c r="BT139" s="116"/>
      <c r="BU139" s="116"/>
      <c r="BV139" s="116"/>
      <c r="BW139" s="116"/>
    </row>
    <row r="140" spans="1:75" s="117" customFormat="1" ht="94.9" customHeight="1" x14ac:dyDescent="0.2">
      <c r="A140" s="587"/>
      <c r="B140" s="588"/>
      <c r="C140" s="588"/>
      <c r="D140" s="628"/>
      <c r="E140" s="629"/>
      <c r="F140" s="629"/>
      <c r="G140" s="629"/>
      <c r="H140" s="629"/>
      <c r="I140" s="649"/>
      <c r="J140" s="604"/>
      <c r="K140" s="599" t="s">
        <v>982</v>
      </c>
      <c r="L140" s="599"/>
      <c r="M140" s="600"/>
      <c r="N140" s="600"/>
      <c r="O140" s="601"/>
      <c r="P140" s="601"/>
      <c r="Q140" s="602"/>
      <c r="R140" s="602"/>
      <c r="S140" s="679"/>
      <c r="T140" s="680"/>
      <c r="U140" s="680"/>
      <c r="V140" s="680"/>
      <c r="W140" s="680"/>
      <c r="X140" s="680"/>
      <c r="Y140" s="681"/>
      <c r="Z140" s="623"/>
      <c r="AA140" s="623"/>
      <c r="AB140" s="624"/>
      <c r="AC140" s="96"/>
      <c r="AD140" s="96"/>
      <c r="AE140" s="96"/>
      <c r="AF140" s="96"/>
      <c r="AG140" s="96"/>
      <c r="AH140" s="96"/>
      <c r="AI140" s="96"/>
      <c r="AJ140" s="96"/>
      <c r="AK140" s="96"/>
      <c r="AL140" s="226"/>
      <c r="AM140" s="96"/>
      <c r="AN140" s="92"/>
      <c r="AO140" s="92"/>
      <c r="AP140" s="96"/>
      <c r="AQ140" s="96"/>
      <c r="AR140" s="96"/>
      <c r="AS140" s="96"/>
      <c r="AT140" s="96"/>
      <c r="AU140" s="96"/>
      <c r="AV140" s="96"/>
      <c r="AW140" s="96"/>
      <c r="AX140" s="116"/>
      <c r="AY140" s="116"/>
      <c r="AZ140" s="116"/>
      <c r="BA140" s="116"/>
      <c r="BB140" s="116"/>
      <c r="BC140" s="116"/>
      <c r="BD140" s="116"/>
      <c r="BE140" s="116"/>
      <c r="BF140" s="116"/>
      <c r="BG140" s="116"/>
      <c r="BH140" s="116"/>
      <c r="BI140" s="116"/>
      <c r="BJ140" s="116"/>
      <c r="BK140" s="116"/>
      <c r="BL140" s="116"/>
      <c r="BM140" s="116"/>
      <c r="BN140" s="116"/>
      <c r="BO140" s="116"/>
      <c r="BP140" s="116"/>
      <c r="BQ140" s="116"/>
      <c r="BR140" s="116"/>
      <c r="BS140" s="116"/>
      <c r="BT140" s="116"/>
      <c r="BU140" s="116"/>
      <c r="BV140" s="116"/>
      <c r="BW140" s="116"/>
    </row>
    <row r="141" spans="1:75" s="117" customFormat="1" ht="30" customHeight="1" x14ac:dyDescent="0.2">
      <c r="A141" s="583" t="s">
        <v>1678</v>
      </c>
      <c r="B141" s="584"/>
      <c r="C141" s="584"/>
      <c r="D141" s="625" t="s">
        <v>2013</v>
      </c>
      <c r="E141" s="626"/>
      <c r="F141" s="626"/>
      <c r="G141" s="626"/>
      <c r="H141" s="626"/>
      <c r="I141" s="645"/>
      <c r="J141" s="603" t="s">
        <v>1408</v>
      </c>
      <c r="K141" s="594" t="s">
        <v>981</v>
      </c>
      <c r="L141" s="594"/>
      <c r="M141" s="605">
        <f>4481.71*41/42</f>
        <v>4375.0026190476192</v>
      </c>
      <c r="N141" s="605"/>
      <c r="O141" s="606">
        <f>M141</f>
        <v>4375.0026190476192</v>
      </c>
      <c r="P141" s="606"/>
      <c r="Q141" s="606">
        <f>O141</f>
        <v>4375.0026190476192</v>
      </c>
      <c r="R141" s="606"/>
      <c r="S141" s="625" t="s">
        <v>2018</v>
      </c>
      <c r="T141" s="626"/>
      <c r="U141" s="626"/>
      <c r="V141" s="626"/>
      <c r="W141" s="626"/>
      <c r="X141" s="626"/>
      <c r="Y141" s="645"/>
      <c r="Z141" s="745">
        <v>0</v>
      </c>
      <c r="AA141" s="745"/>
      <c r="AB141" s="746"/>
      <c r="AC141" s="96"/>
      <c r="AD141" s="96"/>
      <c r="AE141" s="96"/>
      <c r="AF141" s="96"/>
      <c r="AG141" s="96"/>
      <c r="AH141" s="96"/>
      <c r="AI141" s="96"/>
      <c r="AJ141" s="96"/>
      <c r="AK141" s="96"/>
      <c r="AL141" s="226"/>
      <c r="AM141" s="96"/>
      <c r="AN141" s="92"/>
      <c r="AO141" s="92"/>
      <c r="AP141" s="96"/>
      <c r="AQ141" s="96"/>
      <c r="AR141" s="96"/>
      <c r="AS141" s="96"/>
      <c r="AT141" s="96"/>
      <c r="AU141" s="96"/>
      <c r="AV141" s="96"/>
      <c r="AW141" s="96"/>
      <c r="AX141" s="116"/>
      <c r="AY141" s="116"/>
      <c r="AZ141" s="116"/>
      <c r="BA141" s="116"/>
      <c r="BB141" s="116"/>
      <c r="BC141" s="116"/>
      <c r="BD141" s="116"/>
      <c r="BE141" s="116"/>
      <c r="BF141" s="116"/>
      <c r="BG141" s="116"/>
      <c r="BH141" s="116"/>
      <c r="BI141" s="116"/>
      <c r="BJ141" s="116"/>
      <c r="BK141" s="116"/>
      <c r="BL141" s="116"/>
      <c r="BM141" s="116"/>
      <c r="BN141" s="116"/>
      <c r="BO141" s="116"/>
      <c r="BP141" s="116"/>
      <c r="BQ141" s="116"/>
      <c r="BR141" s="116"/>
      <c r="BS141" s="116"/>
      <c r="BT141" s="116"/>
      <c r="BU141" s="116"/>
      <c r="BV141" s="116"/>
      <c r="BW141" s="116"/>
    </row>
    <row r="142" spans="1:75" s="117" customFormat="1" ht="30" customHeight="1" x14ac:dyDescent="0.2">
      <c r="A142" s="585"/>
      <c r="B142" s="586"/>
      <c r="C142" s="586"/>
      <c r="D142" s="646"/>
      <c r="E142" s="647"/>
      <c r="F142" s="647"/>
      <c r="G142" s="647"/>
      <c r="H142" s="647"/>
      <c r="I142" s="648"/>
      <c r="J142" s="604"/>
      <c r="K142" s="599" t="s">
        <v>982</v>
      </c>
      <c r="L142" s="599"/>
      <c r="M142" s="827">
        <v>0</v>
      </c>
      <c r="N142" s="827"/>
      <c r="O142" s="828">
        <v>0</v>
      </c>
      <c r="P142" s="828"/>
      <c r="Q142" s="829">
        <v>0</v>
      </c>
      <c r="R142" s="829"/>
      <c r="S142" s="646"/>
      <c r="T142" s="647"/>
      <c r="U142" s="647"/>
      <c r="V142" s="647"/>
      <c r="W142" s="647"/>
      <c r="X142" s="647"/>
      <c r="Y142" s="648"/>
      <c r="Z142" s="747"/>
      <c r="AA142" s="747"/>
      <c r="AB142" s="748"/>
      <c r="AC142" s="96"/>
      <c r="AD142" s="96"/>
      <c r="AE142" s="96"/>
      <c r="AF142" s="96"/>
      <c r="AG142" s="96"/>
      <c r="AH142" s="96"/>
      <c r="AI142" s="96"/>
      <c r="AJ142" s="96"/>
      <c r="AK142" s="96"/>
      <c r="AL142" s="226"/>
      <c r="AM142" s="96"/>
      <c r="AN142" s="92"/>
      <c r="AO142" s="92"/>
      <c r="AP142" s="96"/>
      <c r="AQ142" s="96"/>
      <c r="AR142" s="96"/>
      <c r="AS142" s="96"/>
      <c r="AT142" s="96"/>
      <c r="AU142" s="96"/>
      <c r="AV142" s="96"/>
      <c r="AW142" s="96"/>
      <c r="AX142" s="116"/>
      <c r="AY142" s="116"/>
      <c r="AZ142" s="116"/>
      <c r="BA142" s="116"/>
      <c r="BB142" s="116"/>
      <c r="BC142" s="116"/>
      <c r="BD142" s="116"/>
      <c r="BE142" s="116"/>
      <c r="BF142" s="116"/>
      <c r="BG142" s="116"/>
      <c r="BH142" s="116"/>
      <c r="BI142" s="116"/>
      <c r="BJ142" s="116"/>
      <c r="BK142" s="116"/>
      <c r="BL142" s="116"/>
      <c r="BM142" s="116"/>
      <c r="BN142" s="116"/>
      <c r="BO142" s="116"/>
      <c r="BP142" s="116"/>
      <c r="BQ142" s="116"/>
      <c r="BR142" s="116"/>
      <c r="BS142" s="116"/>
      <c r="BT142" s="116"/>
      <c r="BU142" s="116"/>
      <c r="BV142" s="116"/>
      <c r="BW142" s="116"/>
    </row>
    <row r="143" spans="1:75" s="117" customFormat="1" ht="30" customHeight="1" x14ac:dyDescent="0.2">
      <c r="A143" s="585"/>
      <c r="B143" s="586"/>
      <c r="C143" s="586"/>
      <c r="D143" s="646"/>
      <c r="E143" s="647"/>
      <c r="F143" s="647"/>
      <c r="G143" s="647"/>
      <c r="H143" s="647"/>
      <c r="I143" s="648"/>
      <c r="J143" s="603"/>
      <c r="K143" s="594" t="s">
        <v>981</v>
      </c>
      <c r="L143" s="594"/>
      <c r="M143" s="605"/>
      <c r="N143" s="605"/>
      <c r="O143" s="606"/>
      <c r="P143" s="606"/>
      <c r="Q143" s="606"/>
      <c r="R143" s="606"/>
      <c r="S143" s="646"/>
      <c r="T143" s="647"/>
      <c r="U143" s="647"/>
      <c r="V143" s="647"/>
      <c r="W143" s="647"/>
      <c r="X143" s="647"/>
      <c r="Y143" s="648"/>
      <c r="Z143" s="620"/>
      <c r="AA143" s="620"/>
      <c r="AB143" s="875"/>
      <c r="AC143" s="96"/>
      <c r="AD143" s="96"/>
      <c r="AE143" s="96"/>
      <c r="AF143" s="96"/>
      <c r="AG143" s="96"/>
      <c r="AH143" s="96"/>
      <c r="AI143" s="96"/>
      <c r="AJ143" s="96"/>
      <c r="AK143" s="96"/>
      <c r="AL143" s="226"/>
      <c r="AM143" s="96"/>
      <c r="AN143" s="92"/>
      <c r="AO143" s="92"/>
      <c r="AP143" s="96"/>
      <c r="AQ143" s="96"/>
      <c r="AR143" s="96"/>
      <c r="AS143" s="96"/>
      <c r="AT143" s="96"/>
      <c r="AU143" s="96"/>
      <c r="AV143" s="96"/>
      <c r="AW143" s="96"/>
      <c r="AX143" s="116"/>
      <c r="AY143" s="116"/>
      <c r="AZ143" s="116"/>
      <c r="BA143" s="116"/>
      <c r="BB143" s="116"/>
      <c r="BC143" s="116"/>
      <c r="BD143" s="116"/>
      <c r="BE143" s="116"/>
      <c r="BF143" s="116"/>
      <c r="BG143" s="116"/>
      <c r="BH143" s="116"/>
      <c r="BI143" s="116"/>
      <c r="BJ143" s="116"/>
      <c r="BK143" s="116"/>
      <c r="BL143" s="116"/>
      <c r="BM143" s="116"/>
      <c r="BN143" s="116"/>
      <c r="BO143" s="116"/>
      <c r="BP143" s="116"/>
      <c r="BQ143" s="116"/>
      <c r="BR143" s="116"/>
      <c r="BS143" s="116"/>
      <c r="BT143" s="116"/>
      <c r="BU143" s="116"/>
      <c r="BV143" s="116"/>
      <c r="BW143" s="116"/>
    </row>
    <row r="144" spans="1:75" s="117" customFormat="1" ht="30" customHeight="1" x14ac:dyDescent="0.2">
      <c r="A144" s="587"/>
      <c r="B144" s="588"/>
      <c r="C144" s="588"/>
      <c r="D144" s="628"/>
      <c r="E144" s="629"/>
      <c r="F144" s="629"/>
      <c r="G144" s="629"/>
      <c r="H144" s="629"/>
      <c r="I144" s="649"/>
      <c r="J144" s="604"/>
      <c r="K144" s="599" t="s">
        <v>982</v>
      </c>
      <c r="L144" s="599"/>
      <c r="M144" s="601"/>
      <c r="N144" s="601"/>
      <c r="O144" s="601"/>
      <c r="P144" s="601"/>
      <c r="Q144" s="601"/>
      <c r="R144" s="601"/>
      <c r="S144" s="628"/>
      <c r="T144" s="629"/>
      <c r="U144" s="629"/>
      <c r="V144" s="629"/>
      <c r="W144" s="629"/>
      <c r="X144" s="629"/>
      <c r="Y144" s="649"/>
      <c r="Z144" s="620"/>
      <c r="AA144" s="620"/>
      <c r="AB144" s="875"/>
      <c r="AC144" s="96"/>
      <c r="AD144" s="96"/>
      <c r="AE144" s="96"/>
      <c r="AF144" s="96"/>
      <c r="AG144" s="96"/>
      <c r="AH144" s="96"/>
      <c r="AI144" s="96"/>
      <c r="AJ144" s="96"/>
      <c r="AK144" s="96"/>
      <c r="AL144" s="226"/>
      <c r="AM144" s="96"/>
      <c r="AN144" s="92"/>
      <c r="AO144" s="92"/>
      <c r="AP144" s="96"/>
      <c r="AQ144" s="96"/>
      <c r="AR144" s="96"/>
      <c r="AS144" s="96"/>
      <c r="AT144" s="96"/>
      <c r="AU144" s="96"/>
      <c r="AV144" s="96"/>
      <c r="AW144" s="9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row>
    <row r="145" spans="1:75" s="117" customFormat="1" ht="16.5" customHeight="1" x14ac:dyDescent="0.2">
      <c r="A145" s="265"/>
      <c r="B145" s="266"/>
      <c r="C145" s="270"/>
      <c r="D145" s="264"/>
      <c r="E145" s="264"/>
      <c r="F145" s="264"/>
      <c r="G145" s="264"/>
      <c r="H145" s="264"/>
      <c r="I145" s="264"/>
      <c r="J145" s="268"/>
      <c r="K145" s="266"/>
      <c r="L145" s="266"/>
      <c r="M145" s="284"/>
      <c r="N145" s="284"/>
      <c r="O145" s="284"/>
      <c r="P145" s="284"/>
      <c r="Q145" s="284"/>
      <c r="R145" s="284"/>
      <c r="S145" s="285"/>
      <c r="T145" s="285"/>
      <c r="U145" s="285"/>
      <c r="V145" s="285"/>
      <c r="W145" s="285"/>
      <c r="X145" s="285"/>
      <c r="Y145" s="285"/>
      <c r="Z145" s="286"/>
      <c r="AA145" s="286"/>
      <c r="AB145" s="287"/>
      <c r="AC145" s="96"/>
      <c r="AD145" s="96"/>
      <c r="AE145" s="96"/>
      <c r="AF145" s="96"/>
      <c r="AG145" s="96"/>
      <c r="AH145" s="96"/>
      <c r="AI145" s="96"/>
      <c r="AJ145" s="96"/>
      <c r="AK145" s="96"/>
      <c r="AL145" s="226"/>
      <c r="AM145" s="96"/>
      <c r="AN145" s="92"/>
      <c r="AO145" s="92"/>
      <c r="AP145" s="96"/>
      <c r="AQ145" s="96"/>
      <c r="AR145" s="96"/>
      <c r="AS145" s="96"/>
      <c r="AT145" s="96"/>
      <c r="AU145" s="96"/>
      <c r="AV145" s="96"/>
      <c r="AW145" s="96"/>
      <c r="AX145" s="116"/>
      <c r="AY145" s="116"/>
      <c r="AZ145" s="116"/>
      <c r="BA145" s="116"/>
      <c r="BB145" s="116"/>
      <c r="BC145" s="116"/>
      <c r="BD145" s="116"/>
      <c r="BE145" s="116"/>
      <c r="BF145" s="116"/>
      <c r="BG145" s="116"/>
      <c r="BH145" s="116"/>
      <c r="BI145" s="116"/>
      <c r="BJ145" s="116"/>
      <c r="BK145" s="116"/>
      <c r="BL145" s="116"/>
      <c r="BM145" s="116"/>
      <c r="BN145" s="116"/>
      <c r="BO145" s="116"/>
      <c r="BP145" s="116"/>
      <c r="BQ145" s="116"/>
      <c r="BR145" s="116"/>
      <c r="BS145" s="116"/>
      <c r="BT145" s="116"/>
      <c r="BU145" s="116"/>
      <c r="BV145" s="116"/>
      <c r="BW145" s="116"/>
    </row>
    <row r="146" spans="1:75" s="74" customFormat="1" ht="33" customHeight="1" x14ac:dyDescent="0.2">
      <c r="A146" s="433" t="s">
        <v>986</v>
      </c>
      <c r="B146" s="434"/>
      <c r="C146" s="178"/>
      <c r="D146" s="723" t="s">
        <v>1573</v>
      </c>
      <c r="E146" s="723"/>
      <c r="F146" s="723"/>
      <c r="G146" s="723"/>
      <c r="H146" s="723"/>
      <c r="I146" s="723"/>
      <c r="J146" s="723"/>
      <c r="K146" s="244"/>
      <c r="L146" s="245"/>
      <c r="M146" s="245"/>
      <c r="N146" s="245"/>
      <c r="O146" s="245"/>
      <c r="P146" s="245"/>
      <c r="Q146" s="245"/>
      <c r="R146" s="245"/>
      <c r="S146" s="245"/>
      <c r="T146" s="245"/>
      <c r="U146" s="245"/>
      <c r="V146" s="245"/>
      <c r="W146" s="245"/>
      <c r="X146" s="245"/>
      <c r="Y146" s="245"/>
      <c r="Z146" s="245"/>
      <c r="AA146" s="245"/>
      <c r="AB146" s="77"/>
      <c r="AC146" s="92"/>
      <c r="AD146" s="92"/>
      <c r="AE146" s="92"/>
      <c r="AF146" s="92"/>
      <c r="AG146" s="92"/>
      <c r="AH146" s="92"/>
      <c r="AI146" s="92"/>
      <c r="AJ146" s="92"/>
      <c r="AK146" s="92"/>
      <c r="AL146" s="225"/>
      <c r="AM146" s="63">
        <v>7</v>
      </c>
      <c r="AN146" s="92"/>
      <c r="AO146" s="92"/>
      <c r="AP146" s="92"/>
      <c r="AQ146" s="92"/>
      <c r="AR146" s="92"/>
      <c r="AS146" s="92"/>
      <c r="AT146" s="92"/>
      <c r="AU146" s="92"/>
      <c r="AV146" s="85"/>
      <c r="AW146" s="85"/>
      <c r="AX146" s="85"/>
      <c r="AY146" s="85"/>
      <c r="AZ146" s="85"/>
      <c r="BA146" s="85"/>
      <c r="BB146" s="85"/>
      <c r="BC146" s="94"/>
      <c r="BD146" s="94"/>
      <c r="BE146" s="94"/>
      <c r="BF146" s="94"/>
      <c r="BG146" s="94"/>
      <c r="BH146" s="94"/>
      <c r="BI146" s="94"/>
      <c r="BJ146" s="94"/>
      <c r="BK146" s="94"/>
      <c r="BL146" s="94"/>
      <c r="BM146" s="94"/>
      <c r="BN146" s="94"/>
      <c r="BO146" s="94"/>
      <c r="BP146" s="94"/>
      <c r="BQ146" s="94"/>
      <c r="BR146" s="94"/>
      <c r="BS146" s="94"/>
      <c r="BT146" s="94"/>
      <c r="BU146" s="94"/>
    </row>
    <row r="147" spans="1:75" s="163" customFormat="1" ht="18" customHeight="1" x14ac:dyDescent="0.2">
      <c r="A147" s="144" t="s">
        <v>980</v>
      </c>
      <c r="B147" s="160"/>
      <c r="C147" s="160"/>
      <c r="D147" s="160"/>
      <c r="E147" s="160"/>
      <c r="F147" s="160"/>
      <c r="G147" s="100"/>
      <c r="H147" s="100"/>
      <c r="I147" s="100"/>
      <c r="J147" s="100"/>
      <c r="K147" s="100"/>
      <c r="L147" s="100"/>
      <c r="M147" s="100"/>
      <c r="N147" s="100"/>
      <c r="O147" s="100"/>
      <c r="P147" s="100"/>
      <c r="Q147" s="100"/>
      <c r="R147" s="414"/>
      <c r="S147" s="414"/>
      <c r="T147" s="414"/>
      <c r="U147" s="414"/>
      <c r="V147" s="414"/>
      <c r="W147" s="414"/>
      <c r="X147" s="414"/>
      <c r="Y147" s="414"/>
      <c r="Z147" s="414"/>
      <c r="AA147" s="414"/>
      <c r="AB147" s="415"/>
      <c r="AC147" s="92"/>
      <c r="AD147" s="92"/>
      <c r="AE147" s="92"/>
      <c r="AF147" s="92"/>
      <c r="AG147" s="92"/>
      <c r="AH147" s="92"/>
      <c r="AI147" s="92"/>
      <c r="AJ147" s="92"/>
      <c r="AK147" s="92"/>
      <c r="AL147" s="225"/>
      <c r="AM147" s="92">
        <f ca="1">INDIRECT(ADDRESS(ROW()-1,COLUMN()))</f>
        <v>7</v>
      </c>
      <c r="AN147" s="92"/>
      <c r="AO147" s="92"/>
      <c r="AP147" s="92"/>
      <c r="AQ147" s="92"/>
      <c r="AR147" s="92"/>
      <c r="AS147" s="92"/>
      <c r="AT147" s="92"/>
      <c r="AU147" s="92"/>
      <c r="AV147" s="92"/>
      <c r="AW147" s="161"/>
      <c r="AX147" s="161"/>
      <c r="AY147" s="161"/>
      <c r="AZ147" s="161"/>
      <c r="BA147" s="161"/>
      <c r="BB147" s="161"/>
      <c r="BC147" s="161"/>
      <c r="BD147" s="162"/>
      <c r="BE147" s="162"/>
      <c r="BF147" s="162"/>
      <c r="BG147" s="162"/>
      <c r="BH147" s="162"/>
      <c r="BI147" s="162"/>
      <c r="BJ147" s="162"/>
      <c r="BK147" s="162"/>
      <c r="BL147" s="162"/>
      <c r="BM147" s="162"/>
      <c r="BN147" s="162"/>
      <c r="BO147" s="162"/>
      <c r="BP147" s="162"/>
      <c r="BQ147" s="162"/>
      <c r="BR147" s="162"/>
      <c r="BS147" s="162"/>
      <c r="BT147" s="162"/>
      <c r="BU147" s="162"/>
      <c r="BV147" s="162"/>
    </row>
    <row r="148" spans="1:75" s="75" customFormat="1" ht="25.15" customHeight="1" x14ac:dyDescent="0.2">
      <c r="A148" s="355" t="s">
        <v>1900</v>
      </c>
      <c r="B148" s="355"/>
      <c r="C148" s="386"/>
      <c r="D148" s="686" t="s">
        <v>1006</v>
      </c>
      <c r="E148" s="354" t="s">
        <v>61</v>
      </c>
      <c r="F148" s="386"/>
      <c r="G148" s="354" t="s">
        <v>22</v>
      </c>
      <c r="H148" s="355"/>
      <c r="I148" s="355"/>
      <c r="J148" s="386"/>
      <c r="K148" s="354"/>
      <c r="L148" s="355"/>
      <c r="M148" s="374" t="s">
        <v>21</v>
      </c>
      <c r="N148" s="375"/>
      <c r="O148" s="375"/>
      <c r="P148" s="375"/>
      <c r="Q148" s="375"/>
      <c r="R148" s="376"/>
      <c r="S148" s="505" t="s">
        <v>614</v>
      </c>
      <c r="T148" s="506"/>
      <c r="U148" s="506"/>
      <c r="V148" s="506"/>
      <c r="W148" s="506"/>
      <c r="X148" s="506"/>
      <c r="Y148" s="506"/>
      <c r="Z148" s="506"/>
      <c r="AA148" s="506"/>
      <c r="AB148" s="507"/>
      <c r="AC148" s="134"/>
      <c r="AD148" s="249"/>
      <c r="AE148" s="249"/>
      <c r="AF148" s="249"/>
      <c r="AG148" s="249"/>
      <c r="AH148" s="249"/>
      <c r="AI148" s="249"/>
      <c r="AJ148" s="248">
        <v>40</v>
      </c>
      <c r="AK148" s="248" t="e">
        <v>#VALUE!</v>
      </c>
      <c r="AL148" s="685">
        <v>40</v>
      </c>
      <c r="AM148" s="63">
        <f ca="1">INDIRECT(ADDRESS(ROW()-1,COLUMN()))</f>
        <v>7</v>
      </c>
      <c r="AN148" s="180"/>
      <c r="AO148" s="180"/>
      <c r="AP148" s="249"/>
      <c r="AQ148" s="249"/>
      <c r="AR148" s="683"/>
      <c r="AS148" s="683"/>
      <c r="AT148" s="683"/>
      <c r="AU148" s="683"/>
      <c r="AV148" s="683"/>
      <c r="AW148" s="85"/>
      <c r="AX148" s="85"/>
      <c r="AY148" s="85"/>
      <c r="AZ148" s="85"/>
      <c r="BA148" s="85"/>
      <c r="BB148" s="85"/>
      <c r="BC148" s="85"/>
      <c r="BD148" s="95"/>
      <c r="BE148" s="95"/>
      <c r="BF148" s="95"/>
      <c r="BG148" s="95"/>
      <c r="BH148" s="95"/>
      <c r="BI148" s="95"/>
      <c r="BJ148" s="95"/>
      <c r="BK148" s="95"/>
      <c r="BL148" s="95"/>
      <c r="BM148" s="95"/>
      <c r="BN148" s="95"/>
      <c r="BO148" s="95"/>
      <c r="BP148" s="95"/>
      <c r="BQ148" s="95"/>
      <c r="BR148" s="95"/>
      <c r="BS148" s="95"/>
      <c r="BT148" s="95"/>
      <c r="BU148" s="95"/>
      <c r="BV148" s="95"/>
    </row>
    <row r="149" spans="1:75" s="75" customFormat="1" ht="26.25" customHeight="1" x14ac:dyDescent="0.2">
      <c r="A149" s="358"/>
      <c r="B149" s="358"/>
      <c r="C149" s="405"/>
      <c r="D149" s="687"/>
      <c r="E149" s="357"/>
      <c r="F149" s="405"/>
      <c r="G149" s="387"/>
      <c r="H149" s="391"/>
      <c r="I149" s="391"/>
      <c r="J149" s="388"/>
      <c r="K149" s="357"/>
      <c r="L149" s="358"/>
      <c r="M149" s="374" t="s">
        <v>544</v>
      </c>
      <c r="N149" s="376"/>
      <c r="O149" s="374" t="s">
        <v>18</v>
      </c>
      <c r="P149" s="376"/>
      <c r="Q149" s="374" t="s">
        <v>17</v>
      </c>
      <c r="R149" s="376"/>
      <c r="S149" s="508" t="s">
        <v>1901</v>
      </c>
      <c r="T149" s="509"/>
      <c r="U149" s="509"/>
      <c r="V149" s="509"/>
      <c r="W149" s="509"/>
      <c r="X149" s="509"/>
      <c r="Y149" s="509"/>
      <c r="Z149" s="509"/>
      <c r="AA149" s="509"/>
      <c r="AB149" s="510"/>
      <c r="AC149" s="134"/>
      <c r="AD149" s="249"/>
      <c r="AE149" s="249"/>
      <c r="AF149" s="249"/>
      <c r="AG149" s="249"/>
      <c r="AH149" s="249"/>
      <c r="AI149" s="249"/>
      <c r="AJ149" s="246">
        <f ca="1">INDIRECT(ADDRESS(ROW()-1,COLUMN()))</f>
        <v>40</v>
      </c>
      <c r="AK149" s="246" t="e">
        <f ca="1">INDIRECT(ADDRESS(ROW()-1,COLUMN()))</f>
        <v>#VALUE!</v>
      </c>
      <c r="AL149" s="685"/>
      <c r="AM149" s="63">
        <f ca="1">INDIRECT(ADDRESS(ROW()-1,COLUMN()))</f>
        <v>7</v>
      </c>
      <c r="AN149" s="180"/>
      <c r="AO149" s="180"/>
      <c r="AP149" s="249"/>
      <c r="AQ149" s="249"/>
      <c r="AR149" s="683"/>
      <c r="AS149" s="683"/>
      <c r="AT149" s="683"/>
      <c r="AU149" s="683"/>
      <c r="AV149" s="683"/>
      <c r="AW149" s="85"/>
      <c r="AX149" s="85"/>
      <c r="AY149" s="85"/>
      <c r="AZ149" s="85"/>
      <c r="BA149" s="85"/>
      <c r="BB149" s="85"/>
      <c r="BC149" s="85"/>
      <c r="BD149" s="95"/>
      <c r="BE149" s="95"/>
      <c r="BF149" s="95"/>
      <c r="BG149" s="95"/>
      <c r="BH149" s="95"/>
      <c r="BI149" s="95"/>
      <c r="BJ149" s="95"/>
      <c r="BK149" s="95"/>
      <c r="BL149" s="95"/>
      <c r="BM149" s="95"/>
      <c r="BN149" s="95"/>
      <c r="BO149" s="95"/>
      <c r="BP149" s="95"/>
      <c r="BQ149" s="95"/>
      <c r="BR149" s="95"/>
      <c r="BS149" s="95"/>
      <c r="BT149" s="95"/>
      <c r="BU149" s="95"/>
      <c r="BV149" s="95"/>
    </row>
    <row r="150" spans="1:75" s="75" customFormat="1" ht="18" customHeight="1" x14ac:dyDescent="0.2">
      <c r="A150" s="358"/>
      <c r="B150" s="358"/>
      <c r="C150" s="405"/>
      <c r="D150" s="687"/>
      <c r="E150" s="357"/>
      <c r="F150" s="405"/>
      <c r="G150" s="241" t="s">
        <v>15</v>
      </c>
      <c r="H150" s="389" t="s">
        <v>14</v>
      </c>
      <c r="I150" s="389" t="s">
        <v>555</v>
      </c>
      <c r="J150" s="389" t="s">
        <v>9</v>
      </c>
      <c r="K150" s="357"/>
      <c r="L150" s="416"/>
      <c r="M150" s="156" t="s">
        <v>15</v>
      </c>
      <c r="N150" s="503" t="s">
        <v>14</v>
      </c>
      <c r="O150" s="156" t="s">
        <v>15</v>
      </c>
      <c r="P150" s="503" t="s">
        <v>14</v>
      </c>
      <c r="Q150" s="156" t="s">
        <v>15</v>
      </c>
      <c r="R150" s="503" t="s">
        <v>14</v>
      </c>
      <c r="S150" s="508"/>
      <c r="T150" s="509"/>
      <c r="U150" s="509"/>
      <c r="V150" s="509"/>
      <c r="W150" s="509"/>
      <c r="X150" s="509"/>
      <c r="Y150" s="509"/>
      <c r="Z150" s="509"/>
      <c r="AA150" s="509"/>
      <c r="AB150" s="510"/>
      <c r="AC150" s="134"/>
      <c r="AD150" s="249"/>
      <c r="AE150" s="249"/>
      <c r="AF150" s="249"/>
      <c r="AG150" s="249"/>
      <c r="AH150" s="249"/>
      <c r="AI150" s="249"/>
      <c r="AJ150" s="246">
        <f t="shared" ref="AJ150:AK167" ca="1" si="6">INDIRECT(ADDRESS(ROW()-1,COLUMN()))</f>
        <v>40</v>
      </c>
      <c r="AK150" s="246" t="e">
        <f t="shared" ca="1" si="6"/>
        <v>#VALUE!</v>
      </c>
      <c r="AL150" s="685"/>
      <c r="AM150" s="63">
        <f t="shared" ref="AM150:AM171" ca="1" si="7">INDIRECT(ADDRESS(ROW()-1,COLUMN()))</f>
        <v>7</v>
      </c>
      <c r="AN150" s="180"/>
      <c r="AO150" s="180"/>
      <c r="AP150" s="249"/>
      <c r="AQ150" s="249"/>
      <c r="AR150" s="683"/>
      <c r="AS150" s="683"/>
      <c r="AT150" s="683"/>
      <c r="AU150" s="683"/>
      <c r="AV150" s="683"/>
      <c r="AW150" s="85"/>
      <c r="AX150" s="85"/>
      <c r="AY150" s="85"/>
      <c r="AZ150" s="85"/>
      <c r="BA150" s="85"/>
      <c r="BB150" s="85"/>
      <c r="BC150" s="85"/>
      <c r="BD150" s="95"/>
      <c r="BE150" s="95"/>
      <c r="BF150" s="95"/>
      <c r="BG150" s="95"/>
      <c r="BH150" s="95"/>
      <c r="BI150" s="95"/>
      <c r="BJ150" s="95"/>
      <c r="BK150" s="95"/>
      <c r="BL150" s="95"/>
      <c r="BM150" s="95"/>
      <c r="BN150" s="95"/>
      <c r="BO150" s="95"/>
      <c r="BP150" s="95"/>
      <c r="BQ150" s="95"/>
      <c r="BR150" s="95"/>
      <c r="BS150" s="95"/>
      <c r="BT150" s="95"/>
      <c r="BU150" s="95"/>
      <c r="BV150" s="95"/>
    </row>
    <row r="151" spans="1:75" s="75" customFormat="1" ht="18" customHeight="1" x14ac:dyDescent="0.2">
      <c r="A151" s="391"/>
      <c r="B151" s="391"/>
      <c r="C151" s="388"/>
      <c r="D151" s="688"/>
      <c r="E151" s="387"/>
      <c r="F151" s="388"/>
      <c r="G151" s="250" t="s">
        <v>13</v>
      </c>
      <c r="H151" s="390"/>
      <c r="I151" s="390"/>
      <c r="J151" s="390"/>
      <c r="K151" s="387"/>
      <c r="L151" s="417"/>
      <c r="M151" s="157" t="s">
        <v>13</v>
      </c>
      <c r="N151" s="504"/>
      <c r="O151" s="157" t="s">
        <v>13</v>
      </c>
      <c r="P151" s="504"/>
      <c r="Q151" s="157" t="s">
        <v>13</v>
      </c>
      <c r="R151" s="504"/>
      <c r="S151" s="511"/>
      <c r="T151" s="512"/>
      <c r="U151" s="512"/>
      <c r="V151" s="512"/>
      <c r="W151" s="512"/>
      <c r="X151" s="512"/>
      <c r="Y151" s="512"/>
      <c r="Z151" s="512"/>
      <c r="AA151" s="512"/>
      <c r="AB151" s="513"/>
      <c r="AC151" s="134"/>
      <c r="AD151" s="249"/>
      <c r="AE151" s="249"/>
      <c r="AF151" s="249"/>
      <c r="AG151" s="249"/>
      <c r="AH151" s="249"/>
      <c r="AI151" s="249"/>
      <c r="AJ151" s="246">
        <f t="shared" ca="1" si="6"/>
        <v>40</v>
      </c>
      <c r="AK151" s="246" t="e">
        <f t="shared" ca="1" si="6"/>
        <v>#VALUE!</v>
      </c>
      <c r="AL151" s="685"/>
      <c r="AM151" s="63">
        <f t="shared" ca="1" si="7"/>
        <v>7</v>
      </c>
      <c r="AN151" s="180"/>
      <c r="AO151" s="180"/>
      <c r="AP151" s="249"/>
      <c r="AQ151" s="249"/>
      <c r="AR151" s="683"/>
      <c r="AS151" s="683"/>
      <c r="AT151" s="683"/>
      <c r="AU151" s="683"/>
      <c r="AV151" s="683"/>
      <c r="AW151" s="85"/>
      <c r="AX151" s="85"/>
      <c r="AY151" s="85"/>
      <c r="AZ151" s="85"/>
      <c r="BA151" s="85"/>
      <c r="BB151" s="85"/>
      <c r="BC151" s="85"/>
      <c r="BD151" s="95"/>
      <c r="BE151" s="95"/>
      <c r="BF151" s="95"/>
      <c r="BG151" s="95"/>
      <c r="BH151" s="95"/>
      <c r="BI151" s="95"/>
      <c r="BJ151" s="95"/>
      <c r="BK151" s="95"/>
      <c r="BL151" s="95"/>
      <c r="BM151" s="95"/>
      <c r="BN151" s="95"/>
      <c r="BO151" s="95"/>
      <c r="BP151" s="95"/>
      <c r="BQ151" s="95"/>
      <c r="BR151" s="95"/>
      <c r="BS151" s="95"/>
      <c r="BT151" s="95"/>
      <c r="BU151" s="95"/>
      <c r="BV151" s="95"/>
    </row>
    <row r="152" spans="1:75" s="86" customFormat="1" ht="34.5" customHeight="1" x14ac:dyDescent="0.2">
      <c r="A152" s="637" t="s">
        <v>1784</v>
      </c>
      <c r="B152" s="638"/>
      <c r="C152" s="638"/>
      <c r="D152" s="607" t="s">
        <v>1408</v>
      </c>
      <c r="E152" s="610" t="s">
        <v>553</v>
      </c>
      <c r="F152" s="611"/>
      <c r="G152" s="534">
        <v>3917</v>
      </c>
      <c r="H152" s="514">
        <f>IF($G154&lt;&gt;"",$G152/$G154,"")</f>
        <v>0.36890186475795816</v>
      </c>
      <c r="I152" s="537">
        <v>2011</v>
      </c>
      <c r="J152" s="634" t="s">
        <v>52</v>
      </c>
      <c r="K152" s="616" t="s">
        <v>981</v>
      </c>
      <c r="L152" s="617"/>
      <c r="M152" s="259">
        <v>46660</v>
      </c>
      <c r="N152" s="730">
        <f>IF(M153&lt;&gt;"",M152/M153,"")</f>
        <v>0.8</v>
      </c>
      <c r="O152" s="291">
        <v>48918</v>
      </c>
      <c r="P152" s="730">
        <f>IF(O153&lt;&gt;"",O152/O153,"")</f>
        <v>0.79999345849414538</v>
      </c>
      <c r="Q152" s="291">
        <v>51287</v>
      </c>
      <c r="R152" s="730">
        <f>IF(Q153&lt;&gt;"",Q152/Q153,"")</f>
        <v>0.79999688031321659</v>
      </c>
      <c r="S152" s="732" t="s">
        <v>1976</v>
      </c>
      <c r="T152" s="733"/>
      <c r="U152" s="733"/>
      <c r="V152" s="733"/>
      <c r="W152" s="733"/>
      <c r="X152" s="733"/>
      <c r="Y152" s="733"/>
      <c r="Z152" s="733"/>
      <c r="AA152" s="733"/>
      <c r="AB152" s="734"/>
      <c r="AC152" s="141"/>
      <c r="AD152" s="247"/>
      <c r="AE152" s="247"/>
      <c r="AF152" s="247"/>
      <c r="AG152" s="247"/>
      <c r="AH152" s="221"/>
      <c r="AI152" s="221"/>
      <c r="AJ152" s="246">
        <f t="shared" ca="1" si="6"/>
        <v>40</v>
      </c>
      <c r="AK152" s="246" t="e">
        <f t="shared" ca="1" si="6"/>
        <v>#VALUE!</v>
      </c>
      <c r="AL152" s="684" t="str">
        <f ca="1">IFERROR(IF(INDIRECT(ADDRESS(ROW()-4,COLUMN()))+1&lt;=AJ152+AK152,INDIRECT(ADDRESS(ROW()-4,COLUMN()))+1,""),"")</f>
        <v/>
      </c>
      <c r="AM152" s="63">
        <f ca="1">INDIRECT(ADDRESS(ROW()-1,COLUMN()))</f>
        <v>7</v>
      </c>
      <c r="AN152" s="181"/>
      <c r="AO152" s="181"/>
      <c r="AP152" s="247"/>
      <c r="AQ152" s="247"/>
      <c r="AR152" s="682"/>
      <c r="AS152" s="682"/>
      <c r="AT152" s="682"/>
      <c r="AU152" s="682"/>
      <c r="AV152" s="682"/>
      <c r="AW152" s="85"/>
      <c r="AX152" s="85"/>
      <c r="AY152" s="85"/>
      <c r="AZ152" s="85"/>
      <c r="BA152" s="85"/>
      <c r="BB152" s="85"/>
      <c r="BC152" s="85"/>
    </row>
    <row r="153" spans="1:75" s="86" customFormat="1" ht="34.5" customHeight="1" x14ac:dyDescent="0.2">
      <c r="A153" s="639"/>
      <c r="B153" s="640"/>
      <c r="C153" s="640"/>
      <c r="D153" s="608"/>
      <c r="E153" s="612"/>
      <c r="F153" s="613"/>
      <c r="G153" s="535"/>
      <c r="H153" s="536"/>
      <c r="I153" s="538"/>
      <c r="J153" s="635"/>
      <c r="K153" s="618"/>
      <c r="L153" s="619"/>
      <c r="M153" s="260">
        <v>58325</v>
      </c>
      <c r="N153" s="731"/>
      <c r="O153" s="292">
        <v>61148</v>
      </c>
      <c r="P153" s="731"/>
      <c r="Q153" s="292">
        <v>64109</v>
      </c>
      <c r="R153" s="731"/>
      <c r="S153" s="735"/>
      <c r="T153" s="736"/>
      <c r="U153" s="736"/>
      <c r="V153" s="736"/>
      <c r="W153" s="736"/>
      <c r="X153" s="736"/>
      <c r="Y153" s="736"/>
      <c r="Z153" s="736"/>
      <c r="AA153" s="736"/>
      <c r="AB153" s="737"/>
      <c r="AC153" s="141"/>
      <c r="AD153" s="247"/>
      <c r="AE153" s="247"/>
      <c r="AF153" s="247"/>
      <c r="AG153" s="247"/>
      <c r="AH153" s="221"/>
      <c r="AI153" s="221"/>
      <c r="AJ153" s="246">
        <f t="shared" ca="1" si="6"/>
        <v>40</v>
      </c>
      <c r="AK153" s="246" t="e">
        <f t="shared" ca="1" si="6"/>
        <v>#VALUE!</v>
      </c>
      <c r="AL153" s="684"/>
      <c r="AM153" s="63">
        <f t="shared" ca="1" si="7"/>
        <v>7</v>
      </c>
      <c r="AN153" s="181"/>
      <c r="AO153" s="181"/>
      <c r="AP153" s="247"/>
      <c r="AQ153" s="247"/>
      <c r="AR153" s="682"/>
      <c r="AS153" s="682"/>
      <c r="AT153" s="682"/>
      <c r="AU153" s="682"/>
      <c r="AV153" s="682"/>
      <c r="AW153" s="85"/>
      <c r="AX153" s="85"/>
      <c r="AY153" s="85"/>
      <c r="AZ153" s="85"/>
      <c r="BA153" s="85"/>
      <c r="BB153" s="85"/>
      <c r="BC153" s="85"/>
    </row>
    <row r="154" spans="1:75" s="86" customFormat="1" ht="34.5" customHeight="1" x14ac:dyDescent="0.2">
      <c r="A154" s="639"/>
      <c r="B154" s="640"/>
      <c r="C154" s="640"/>
      <c r="D154" s="608"/>
      <c r="E154" s="612"/>
      <c r="F154" s="613"/>
      <c r="G154" s="534">
        <v>10618</v>
      </c>
      <c r="H154" s="536"/>
      <c r="I154" s="538"/>
      <c r="J154" s="635"/>
      <c r="K154" s="656" t="s">
        <v>982</v>
      </c>
      <c r="L154" s="657"/>
      <c r="M154" s="259">
        <f>M152</f>
        <v>46660</v>
      </c>
      <c r="N154" s="730">
        <f>IF(M155&lt;&gt;"",M154/M155,"")</f>
        <v>0.8</v>
      </c>
      <c r="O154" s="291">
        <f>O152</f>
        <v>48918</v>
      </c>
      <c r="P154" s="730">
        <f>IF(O155&lt;&gt;"",O154/O155,"")</f>
        <v>0.79999345849414538</v>
      </c>
      <c r="Q154" s="291">
        <f>Q152</f>
        <v>51287</v>
      </c>
      <c r="R154" s="730">
        <f>IF(Q155&lt;&gt;"",Q154/Q155,"")</f>
        <v>0.79999688031321659</v>
      </c>
      <c r="S154" s="735"/>
      <c r="T154" s="736"/>
      <c r="U154" s="736"/>
      <c r="V154" s="736"/>
      <c r="W154" s="736"/>
      <c r="X154" s="736"/>
      <c r="Y154" s="736"/>
      <c r="Z154" s="736"/>
      <c r="AA154" s="736"/>
      <c r="AB154" s="737"/>
      <c r="AC154" s="141"/>
      <c r="AD154" s="247"/>
      <c r="AE154" s="247"/>
      <c r="AF154" s="247"/>
      <c r="AG154" s="247"/>
      <c r="AH154" s="247"/>
      <c r="AI154" s="247"/>
      <c r="AJ154" s="246">
        <f t="shared" ca="1" si="6"/>
        <v>40</v>
      </c>
      <c r="AK154" s="246" t="e">
        <f t="shared" ca="1" si="6"/>
        <v>#VALUE!</v>
      </c>
      <c r="AL154" s="684"/>
      <c r="AM154" s="63">
        <f t="shared" ca="1" si="7"/>
        <v>7</v>
      </c>
      <c r="AN154" s="181"/>
      <c r="AO154" s="181"/>
      <c r="AP154" s="247"/>
      <c r="AQ154" s="247"/>
      <c r="AR154" s="682"/>
      <c r="AS154" s="682"/>
      <c r="AT154" s="682"/>
      <c r="AU154" s="682"/>
      <c r="AV154" s="682"/>
      <c r="AW154" s="85"/>
      <c r="AX154" s="85"/>
      <c r="AY154" s="85"/>
      <c r="AZ154" s="85"/>
      <c r="BA154" s="85"/>
      <c r="BB154" s="85"/>
      <c r="BC154" s="85"/>
    </row>
    <row r="155" spans="1:75" s="86" customFormat="1" ht="54.75" customHeight="1" x14ac:dyDescent="0.2">
      <c r="A155" s="641"/>
      <c r="B155" s="642"/>
      <c r="C155" s="642"/>
      <c r="D155" s="609"/>
      <c r="E155" s="614"/>
      <c r="F155" s="615"/>
      <c r="G155" s="535"/>
      <c r="H155" s="515"/>
      <c r="I155" s="539"/>
      <c r="J155" s="636"/>
      <c r="K155" s="658"/>
      <c r="L155" s="659"/>
      <c r="M155" s="260">
        <f>M153</f>
        <v>58325</v>
      </c>
      <c r="N155" s="731"/>
      <c r="O155" s="292">
        <f>O153</f>
        <v>61148</v>
      </c>
      <c r="P155" s="731"/>
      <c r="Q155" s="292">
        <f>Q153</f>
        <v>64109</v>
      </c>
      <c r="R155" s="731"/>
      <c r="S155" s="738"/>
      <c r="T155" s="739"/>
      <c r="U155" s="739"/>
      <c r="V155" s="739"/>
      <c r="W155" s="739"/>
      <c r="X155" s="739"/>
      <c r="Y155" s="739"/>
      <c r="Z155" s="739"/>
      <c r="AA155" s="739"/>
      <c r="AB155" s="740"/>
      <c r="AC155" s="141"/>
      <c r="AD155" s="247"/>
      <c r="AE155" s="247"/>
      <c r="AF155" s="247"/>
      <c r="AG155" s="247"/>
      <c r="AH155" s="247"/>
      <c r="AI155" s="247"/>
      <c r="AJ155" s="246">
        <f t="shared" ca="1" si="6"/>
        <v>40</v>
      </c>
      <c r="AK155" s="246" t="e">
        <f t="shared" ca="1" si="6"/>
        <v>#VALUE!</v>
      </c>
      <c r="AL155" s="684"/>
      <c r="AM155" s="63">
        <f t="shared" ca="1" si="7"/>
        <v>7</v>
      </c>
      <c r="AN155" s="181"/>
      <c r="AO155" s="181"/>
      <c r="AP155" s="247"/>
      <c r="AQ155" s="247"/>
      <c r="AR155" s="682"/>
      <c r="AS155" s="682"/>
      <c r="AT155" s="682"/>
      <c r="AU155" s="682"/>
      <c r="AV155" s="682"/>
      <c r="AW155" s="85"/>
      <c r="AX155" s="85"/>
      <c r="AY155" s="85"/>
      <c r="AZ155" s="85"/>
      <c r="BA155" s="85"/>
      <c r="BB155" s="85"/>
      <c r="BC155" s="85"/>
    </row>
    <row r="156" spans="1:75" s="86" customFormat="1" ht="19.5" customHeight="1" x14ac:dyDescent="0.2">
      <c r="A156" s="637" t="s">
        <v>1785</v>
      </c>
      <c r="B156" s="638"/>
      <c r="C156" s="638"/>
      <c r="D156" s="607" t="s">
        <v>1408</v>
      </c>
      <c r="E156" s="610" t="s">
        <v>553</v>
      </c>
      <c r="F156" s="611"/>
      <c r="G156" s="865" t="s">
        <v>2057</v>
      </c>
      <c r="H156" s="867" t="s">
        <v>2057</v>
      </c>
      <c r="I156" s="537"/>
      <c r="J156" s="634" t="s">
        <v>52</v>
      </c>
      <c r="K156" s="616" t="s">
        <v>981</v>
      </c>
      <c r="L156" s="617"/>
      <c r="M156" s="259">
        <v>47</v>
      </c>
      <c r="N156" s="730">
        <f>IF(M157&lt;&gt;"",M156/M157,"")</f>
        <v>1</v>
      </c>
      <c r="O156" s="291">
        <v>50</v>
      </c>
      <c r="P156" s="730">
        <f>IF(O157&lt;&gt;"",O156/O157,"")</f>
        <v>1</v>
      </c>
      <c r="Q156" s="291">
        <v>53</v>
      </c>
      <c r="R156" s="730">
        <f>IF(Q157&lt;&gt;"",Q156/Q157,"")</f>
        <v>1</v>
      </c>
      <c r="S156" s="732" t="s">
        <v>2015</v>
      </c>
      <c r="T156" s="733"/>
      <c r="U156" s="733"/>
      <c r="V156" s="733"/>
      <c r="W156" s="733"/>
      <c r="X156" s="733"/>
      <c r="Y156" s="733"/>
      <c r="Z156" s="733"/>
      <c r="AA156" s="733"/>
      <c r="AB156" s="734"/>
      <c r="AC156" s="141"/>
      <c r="AD156" s="247"/>
      <c r="AE156" s="247"/>
      <c r="AF156" s="247"/>
      <c r="AG156" s="247"/>
      <c r="AH156" s="247"/>
      <c r="AI156" s="247"/>
      <c r="AJ156" s="246">
        <f t="shared" ca="1" si="6"/>
        <v>40</v>
      </c>
      <c r="AK156" s="246" t="e">
        <f t="shared" ca="1" si="6"/>
        <v>#VALUE!</v>
      </c>
      <c r="AL156" s="684" t="str">
        <f t="shared" ref="AL156" ca="1" si="8">IFERROR(IF(INDIRECT(ADDRESS(ROW()-4,COLUMN()))+1&lt;=AJ156+AK156,INDIRECT(ADDRESS(ROW()-4,COLUMN()))+1,""),"")</f>
        <v/>
      </c>
      <c r="AM156" s="63">
        <f t="shared" ca="1" si="7"/>
        <v>7</v>
      </c>
      <c r="AN156" s="181"/>
      <c r="AO156" s="181"/>
      <c r="AP156" s="247"/>
      <c r="AQ156" s="247"/>
      <c r="AR156" s="682"/>
      <c r="AS156" s="682"/>
      <c r="AT156" s="682"/>
      <c r="AU156" s="682"/>
      <c r="AV156" s="682"/>
      <c r="AW156" s="85"/>
      <c r="AX156" s="85"/>
      <c r="AY156" s="85"/>
      <c r="AZ156" s="85"/>
      <c r="BA156" s="85"/>
      <c r="BB156" s="85"/>
      <c r="BC156" s="85"/>
    </row>
    <row r="157" spans="1:75" s="86" customFormat="1" ht="21" customHeight="1" x14ac:dyDescent="0.2">
      <c r="A157" s="639"/>
      <c r="B157" s="640"/>
      <c r="C157" s="640"/>
      <c r="D157" s="608"/>
      <c r="E157" s="612"/>
      <c r="F157" s="613"/>
      <c r="G157" s="866"/>
      <c r="H157" s="868"/>
      <c r="I157" s="538"/>
      <c r="J157" s="635"/>
      <c r="K157" s="618"/>
      <c r="L157" s="619"/>
      <c r="M157" s="260">
        <v>47</v>
      </c>
      <c r="N157" s="731"/>
      <c r="O157" s="292">
        <v>50</v>
      </c>
      <c r="P157" s="731"/>
      <c r="Q157" s="292">
        <v>53</v>
      </c>
      <c r="R157" s="731"/>
      <c r="S157" s="735"/>
      <c r="T157" s="736"/>
      <c r="U157" s="736"/>
      <c r="V157" s="736"/>
      <c r="W157" s="736"/>
      <c r="X157" s="736"/>
      <c r="Y157" s="736"/>
      <c r="Z157" s="736"/>
      <c r="AA157" s="736"/>
      <c r="AB157" s="737"/>
      <c r="AC157" s="141"/>
      <c r="AD157" s="247"/>
      <c r="AE157" s="247"/>
      <c r="AF157" s="247"/>
      <c r="AG157" s="247"/>
      <c r="AH157" s="247"/>
      <c r="AI157" s="247"/>
      <c r="AJ157" s="246">
        <f t="shared" ca="1" si="6"/>
        <v>40</v>
      </c>
      <c r="AK157" s="246" t="e">
        <f t="shared" ca="1" si="6"/>
        <v>#VALUE!</v>
      </c>
      <c r="AL157" s="684"/>
      <c r="AM157" s="63">
        <f t="shared" ca="1" si="7"/>
        <v>7</v>
      </c>
      <c r="AN157" s="181"/>
      <c r="AO157" s="181"/>
      <c r="AP157" s="247"/>
      <c r="AQ157" s="247"/>
      <c r="AR157" s="682"/>
      <c r="AS157" s="682"/>
      <c r="AT157" s="682"/>
      <c r="AU157" s="682"/>
      <c r="AV157" s="682"/>
      <c r="AW157" s="85"/>
      <c r="AX157" s="85"/>
      <c r="AY157" s="85"/>
      <c r="AZ157" s="85"/>
      <c r="BA157" s="85"/>
      <c r="BB157" s="85"/>
      <c r="BC157" s="85"/>
    </row>
    <row r="158" spans="1:75" s="86" customFormat="1" ht="18.75" customHeight="1" x14ac:dyDescent="0.2">
      <c r="A158" s="639"/>
      <c r="B158" s="640"/>
      <c r="C158" s="640"/>
      <c r="D158" s="608"/>
      <c r="E158" s="612"/>
      <c r="F158" s="613"/>
      <c r="G158" s="865" t="s">
        <v>2057</v>
      </c>
      <c r="H158" s="868"/>
      <c r="I158" s="538"/>
      <c r="J158" s="635"/>
      <c r="K158" s="656" t="s">
        <v>982</v>
      </c>
      <c r="L158" s="657"/>
      <c r="M158" s="259">
        <f>M156</f>
        <v>47</v>
      </c>
      <c r="N158" s="730">
        <f>IF(M159&lt;&gt;"",M158/M159,"")</f>
        <v>1</v>
      </c>
      <c r="O158" s="291">
        <f>O156</f>
        <v>50</v>
      </c>
      <c r="P158" s="730">
        <f>IF(O159&lt;&gt;"",O158/O159,"")</f>
        <v>1</v>
      </c>
      <c r="Q158" s="291">
        <f>Q156</f>
        <v>53</v>
      </c>
      <c r="R158" s="730">
        <f>IF(Q159&lt;&gt;"",Q158/Q159,"")</f>
        <v>1</v>
      </c>
      <c r="S158" s="735"/>
      <c r="T158" s="736"/>
      <c r="U158" s="736"/>
      <c r="V158" s="736"/>
      <c r="W158" s="736"/>
      <c r="X158" s="736"/>
      <c r="Y158" s="736"/>
      <c r="Z158" s="736"/>
      <c r="AA158" s="736"/>
      <c r="AB158" s="737"/>
      <c r="AC158" s="141"/>
      <c r="AD158" s="247"/>
      <c r="AE158" s="247"/>
      <c r="AF158" s="247"/>
      <c r="AG158" s="247"/>
      <c r="AH158" s="247"/>
      <c r="AI158" s="247"/>
      <c r="AJ158" s="246">
        <f t="shared" ca="1" si="6"/>
        <v>40</v>
      </c>
      <c r="AK158" s="246" t="e">
        <f t="shared" ca="1" si="6"/>
        <v>#VALUE!</v>
      </c>
      <c r="AL158" s="684"/>
      <c r="AM158" s="63">
        <f t="shared" ca="1" si="7"/>
        <v>7</v>
      </c>
      <c r="AN158" s="181"/>
      <c r="AO158" s="181"/>
      <c r="AP158" s="247"/>
      <c r="AQ158" s="247"/>
      <c r="AR158" s="682"/>
      <c r="AS158" s="682"/>
      <c r="AT158" s="682"/>
      <c r="AU158" s="682"/>
      <c r="AV158" s="682"/>
      <c r="AW158" s="85"/>
      <c r="AX158" s="85"/>
      <c r="AY158" s="85"/>
      <c r="AZ158" s="85"/>
      <c r="BA158" s="85"/>
      <c r="BB158" s="85"/>
      <c r="BC158" s="85"/>
    </row>
    <row r="159" spans="1:75" s="86" customFormat="1" ht="20.25" customHeight="1" x14ac:dyDescent="0.2">
      <c r="A159" s="641"/>
      <c r="B159" s="642"/>
      <c r="C159" s="642"/>
      <c r="D159" s="609"/>
      <c r="E159" s="614"/>
      <c r="F159" s="615"/>
      <c r="G159" s="866"/>
      <c r="H159" s="869"/>
      <c r="I159" s="539"/>
      <c r="J159" s="636"/>
      <c r="K159" s="658"/>
      <c r="L159" s="659"/>
      <c r="M159" s="260">
        <f>M157</f>
        <v>47</v>
      </c>
      <c r="N159" s="731"/>
      <c r="O159" s="292">
        <f>O157</f>
        <v>50</v>
      </c>
      <c r="P159" s="731"/>
      <c r="Q159" s="292">
        <f>Q157</f>
        <v>53</v>
      </c>
      <c r="R159" s="731"/>
      <c r="S159" s="738"/>
      <c r="T159" s="739"/>
      <c r="U159" s="739"/>
      <c r="V159" s="739"/>
      <c r="W159" s="739"/>
      <c r="X159" s="739"/>
      <c r="Y159" s="739"/>
      <c r="Z159" s="739"/>
      <c r="AA159" s="739"/>
      <c r="AB159" s="740"/>
      <c r="AC159" s="141"/>
      <c r="AD159" s="247"/>
      <c r="AE159" s="247"/>
      <c r="AF159" s="247"/>
      <c r="AG159" s="247"/>
      <c r="AH159" s="247"/>
      <c r="AI159" s="247"/>
      <c r="AJ159" s="246">
        <f t="shared" ca="1" si="6"/>
        <v>40</v>
      </c>
      <c r="AK159" s="246" t="e">
        <f t="shared" ca="1" si="6"/>
        <v>#VALUE!</v>
      </c>
      <c r="AL159" s="684"/>
      <c r="AM159" s="63">
        <f t="shared" ca="1" si="7"/>
        <v>7</v>
      </c>
      <c r="AN159" s="181"/>
      <c r="AO159" s="181"/>
      <c r="AP159" s="247"/>
      <c r="AQ159" s="247"/>
      <c r="AR159" s="682"/>
      <c r="AS159" s="682"/>
      <c r="AT159" s="682"/>
      <c r="AU159" s="682"/>
      <c r="AV159" s="682"/>
      <c r="AW159" s="85"/>
      <c r="AX159" s="85"/>
      <c r="AY159" s="85"/>
      <c r="AZ159" s="85"/>
      <c r="BA159" s="85"/>
      <c r="BB159" s="85"/>
      <c r="BC159" s="85"/>
    </row>
    <row r="160" spans="1:75" s="86" customFormat="1" ht="24.75" customHeight="1" x14ac:dyDescent="0.2">
      <c r="A160" s="637" t="s">
        <v>1795</v>
      </c>
      <c r="B160" s="638"/>
      <c r="C160" s="638"/>
      <c r="D160" s="870" t="s">
        <v>1408</v>
      </c>
      <c r="E160" s="610" t="s">
        <v>553</v>
      </c>
      <c r="F160" s="611"/>
      <c r="G160" s="865" t="str">
        <f t="shared" ref="G160:H162" si="9">G156</f>
        <v>N/A</v>
      </c>
      <c r="H160" s="867" t="str">
        <f t="shared" si="9"/>
        <v>N/A</v>
      </c>
      <c r="I160" s="537"/>
      <c r="J160" s="634" t="s">
        <v>46</v>
      </c>
      <c r="K160" s="616" t="s">
        <v>981</v>
      </c>
      <c r="L160" s="617"/>
      <c r="M160" s="259">
        <v>2218</v>
      </c>
      <c r="N160" s="730">
        <f>IF(M161&lt;&gt;"",M160/M161,"")</f>
        <v>0.90016233766233766</v>
      </c>
      <c r="O160" s="291">
        <v>2454</v>
      </c>
      <c r="P160" s="730">
        <f>IF(O161&lt;&gt;"",O160/O161,"")</f>
        <v>0.89988998899889994</v>
      </c>
      <c r="Q160" s="291">
        <v>2525</v>
      </c>
      <c r="R160" s="730">
        <f>IF(Q161&lt;&gt;"",Q160/Q161,"")</f>
        <v>0.90017825311942956</v>
      </c>
      <c r="S160" s="732" t="s">
        <v>1975</v>
      </c>
      <c r="T160" s="733"/>
      <c r="U160" s="733"/>
      <c r="V160" s="733"/>
      <c r="W160" s="733"/>
      <c r="X160" s="733"/>
      <c r="Y160" s="733"/>
      <c r="Z160" s="733"/>
      <c r="AA160" s="733"/>
      <c r="AB160" s="734"/>
      <c r="AC160" s="141"/>
      <c r="AD160" s="247"/>
      <c r="AE160" s="247"/>
      <c r="AF160" s="247"/>
      <c r="AG160" s="247"/>
      <c r="AH160" s="247"/>
      <c r="AI160" s="247"/>
      <c r="AJ160" s="246">
        <f t="shared" ca="1" si="6"/>
        <v>40</v>
      </c>
      <c r="AK160" s="246" t="e">
        <f t="shared" ca="1" si="6"/>
        <v>#VALUE!</v>
      </c>
      <c r="AL160" s="684" t="str">
        <f t="shared" ref="AL160" ca="1" si="10">IFERROR(IF(INDIRECT(ADDRESS(ROW()-4,COLUMN()))+1&lt;=AJ160+AK160,INDIRECT(ADDRESS(ROW()-4,COLUMN()))+1,""),"")</f>
        <v/>
      </c>
      <c r="AM160" s="63">
        <f t="shared" ca="1" si="7"/>
        <v>7</v>
      </c>
      <c r="AN160" s="181"/>
      <c r="AO160" s="181"/>
      <c r="AP160" s="247"/>
      <c r="AQ160" s="247"/>
      <c r="AR160" s="682"/>
      <c r="AS160" s="682"/>
      <c r="AT160" s="682"/>
      <c r="AU160" s="682"/>
      <c r="AV160" s="682"/>
      <c r="AW160" s="85"/>
      <c r="AX160" s="85"/>
      <c r="AY160" s="85"/>
      <c r="AZ160" s="85"/>
      <c r="BA160" s="85"/>
      <c r="BB160" s="85"/>
      <c r="BC160" s="85"/>
    </row>
    <row r="161" spans="1:75" s="86" customFormat="1" ht="24.75" customHeight="1" x14ac:dyDescent="0.2">
      <c r="A161" s="639"/>
      <c r="B161" s="640"/>
      <c r="C161" s="640"/>
      <c r="D161" s="871"/>
      <c r="E161" s="612"/>
      <c r="F161" s="613"/>
      <c r="G161" s="866"/>
      <c r="H161" s="868"/>
      <c r="I161" s="538"/>
      <c r="J161" s="635"/>
      <c r="K161" s="618"/>
      <c r="L161" s="619"/>
      <c r="M161" s="260">
        <v>2464</v>
      </c>
      <c r="N161" s="731"/>
      <c r="O161" s="292">
        <v>2727</v>
      </c>
      <c r="P161" s="731"/>
      <c r="Q161" s="292">
        <v>2805</v>
      </c>
      <c r="R161" s="731"/>
      <c r="S161" s="735"/>
      <c r="T161" s="736"/>
      <c r="U161" s="736"/>
      <c r="V161" s="736"/>
      <c r="W161" s="736"/>
      <c r="X161" s="736"/>
      <c r="Y161" s="736"/>
      <c r="Z161" s="736"/>
      <c r="AA161" s="736"/>
      <c r="AB161" s="737"/>
      <c r="AC161" s="141"/>
      <c r="AD161" s="247"/>
      <c r="AE161" s="247"/>
      <c r="AF161" s="247"/>
      <c r="AG161" s="247"/>
      <c r="AH161" s="247"/>
      <c r="AI161" s="247"/>
      <c r="AJ161" s="246">
        <f t="shared" ca="1" si="6"/>
        <v>40</v>
      </c>
      <c r="AK161" s="246" t="e">
        <f t="shared" ca="1" si="6"/>
        <v>#VALUE!</v>
      </c>
      <c r="AL161" s="684"/>
      <c r="AM161" s="63">
        <f t="shared" ca="1" si="7"/>
        <v>7</v>
      </c>
      <c r="AN161" s="181"/>
      <c r="AO161" s="181"/>
      <c r="AP161" s="247"/>
      <c r="AQ161" s="247"/>
      <c r="AR161" s="682"/>
      <c r="AS161" s="682"/>
      <c r="AT161" s="682"/>
      <c r="AU161" s="682"/>
      <c r="AV161" s="682"/>
      <c r="AW161" s="85"/>
      <c r="AX161" s="85"/>
      <c r="AY161" s="85"/>
      <c r="AZ161" s="85"/>
      <c r="BA161" s="85"/>
      <c r="BB161" s="85"/>
      <c r="BC161" s="85"/>
    </row>
    <row r="162" spans="1:75" s="86" customFormat="1" ht="24.75" customHeight="1" x14ac:dyDescent="0.2">
      <c r="A162" s="639"/>
      <c r="B162" s="640"/>
      <c r="C162" s="640"/>
      <c r="D162" s="871"/>
      <c r="E162" s="612"/>
      <c r="F162" s="613"/>
      <c r="G162" s="865" t="str">
        <f t="shared" si="9"/>
        <v>N/A</v>
      </c>
      <c r="H162" s="868"/>
      <c r="I162" s="538"/>
      <c r="J162" s="635"/>
      <c r="K162" s="656" t="s">
        <v>982</v>
      </c>
      <c r="L162" s="657"/>
      <c r="M162" s="259">
        <f>M160</f>
        <v>2218</v>
      </c>
      <c r="N162" s="730">
        <f>IF(M163&lt;&gt;"",M162/M163,"")</f>
        <v>0.90016233766233766</v>
      </c>
      <c r="O162" s="291">
        <f>O160</f>
        <v>2454</v>
      </c>
      <c r="P162" s="730">
        <f>IF(O163&lt;&gt;"",O162/O163,"")</f>
        <v>0.89988998899889994</v>
      </c>
      <c r="Q162" s="291">
        <f>Q160</f>
        <v>2525</v>
      </c>
      <c r="R162" s="730">
        <f>IF(Q163&lt;&gt;"",Q162/Q163,"")</f>
        <v>0.90017825311942956</v>
      </c>
      <c r="S162" s="735"/>
      <c r="T162" s="736"/>
      <c r="U162" s="736"/>
      <c r="V162" s="736"/>
      <c r="W162" s="736"/>
      <c r="X162" s="736"/>
      <c r="Y162" s="736"/>
      <c r="Z162" s="736"/>
      <c r="AA162" s="736"/>
      <c r="AB162" s="737"/>
      <c r="AC162" s="141"/>
      <c r="AD162" s="247"/>
      <c r="AE162" s="247"/>
      <c r="AF162" s="247"/>
      <c r="AG162" s="247"/>
      <c r="AH162" s="247"/>
      <c r="AI162" s="247"/>
      <c r="AJ162" s="246">
        <f t="shared" ca="1" si="6"/>
        <v>40</v>
      </c>
      <c r="AK162" s="246" t="e">
        <f t="shared" ca="1" si="6"/>
        <v>#VALUE!</v>
      </c>
      <c r="AL162" s="684"/>
      <c r="AM162" s="63">
        <f t="shared" ca="1" si="7"/>
        <v>7</v>
      </c>
      <c r="AN162" s="181"/>
      <c r="AO162" s="181"/>
      <c r="AP162" s="247"/>
      <c r="AQ162" s="247"/>
      <c r="AR162" s="682"/>
      <c r="AS162" s="682"/>
      <c r="AT162" s="682"/>
      <c r="AU162" s="682"/>
      <c r="AV162" s="682"/>
      <c r="AW162" s="85"/>
      <c r="AX162" s="85"/>
      <c r="AY162" s="85"/>
      <c r="AZ162" s="85"/>
      <c r="BA162" s="85"/>
      <c r="BB162" s="85"/>
      <c r="BC162" s="85"/>
    </row>
    <row r="163" spans="1:75" s="86" customFormat="1" ht="24.75" customHeight="1" x14ac:dyDescent="0.2">
      <c r="A163" s="641"/>
      <c r="B163" s="642"/>
      <c r="C163" s="642"/>
      <c r="D163" s="872"/>
      <c r="E163" s="614"/>
      <c r="F163" s="615"/>
      <c r="G163" s="866"/>
      <c r="H163" s="869"/>
      <c r="I163" s="539"/>
      <c r="J163" s="636"/>
      <c r="K163" s="658"/>
      <c r="L163" s="659"/>
      <c r="M163" s="260">
        <f>M161</f>
        <v>2464</v>
      </c>
      <c r="N163" s="731"/>
      <c r="O163" s="292">
        <f>O161</f>
        <v>2727</v>
      </c>
      <c r="P163" s="731"/>
      <c r="Q163" s="292">
        <f>Q161</f>
        <v>2805</v>
      </c>
      <c r="R163" s="731"/>
      <c r="S163" s="738"/>
      <c r="T163" s="739"/>
      <c r="U163" s="739"/>
      <c r="V163" s="739"/>
      <c r="W163" s="739"/>
      <c r="X163" s="739"/>
      <c r="Y163" s="739"/>
      <c r="Z163" s="739"/>
      <c r="AA163" s="739"/>
      <c r="AB163" s="740"/>
      <c r="AC163" s="141"/>
      <c r="AD163" s="247"/>
      <c r="AE163" s="247"/>
      <c r="AF163" s="247"/>
      <c r="AG163" s="247"/>
      <c r="AH163" s="247"/>
      <c r="AI163" s="247"/>
      <c r="AJ163" s="246">
        <f t="shared" ca="1" si="6"/>
        <v>40</v>
      </c>
      <c r="AK163" s="246" t="e">
        <f t="shared" ca="1" si="6"/>
        <v>#VALUE!</v>
      </c>
      <c r="AL163" s="684"/>
      <c r="AM163" s="63">
        <f t="shared" ca="1" si="7"/>
        <v>7</v>
      </c>
      <c r="AN163" s="181"/>
      <c r="AO163" s="181"/>
      <c r="AP163" s="247"/>
      <c r="AQ163" s="247"/>
      <c r="AR163" s="682"/>
      <c r="AS163" s="682"/>
      <c r="AT163" s="682"/>
      <c r="AU163" s="682"/>
      <c r="AV163" s="682"/>
      <c r="AW163" s="85"/>
      <c r="AX163" s="85"/>
      <c r="AY163" s="85"/>
      <c r="AZ163" s="85"/>
      <c r="BA163" s="85"/>
      <c r="BB163" s="85"/>
      <c r="BC163" s="85"/>
    </row>
    <row r="164" spans="1:75" s="86" customFormat="1" ht="33" customHeight="1" x14ac:dyDescent="0.2">
      <c r="A164" s="637" t="s">
        <v>1796</v>
      </c>
      <c r="B164" s="638"/>
      <c r="C164" s="638"/>
      <c r="D164" s="870" t="s">
        <v>1408</v>
      </c>
      <c r="E164" s="610" t="s">
        <v>553</v>
      </c>
      <c r="F164" s="611"/>
      <c r="G164" s="534"/>
      <c r="H164" s="514" t="s">
        <v>2033</v>
      </c>
      <c r="I164" s="537"/>
      <c r="J164" s="634" t="s">
        <v>46</v>
      </c>
      <c r="K164" s="616" t="s">
        <v>981</v>
      </c>
      <c r="L164" s="617"/>
      <c r="M164" s="259">
        <v>1232</v>
      </c>
      <c r="N164" s="730">
        <f>IF(M165&lt;&gt;"",M164/M165,"")</f>
        <v>0.5</v>
      </c>
      <c r="O164" s="291">
        <v>1363</v>
      </c>
      <c r="P164" s="730">
        <f>IF(O165&lt;&gt;"",O164/O165,"")</f>
        <v>0.4998166483314998</v>
      </c>
      <c r="Q164" s="291">
        <v>1402</v>
      </c>
      <c r="R164" s="730">
        <f>IF(Q165&lt;&gt;"",Q164/Q165,"")</f>
        <v>0.49982174688057041</v>
      </c>
      <c r="S164" s="732" t="s">
        <v>2034</v>
      </c>
      <c r="T164" s="733"/>
      <c r="U164" s="733"/>
      <c r="V164" s="733"/>
      <c r="W164" s="733"/>
      <c r="X164" s="733"/>
      <c r="Y164" s="733"/>
      <c r="Z164" s="733"/>
      <c r="AA164" s="733"/>
      <c r="AB164" s="734"/>
      <c r="AC164" s="141"/>
      <c r="AD164" s="247"/>
      <c r="AE164" s="247"/>
      <c r="AF164" s="247"/>
      <c r="AG164" s="247"/>
      <c r="AH164" s="247"/>
      <c r="AI164" s="247"/>
      <c r="AJ164" s="246">
        <f t="shared" ca="1" si="6"/>
        <v>40</v>
      </c>
      <c r="AK164" s="246" t="e">
        <f t="shared" ca="1" si="6"/>
        <v>#VALUE!</v>
      </c>
      <c r="AL164" s="684" t="str">
        <f t="shared" ref="AL164" ca="1" si="11">IFERROR(IF(INDIRECT(ADDRESS(ROW()-4,COLUMN()))+1&lt;=AJ164+AK164,INDIRECT(ADDRESS(ROW()-4,COLUMN()))+1,""),"")</f>
        <v/>
      </c>
      <c r="AM164" s="63">
        <f t="shared" ca="1" si="7"/>
        <v>7</v>
      </c>
      <c r="AN164" s="181"/>
      <c r="AO164" s="181"/>
      <c r="AP164" s="247"/>
      <c r="AQ164" s="247"/>
      <c r="AR164" s="682"/>
      <c r="AS164" s="682"/>
      <c r="AT164" s="682"/>
      <c r="AU164" s="682"/>
      <c r="AV164" s="682"/>
      <c r="AW164" s="85"/>
      <c r="AX164" s="85"/>
      <c r="AY164" s="85"/>
      <c r="AZ164" s="85"/>
      <c r="BA164" s="85"/>
      <c r="BB164" s="85"/>
      <c r="BC164" s="85"/>
    </row>
    <row r="165" spans="1:75" s="86" customFormat="1" ht="30" customHeight="1" x14ac:dyDescent="0.2">
      <c r="A165" s="639"/>
      <c r="B165" s="640"/>
      <c r="C165" s="640"/>
      <c r="D165" s="871"/>
      <c r="E165" s="612"/>
      <c r="F165" s="613"/>
      <c r="G165" s="535"/>
      <c r="H165" s="536"/>
      <c r="I165" s="538"/>
      <c r="J165" s="635"/>
      <c r="K165" s="618"/>
      <c r="L165" s="619"/>
      <c r="M165" s="260">
        <v>2464</v>
      </c>
      <c r="N165" s="731"/>
      <c r="O165" s="292">
        <v>2727</v>
      </c>
      <c r="P165" s="731"/>
      <c r="Q165" s="292">
        <v>2805</v>
      </c>
      <c r="R165" s="731"/>
      <c r="S165" s="735"/>
      <c r="T165" s="736"/>
      <c r="U165" s="736"/>
      <c r="V165" s="736"/>
      <c r="W165" s="736"/>
      <c r="X165" s="736"/>
      <c r="Y165" s="736"/>
      <c r="Z165" s="736"/>
      <c r="AA165" s="736"/>
      <c r="AB165" s="737"/>
      <c r="AC165" s="141"/>
      <c r="AD165" s="247"/>
      <c r="AE165" s="247"/>
      <c r="AF165" s="247"/>
      <c r="AG165" s="247"/>
      <c r="AH165" s="247"/>
      <c r="AI165" s="247"/>
      <c r="AJ165" s="246">
        <f t="shared" ca="1" si="6"/>
        <v>40</v>
      </c>
      <c r="AK165" s="246" t="e">
        <f t="shared" ca="1" si="6"/>
        <v>#VALUE!</v>
      </c>
      <c r="AL165" s="684"/>
      <c r="AM165" s="63">
        <f t="shared" ca="1" si="7"/>
        <v>7</v>
      </c>
      <c r="AN165" s="181"/>
      <c r="AO165" s="181"/>
      <c r="AP165" s="247"/>
      <c r="AQ165" s="247"/>
      <c r="AR165" s="682"/>
      <c r="AS165" s="682"/>
      <c r="AT165" s="682"/>
      <c r="AU165" s="682"/>
      <c r="AV165" s="682"/>
      <c r="AW165" s="85"/>
      <c r="AX165" s="85"/>
      <c r="AY165" s="85"/>
      <c r="AZ165" s="85"/>
      <c r="BA165" s="85"/>
      <c r="BB165" s="85"/>
      <c r="BC165" s="85"/>
    </row>
    <row r="166" spans="1:75" s="86" customFormat="1" ht="33" customHeight="1" x14ac:dyDescent="0.2">
      <c r="A166" s="639"/>
      <c r="B166" s="640"/>
      <c r="C166" s="640"/>
      <c r="D166" s="871"/>
      <c r="E166" s="612"/>
      <c r="F166" s="613"/>
      <c r="G166" s="534"/>
      <c r="H166" s="536"/>
      <c r="I166" s="538"/>
      <c r="J166" s="635"/>
      <c r="K166" s="656" t="s">
        <v>982</v>
      </c>
      <c r="L166" s="657"/>
      <c r="M166" s="259">
        <f>M164</f>
        <v>1232</v>
      </c>
      <c r="N166" s="730">
        <f>IF(M167&lt;&gt;"",M166/M167,"")</f>
        <v>0.5</v>
      </c>
      <c r="O166" s="291">
        <f>O164</f>
        <v>1363</v>
      </c>
      <c r="P166" s="730">
        <f>IF(O167&lt;&gt;"",O166/O167,"")</f>
        <v>0.4998166483314998</v>
      </c>
      <c r="Q166" s="291">
        <f>Q164</f>
        <v>1402</v>
      </c>
      <c r="R166" s="730">
        <f>IF(Q167&lt;&gt;"",Q166/Q167,"")</f>
        <v>0.49982174688057041</v>
      </c>
      <c r="S166" s="735"/>
      <c r="T166" s="736"/>
      <c r="U166" s="736"/>
      <c r="V166" s="736"/>
      <c r="W166" s="736"/>
      <c r="X166" s="736"/>
      <c r="Y166" s="736"/>
      <c r="Z166" s="736"/>
      <c r="AA166" s="736"/>
      <c r="AB166" s="737"/>
      <c r="AC166" s="141"/>
      <c r="AD166" s="247"/>
      <c r="AE166" s="247"/>
      <c r="AF166" s="247"/>
      <c r="AG166" s="247"/>
      <c r="AH166" s="247"/>
      <c r="AI166" s="247"/>
      <c r="AJ166" s="246">
        <f t="shared" ca="1" si="6"/>
        <v>40</v>
      </c>
      <c r="AK166" s="246" t="e">
        <f t="shared" ca="1" si="6"/>
        <v>#VALUE!</v>
      </c>
      <c r="AL166" s="684"/>
      <c r="AM166" s="63">
        <f t="shared" ca="1" si="7"/>
        <v>7</v>
      </c>
      <c r="AN166" s="181"/>
      <c r="AO166" s="181"/>
      <c r="AP166" s="247"/>
      <c r="AQ166" s="247"/>
      <c r="AR166" s="682"/>
      <c r="AS166" s="682"/>
      <c r="AT166" s="682"/>
      <c r="AU166" s="682"/>
      <c r="AV166" s="682"/>
      <c r="AW166" s="85"/>
      <c r="AX166" s="85"/>
      <c r="AY166" s="85"/>
      <c r="AZ166" s="85"/>
      <c r="BA166" s="85"/>
      <c r="BB166" s="85"/>
      <c r="BC166" s="85"/>
    </row>
    <row r="167" spans="1:75" s="86" customFormat="1" ht="33" customHeight="1" x14ac:dyDescent="0.2">
      <c r="A167" s="641"/>
      <c r="B167" s="642"/>
      <c r="C167" s="642"/>
      <c r="D167" s="872"/>
      <c r="E167" s="614"/>
      <c r="F167" s="615"/>
      <c r="G167" s="535"/>
      <c r="H167" s="515"/>
      <c r="I167" s="539"/>
      <c r="J167" s="636"/>
      <c r="K167" s="658"/>
      <c r="L167" s="659"/>
      <c r="M167" s="260">
        <f>M165</f>
        <v>2464</v>
      </c>
      <c r="N167" s="731"/>
      <c r="O167" s="292">
        <f>O165</f>
        <v>2727</v>
      </c>
      <c r="P167" s="731"/>
      <c r="Q167" s="292">
        <f>Q165</f>
        <v>2805</v>
      </c>
      <c r="R167" s="731"/>
      <c r="S167" s="738"/>
      <c r="T167" s="739"/>
      <c r="U167" s="739"/>
      <c r="V167" s="739"/>
      <c r="W167" s="739"/>
      <c r="X167" s="739"/>
      <c r="Y167" s="739"/>
      <c r="Z167" s="739"/>
      <c r="AA167" s="739"/>
      <c r="AB167" s="740"/>
      <c r="AC167" s="141"/>
      <c r="AD167" s="247"/>
      <c r="AE167" s="247"/>
      <c r="AF167" s="247"/>
      <c r="AG167" s="247"/>
      <c r="AH167" s="247"/>
      <c r="AI167" s="247"/>
      <c r="AJ167" s="246">
        <f t="shared" ca="1" si="6"/>
        <v>40</v>
      </c>
      <c r="AK167" s="246" t="e">
        <f t="shared" ca="1" si="6"/>
        <v>#VALUE!</v>
      </c>
      <c r="AL167" s="684"/>
      <c r="AM167" s="63">
        <f t="shared" ca="1" si="7"/>
        <v>7</v>
      </c>
      <c r="AN167" s="181"/>
      <c r="AO167" s="181"/>
      <c r="AP167" s="247"/>
      <c r="AQ167" s="247"/>
      <c r="AR167" s="682"/>
      <c r="AS167" s="682"/>
      <c r="AT167" s="682"/>
      <c r="AU167" s="682"/>
      <c r="AV167" s="682"/>
      <c r="AW167" s="85"/>
      <c r="AX167" s="85"/>
      <c r="AY167" s="85"/>
      <c r="AZ167" s="85"/>
      <c r="BA167" s="85"/>
      <c r="BB167" s="85"/>
      <c r="BC167" s="85"/>
    </row>
    <row r="168" spans="1:75" s="163" customFormat="1" ht="18" customHeight="1" x14ac:dyDescent="0.2">
      <c r="A168" s="144" t="s">
        <v>1546</v>
      </c>
      <c r="B168" s="242"/>
      <c r="C168" s="242"/>
      <c r="D168" s="242"/>
      <c r="E168" s="242"/>
      <c r="F168" s="242"/>
      <c r="G168" s="242"/>
      <c r="H168" s="242"/>
      <c r="I168" s="242"/>
      <c r="J168" s="242"/>
      <c r="K168" s="242"/>
      <c r="L168" s="242"/>
      <c r="M168" s="242"/>
      <c r="N168" s="242"/>
      <c r="O168" s="242"/>
      <c r="P168" s="242"/>
      <c r="Q168" s="242"/>
      <c r="R168" s="242"/>
      <c r="S168" s="242"/>
      <c r="T168" s="242"/>
      <c r="U168" s="242"/>
      <c r="V168" s="242"/>
      <c r="W168" s="242"/>
      <c r="X168" s="242"/>
      <c r="Y168" s="242"/>
      <c r="Z168" s="242"/>
      <c r="AA168" s="242"/>
      <c r="AB168" s="243"/>
      <c r="AC168" s="92"/>
      <c r="AD168" s="92"/>
      <c r="AE168" s="92"/>
      <c r="AF168" s="92"/>
      <c r="AG168" s="92"/>
      <c r="AH168" s="92"/>
      <c r="AI168" s="92"/>
      <c r="AJ168" s="92"/>
      <c r="AK168" s="92"/>
      <c r="AL168" s="225"/>
      <c r="AM168" s="92">
        <f t="shared" ca="1" si="7"/>
        <v>7</v>
      </c>
      <c r="AN168" s="92"/>
      <c r="AO168" s="92"/>
      <c r="AP168" s="92"/>
      <c r="AQ168" s="92"/>
      <c r="AR168" s="92"/>
      <c r="AS168" s="92"/>
      <c r="AT168" s="92"/>
      <c r="AU168" s="92"/>
      <c r="AV168" s="161"/>
      <c r="AW168" s="161"/>
      <c r="AX168" s="161"/>
      <c r="AY168" s="161"/>
      <c r="AZ168" s="161"/>
      <c r="BA168" s="161"/>
      <c r="BB168" s="161"/>
      <c r="BC168" s="162"/>
      <c r="BD168" s="162"/>
      <c r="BE168" s="162"/>
      <c r="BF168" s="162"/>
      <c r="BG168" s="162"/>
      <c r="BH168" s="162"/>
      <c r="BI168" s="162"/>
      <c r="BJ168" s="162"/>
      <c r="BK168" s="162"/>
      <c r="BL168" s="162"/>
      <c r="BM168" s="162"/>
      <c r="BN168" s="162"/>
      <c r="BO168" s="162"/>
      <c r="BP168" s="162"/>
      <c r="BQ168" s="162"/>
      <c r="BR168" s="162"/>
      <c r="BS168" s="162"/>
      <c r="BT168" s="162"/>
      <c r="BU168" s="162"/>
    </row>
    <row r="169" spans="1:75" s="159" customFormat="1" ht="18" customHeight="1" x14ac:dyDescent="0.2">
      <c r="A169" s="555" t="s">
        <v>1547</v>
      </c>
      <c r="B169" s="556"/>
      <c r="C169" s="556"/>
      <c r="D169" s="556"/>
      <c r="E169" s="557"/>
      <c r="F169" s="317">
        <f>M172+O172+Q172+M176+O176+Q176</f>
        <v>798281.26523809507</v>
      </c>
      <c r="G169" s="240"/>
      <c r="H169" s="240"/>
      <c r="I169" s="164"/>
      <c r="J169" s="558" t="s">
        <v>1548</v>
      </c>
      <c r="K169" s="559"/>
      <c r="L169" s="559"/>
      <c r="M169" s="559"/>
      <c r="N169" s="559"/>
      <c r="O169" s="559"/>
      <c r="P169" s="559"/>
      <c r="Q169" s="654">
        <v>0</v>
      </c>
      <c r="R169" s="655"/>
      <c r="S169" s="562"/>
      <c r="T169" s="562"/>
      <c r="U169" s="562"/>
      <c r="V169" s="164"/>
      <c r="W169" s="164"/>
      <c r="X169" s="164"/>
      <c r="Y169" s="164"/>
      <c r="Z169" s="164"/>
      <c r="AA169" s="164"/>
      <c r="AB169" s="165"/>
      <c r="AC169" s="96"/>
      <c r="AD169" s="96"/>
      <c r="AE169" s="96"/>
      <c r="AF169" s="96"/>
      <c r="AG169" s="96"/>
      <c r="AH169" s="96"/>
      <c r="AI169" s="96"/>
      <c r="AJ169" s="96"/>
      <c r="AK169" s="96"/>
      <c r="AL169" s="226"/>
      <c r="AM169" s="63">
        <f t="shared" ca="1" si="7"/>
        <v>7</v>
      </c>
      <c r="AN169" s="182">
        <f>F169</f>
        <v>798281.26523809507</v>
      </c>
      <c r="AO169" s="182">
        <f>Q169</f>
        <v>0</v>
      </c>
      <c r="AP169" s="96"/>
      <c r="AQ169" s="96"/>
      <c r="AR169" s="96"/>
      <c r="AS169" s="96"/>
      <c r="AT169" s="96"/>
      <c r="AU169" s="96"/>
      <c r="AV169" s="116"/>
      <c r="AW169" s="116"/>
      <c r="AX169" s="116"/>
      <c r="AY169" s="116"/>
      <c r="AZ169" s="116"/>
      <c r="BA169" s="116"/>
      <c r="BB169" s="116"/>
      <c r="BC169" s="158"/>
      <c r="BD169" s="158"/>
      <c r="BE169" s="158"/>
      <c r="BF169" s="158"/>
      <c r="BG169" s="158"/>
      <c r="BH169" s="158"/>
      <c r="BI169" s="158"/>
      <c r="BJ169" s="158"/>
      <c r="BK169" s="158"/>
      <c r="BL169" s="158"/>
      <c r="BM169" s="158"/>
      <c r="BN169" s="158"/>
      <c r="BO169" s="158"/>
      <c r="BP169" s="158"/>
      <c r="BQ169" s="158"/>
      <c r="BR169" s="158"/>
      <c r="BS169" s="158"/>
      <c r="BT169" s="158"/>
      <c r="BU169" s="158"/>
    </row>
    <row r="170" spans="1:75" s="104" customFormat="1" ht="30.75" customHeight="1" x14ac:dyDescent="0.2">
      <c r="A170" s="354" t="s">
        <v>1545</v>
      </c>
      <c r="B170" s="355"/>
      <c r="C170" s="386"/>
      <c r="D170" s="563" t="s">
        <v>1539</v>
      </c>
      <c r="E170" s="564"/>
      <c r="F170" s="564"/>
      <c r="G170" s="564"/>
      <c r="H170" s="564"/>
      <c r="I170" s="565"/>
      <c r="J170" s="389" t="s">
        <v>1006</v>
      </c>
      <c r="K170" s="354" t="s">
        <v>1536</v>
      </c>
      <c r="L170" s="355"/>
      <c r="M170" s="355"/>
      <c r="N170" s="355"/>
      <c r="O170" s="355"/>
      <c r="P170" s="355"/>
      <c r="Q170" s="355"/>
      <c r="R170" s="386"/>
      <c r="S170" s="563" t="s">
        <v>1538</v>
      </c>
      <c r="T170" s="564"/>
      <c r="U170" s="564"/>
      <c r="V170" s="564"/>
      <c r="W170" s="564"/>
      <c r="X170" s="564"/>
      <c r="Y170" s="565"/>
      <c r="Z170" s="755" t="s">
        <v>1537</v>
      </c>
      <c r="AA170" s="755"/>
      <c r="AB170" s="755"/>
      <c r="AC170" s="92"/>
      <c r="AD170" s="92"/>
      <c r="AE170" s="92"/>
      <c r="AF170" s="92"/>
      <c r="AG170" s="92"/>
      <c r="AH170" s="92"/>
      <c r="AI170" s="92"/>
      <c r="AJ170" s="92"/>
      <c r="AK170" s="92"/>
      <c r="AL170" s="225"/>
      <c r="AM170" s="63">
        <f t="shared" ca="1" si="7"/>
        <v>7</v>
      </c>
      <c r="AN170" s="92"/>
      <c r="AO170" s="92"/>
      <c r="AP170" s="92"/>
      <c r="AQ170" s="92"/>
      <c r="AR170" s="92"/>
      <c r="AS170" s="92"/>
      <c r="AT170" s="92"/>
      <c r="AU170" s="92"/>
      <c r="AV170" s="92"/>
      <c r="AW170" s="92"/>
      <c r="AX170" s="85"/>
      <c r="AY170" s="85"/>
      <c r="AZ170" s="85"/>
      <c r="BA170" s="85"/>
      <c r="BB170" s="85"/>
      <c r="BC170" s="85"/>
      <c r="BD170" s="85"/>
      <c r="BE170" s="90"/>
      <c r="BF170" s="90"/>
      <c r="BG170" s="90"/>
      <c r="BH170" s="90"/>
      <c r="BI170" s="90"/>
      <c r="BJ170" s="90"/>
      <c r="BK170" s="90"/>
      <c r="BL170" s="90"/>
      <c r="BM170" s="90"/>
      <c r="BN170" s="90"/>
      <c r="BO170" s="90"/>
      <c r="BP170" s="90"/>
      <c r="BQ170" s="90"/>
      <c r="BR170" s="90"/>
      <c r="BS170" s="90"/>
      <c r="BT170" s="90"/>
      <c r="BU170" s="90"/>
      <c r="BV170" s="90"/>
      <c r="BW170" s="90"/>
    </row>
    <row r="171" spans="1:75" s="104" customFormat="1" ht="67.5" customHeight="1" x14ac:dyDescent="0.2">
      <c r="A171" s="387"/>
      <c r="B171" s="391"/>
      <c r="C171" s="388"/>
      <c r="D171" s="552" t="s">
        <v>1540</v>
      </c>
      <c r="E171" s="553"/>
      <c r="F171" s="553"/>
      <c r="G171" s="553"/>
      <c r="H171" s="553"/>
      <c r="I171" s="554"/>
      <c r="J171" s="390"/>
      <c r="K171" s="238"/>
      <c r="L171" s="239"/>
      <c r="M171" s="374" t="s">
        <v>544</v>
      </c>
      <c r="N171" s="376"/>
      <c r="O171" s="755" t="s">
        <v>18</v>
      </c>
      <c r="P171" s="755"/>
      <c r="Q171" s="755" t="s">
        <v>17</v>
      </c>
      <c r="R171" s="755"/>
      <c r="S171" s="552" t="s">
        <v>1921</v>
      </c>
      <c r="T171" s="553"/>
      <c r="U171" s="553"/>
      <c r="V171" s="553"/>
      <c r="W171" s="553"/>
      <c r="X171" s="553"/>
      <c r="Y171" s="554"/>
      <c r="Z171" s="755"/>
      <c r="AA171" s="755"/>
      <c r="AB171" s="755"/>
      <c r="AC171" s="92"/>
      <c r="AD171" s="92"/>
      <c r="AE171" s="92"/>
      <c r="AF171" s="92"/>
      <c r="AG171" s="92"/>
      <c r="AH171" s="92"/>
      <c r="AI171" s="92"/>
      <c r="AJ171" s="92"/>
      <c r="AK171" s="92"/>
      <c r="AL171" s="225"/>
      <c r="AM171" s="63">
        <f t="shared" ca="1" si="7"/>
        <v>7</v>
      </c>
      <c r="AN171" s="92"/>
      <c r="AO171" s="92"/>
      <c r="AP171" s="92"/>
      <c r="AQ171" s="92"/>
      <c r="AR171" s="92"/>
      <c r="AS171" s="92"/>
      <c r="AT171" s="92"/>
      <c r="AU171" s="92"/>
      <c r="AV171" s="92"/>
      <c r="AW171" s="92"/>
      <c r="AX171" s="85"/>
      <c r="AY171" s="85"/>
      <c r="AZ171" s="85"/>
      <c r="BA171" s="85"/>
      <c r="BB171" s="85"/>
      <c r="BC171" s="85"/>
      <c r="BD171" s="85"/>
      <c r="BE171" s="90"/>
      <c r="BF171" s="90"/>
      <c r="BG171" s="90"/>
      <c r="BH171" s="90"/>
      <c r="BI171" s="90"/>
      <c r="BJ171" s="90"/>
      <c r="BK171" s="90"/>
      <c r="BL171" s="90"/>
      <c r="BM171" s="90"/>
      <c r="BN171" s="90"/>
      <c r="BO171" s="90"/>
      <c r="BP171" s="90"/>
      <c r="BQ171" s="90"/>
      <c r="BR171" s="90"/>
      <c r="BS171" s="90"/>
      <c r="BT171" s="90"/>
      <c r="BU171" s="90"/>
      <c r="BV171" s="90"/>
      <c r="BW171" s="90"/>
    </row>
    <row r="172" spans="1:75" s="117" customFormat="1" ht="365.65" customHeight="1" x14ac:dyDescent="0.2">
      <c r="A172" s="850" t="s">
        <v>1682</v>
      </c>
      <c r="B172" s="621"/>
      <c r="C172" s="621"/>
      <c r="D172" s="625" t="s">
        <v>2010</v>
      </c>
      <c r="E172" s="626"/>
      <c r="F172" s="626"/>
      <c r="G172" s="626"/>
      <c r="H172" s="626"/>
      <c r="I172" s="645"/>
      <c r="J172" s="603"/>
      <c r="K172" s="594" t="s">
        <v>981</v>
      </c>
      <c r="L172" s="594"/>
      <c r="M172" s="605">
        <f>225274.51*41/42</f>
        <v>219910.83119047619</v>
      </c>
      <c r="N172" s="605"/>
      <c r="O172" s="606">
        <f>217094.09*41/42</f>
        <v>211925.18309523808</v>
      </c>
      <c r="P172" s="606"/>
      <c r="Q172" s="606">
        <f>224187.8*41/42</f>
        <v>218849.9952380952</v>
      </c>
      <c r="R172" s="606"/>
      <c r="S172" s="625" t="s">
        <v>2038</v>
      </c>
      <c r="T172" s="626"/>
      <c r="U172" s="626"/>
      <c r="V172" s="626"/>
      <c r="W172" s="626"/>
      <c r="X172" s="626"/>
      <c r="Y172" s="645"/>
      <c r="Z172" s="584" t="s">
        <v>1973</v>
      </c>
      <c r="AA172" s="584"/>
      <c r="AB172" s="873"/>
      <c r="AC172" s="143"/>
      <c r="AD172" s="143"/>
      <c r="AE172" s="143"/>
      <c r="AF172" s="96"/>
      <c r="AG172" s="96"/>
      <c r="AH172" s="96"/>
      <c r="AI172" s="96"/>
      <c r="AJ172" s="96"/>
      <c r="AK172" s="96"/>
      <c r="AL172" s="226"/>
      <c r="AM172" s="96"/>
      <c r="AN172" s="92"/>
      <c r="AO172" s="92"/>
      <c r="AP172" s="96"/>
      <c r="AQ172" s="96"/>
      <c r="AR172" s="96"/>
      <c r="AS172" s="96"/>
      <c r="AT172" s="96"/>
      <c r="AU172" s="96"/>
      <c r="AV172" s="96"/>
      <c r="AW172" s="96"/>
      <c r="AX172" s="116"/>
      <c r="AY172" s="116"/>
      <c r="AZ172" s="116"/>
      <c r="BA172" s="116"/>
      <c r="BB172" s="116"/>
      <c r="BC172" s="116"/>
      <c r="BD172" s="116"/>
      <c r="BE172" s="116"/>
      <c r="BF172" s="116"/>
      <c r="BG172" s="116"/>
      <c r="BH172" s="116"/>
      <c r="BI172" s="116"/>
      <c r="BJ172" s="116"/>
      <c r="BK172" s="116"/>
      <c r="BL172" s="116"/>
      <c r="BM172" s="116"/>
      <c r="BN172" s="116"/>
      <c r="BO172" s="116"/>
      <c r="BP172" s="116"/>
      <c r="BQ172" s="116"/>
      <c r="BR172" s="116"/>
      <c r="BS172" s="116"/>
      <c r="BT172" s="116"/>
      <c r="BU172" s="116"/>
      <c r="BV172" s="116"/>
      <c r="BW172" s="116"/>
    </row>
    <row r="173" spans="1:75" s="117" customFormat="1" ht="78.75" customHeight="1" x14ac:dyDescent="0.2">
      <c r="A173" s="851"/>
      <c r="B173" s="852"/>
      <c r="C173" s="852"/>
      <c r="D173" s="646"/>
      <c r="E173" s="647"/>
      <c r="F173" s="647"/>
      <c r="G173" s="647"/>
      <c r="H173" s="647"/>
      <c r="I173" s="648"/>
      <c r="J173" s="604"/>
      <c r="K173" s="599" t="s">
        <v>982</v>
      </c>
      <c r="L173" s="599"/>
      <c r="M173" s="600"/>
      <c r="N173" s="600"/>
      <c r="O173" s="601"/>
      <c r="P173" s="601"/>
      <c r="Q173" s="602"/>
      <c r="R173" s="602"/>
      <c r="S173" s="646"/>
      <c r="T173" s="647"/>
      <c r="U173" s="647"/>
      <c r="V173" s="647"/>
      <c r="W173" s="647"/>
      <c r="X173" s="647"/>
      <c r="Y173" s="648"/>
      <c r="Z173" s="588"/>
      <c r="AA173" s="588"/>
      <c r="AB173" s="874"/>
      <c r="AC173" s="96"/>
      <c r="AD173" s="96"/>
      <c r="AE173" s="96"/>
      <c r="AF173" s="96"/>
      <c r="AG173" s="96"/>
      <c r="AH173" s="96"/>
      <c r="AI173" s="96"/>
      <c r="AJ173" s="96"/>
      <c r="AK173" s="96"/>
      <c r="AL173" s="226"/>
      <c r="AM173" s="96"/>
      <c r="AN173" s="92"/>
      <c r="AO173" s="92"/>
      <c r="AP173" s="96"/>
      <c r="AQ173" s="96"/>
      <c r="AR173" s="96"/>
      <c r="AS173" s="96"/>
      <c r="AT173" s="96"/>
      <c r="AU173" s="96"/>
      <c r="AV173" s="96"/>
      <c r="AW173" s="96"/>
      <c r="AX173" s="116"/>
      <c r="AY173" s="116"/>
      <c r="AZ173" s="116"/>
      <c r="BA173" s="116"/>
      <c r="BB173" s="116"/>
      <c r="BC173" s="116"/>
      <c r="BD173" s="116"/>
      <c r="BE173" s="116"/>
      <c r="BF173" s="116"/>
      <c r="BG173" s="116"/>
      <c r="BH173" s="116"/>
      <c r="BI173" s="116"/>
      <c r="BJ173" s="116"/>
      <c r="BK173" s="116"/>
      <c r="BL173" s="116"/>
      <c r="BM173" s="116"/>
      <c r="BN173" s="116"/>
      <c r="BO173" s="116"/>
      <c r="BP173" s="116"/>
      <c r="BQ173" s="116"/>
      <c r="BR173" s="116"/>
      <c r="BS173" s="116"/>
      <c r="BT173" s="116"/>
      <c r="BU173" s="116"/>
      <c r="BV173" s="116"/>
      <c r="BW173" s="116"/>
    </row>
    <row r="174" spans="1:75" s="117" customFormat="1" ht="41.25" customHeight="1" x14ac:dyDescent="0.2">
      <c r="A174" s="851"/>
      <c r="B174" s="852"/>
      <c r="C174" s="852"/>
      <c r="D174" s="646"/>
      <c r="E174" s="647"/>
      <c r="F174" s="647"/>
      <c r="G174" s="647"/>
      <c r="H174" s="647"/>
      <c r="I174" s="648"/>
      <c r="J174" s="603"/>
      <c r="K174" s="594" t="s">
        <v>981</v>
      </c>
      <c r="L174" s="594"/>
      <c r="M174" s="605"/>
      <c r="N174" s="605"/>
      <c r="O174" s="606"/>
      <c r="P174" s="606"/>
      <c r="Q174" s="606"/>
      <c r="R174" s="606"/>
      <c r="S174" s="646"/>
      <c r="T174" s="647"/>
      <c r="U174" s="647"/>
      <c r="V174" s="647"/>
      <c r="W174" s="647"/>
      <c r="X174" s="647"/>
      <c r="Y174" s="648"/>
      <c r="Z174" s="621"/>
      <c r="AA174" s="621"/>
      <c r="AB174" s="622"/>
      <c r="AC174" s="143"/>
      <c r="AD174" s="143"/>
      <c r="AE174" s="143"/>
      <c r="AF174" s="96"/>
      <c r="AG174" s="96"/>
      <c r="AH174" s="96"/>
      <c r="AI174" s="96"/>
      <c r="AJ174" s="96"/>
      <c r="AK174" s="96"/>
      <c r="AL174" s="226"/>
      <c r="AM174" s="96"/>
      <c r="AN174" s="92"/>
      <c r="AO174" s="92"/>
      <c r="AP174" s="96"/>
      <c r="AQ174" s="96"/>
      <c r="AR174" s="96"/>
      <c r="AS174" s="96"/>
      <c r="AT174" s="96"/>
      <c r="AU174" s="96"/>
      <c r="AV174" s="96"/>
      <c r="AW174" s="96"/>
      <c r="AX174" s="116"/>
      <c r="AY174" s="116"/>
      <c r="AZ174" s="116"/>
      <c r="BA174" s="116"/>
      <c r="BB174" s="116"/>
      <c r="BC174" s="116"/>
      <c r="BD174" s="116"/>
      <c r="BE174" s="116"/>
      <c r="BF174" s="116"/>
      <c r="BG174" s="116"/>
      <c r="BH174" s="116"/>
      <c r="BI174" s="116"/>
      <c r="BJ174" s="116"/>
      <c r="BK174" s="116"/>
      <c r="BL174" s="116"/>
      <c r="BM174" s="116"/>
      <c r="BN174" s="116"/>
      <c r="BO174" s="116"/>
      <c r="BP174" s="116"/>
      <c r="BQ174" s="116"/>
      <c r="BR174" s="116"/>
      <c r="BS174" s="116"/>
      <c r="BT174" s="116"/>
      <c r="BU174" s="116"/>
      <c r="BV174" s="116"/>
      <c r="BW174" s="116"/>
    </row>
    <row r="175" spans="1:75" s="117" customFormat="1" ht="42" customHeight="1" x14ac:dyDescent="0.2">
      <c r="A175" s="853"/>
      <c r="B175" s="623"/>
      <c r="C175" s="623"/>
      <c r="D175" s="628"/>
      <c r="E175" s="629"/>
      <c r="F175" s="629"/>
      <c r="G175" s="629"/>
      <c r="H175" s="629"/>
      <c r="I175" s="649"/>
      <c r="J175" s="604"/>
      <c r="K175" s="599" t="s">
        <v>982</v>
      </c>
      <c r="L175" s="599"/>
      <c r="M175" s="600"/>
      <c r="N175" s="600"/>
      <c r="O175" s="601"/>
      <c r="P175" s="601"/>
      <c r="Q175" s="602"/>
      <c r="R175" s="602"/>
      <c r="S175" s="628"/>
      <c r="T175" s="629"/>
      <c r="U175" s="629"/>
      <c r="V175" s="629"/>
      <c r="W175" s="629"/>
      <c r="X175" s="629"/>
      <c r="Y175" s="649"/>
      <c r="Z175" s="623"/>
      <c r="AA175" s="623"/>
      <c r="AB175" s="624"/>
      <c r="AC175" s="96"/>
      <c r="AD175" s="96"/>
      <c r="AE175" s="96"/>
      <c r="AF175" s="96"/>
      <c r="AG175" s="96"/>
      <c r="AH175" s="96"/>
      <c r="AI175" s="96"/>
      <c r="AJ175" s="96"/>
      <c r="AK175" s="96"/>
      <c r="AL175" s="226"/>
      <c r="AM175" s="96"/>
      <c r="AN175" s="92"/>
      <c r="AO175" s="92"/>
      <c r="AP175" s="96"/>
      <c r="AQ175" s="96"/>
      <c r="AR175" s="96"/>
      <c r="AS175" s="96"/>
      <c r="AT175" s="96"/>
      <c r="AU175" s="96"/>
      <c r="AV175" s="96"/>
      <c r="AW175" s="96"/>
      <c r="AX175" s="116"/>
      <c r="AY175" s="116"/>
      <c r="AZ175" s="116"/>
      <c r="BA175" s="116"/>
      <c r="BB175" s="116"/>
      <c r="BC175" s="116"/>
      <c r="BD175" s="116"/>
      <c r="BE175" s="116"/>
      <c r="BF175" s="116"/>
      <c r="BG175" s="116"/>
      <c r="BH175" s="116"/>
      <c r="BI175" s="116"/>
      <c r="BJ175" s="116"/>
      <c r="BK175" s="116"/>
      <c r="BL175" s="116"/>
      <c r="BM175" s="116"/>
      <c r="BN175" s="116"/>
      <c r="BO175" s="116"/>
      <c r="BP175" s="116"/>
      <c r="BQ175" s="116"/>
      <c r="BR175" s="116"/>
      <c r="BS175" s="116"/>
      <c r="BT175" s="116"/>
      <c r="BU175" s="116"/>
      <c r="BV175" s="116"/>
      <c r="BW175" s="116"/>
    </row>
    <row r="176" spans="1:75" s="117" customFormat="1" ht="57.75" customHeight="1" x14ac:dyDescent="0.2">
      <c r="A176" s="850" t="s">
        <v>1683</v>
      </c>
      <c r="B176" s="621"/>
      <c r="C176" s="621"/>
      <c r="D176" s="625" t="s">
        <v>1974</v>
      </c>
      <c r="E176" s="626"/>
      <c r="F176" s="626"/>
      <c r="G176" s="626"/>
      <c r="H176" s="626"/>
      <c r="I176" s="645"/>
      <c r="J176" s="592"/>
      <c r="K176" s="594" t="s">
        <v>981</v>
      </c>
      <c r="L176" s="594"/>
      <c r="M176" s="605">
        <f>70479.68*41/42</f>
        <v>68801.592380952381</v>
      </c>
      <c r="N176" s="605"/>
      <c r="O176" s="606">
        <f>55308.95*41/42</f>
        <v>53992.070238095228</v>
      </c>
      <c r="P176" s="606"/>
      <c r="Q176" s="606">
        <f>25406.51*41/42</f>
        <v>24801.593095238095</v>
      </c>
      <c r="R176" s="606"/>
      <c r="S176" s="676" t="s">
        <v>2019</v>
      </c>
      <c r="T176" s="677"/>
      <c r="U176" s="677"/>
      <c r="V176" s="677"/>
      <c r="W176" s="677"/>
      <c r="X176" s="677"/>
      <c r="Y176" s="678"/>
      <c r="Z176" s="621"/>
      <c r="AA176" s="621"/>
      <c r="AB176" s="622"/>
      <c r="AC176" s="96"/>
      <c r="AD176" s="96"/>
      <c r="AE176" s="96"/>
      <c r="AF176" s="96"/>
      <c r="AG176" s="96"/>
      <c r="AH176" s="96"/>
      <c r="AI176" s="96"/>
      <c r="AJ176" s="96"/>
      <c r="AK176" s="96"/>
      <c r="AL176" s="226"/>
      <c r="AM176" s="96"/>
      <c r="AN176" s="92"/>
      <c r="AO176" s="92"/>
      <c r="AP176" s="96"/>
      <c r="AQ176" s="96"/>
      <c r="AR176" s="96"/>
      <c r="AS176" s="96"/>
      <c r="AT176" s="96"/>
      <c r="AU176" s="96"/>
      <c r="AV176" s="96"/>
      <c r="AW176" s="96"/>
      <c r="AX176" s="116"/>
      <c r="AY176" s="116"/>
      <c r="AZ176" s="116"/>
      <c r="BA176" s="116"/>
      <c r="BB176" s="116"/>
      <c r="BC176" s="116"/>
      <c r="BD176" s="116"/>
      <c r="BE176" s="116"/>
      <c r="BF176" s="116"/>
      <c r="BG176" s="116"/>
      <c r="BH176" s="116"/>
      <c r="BI176" s="116"/>
      <c r="BJ176" s="116"/>
      <c r="BK176" s="116"/>
      <c r="BL176" s="116"/>
      <c r="BM176" s="116"/>
      <c r="BN176" s="116"/>
      <c r="BO176" s="116"/>
      <c r="BP176" s="116"/>
      <c r="BQ176" s="116"/>
      <c r="BR176" s="116"/>
      <c r="BS176" s="116"/>
      <c r="BT176" s="116"/>
      <c r="BU176" s="116"/>
      <c r="BV176" s="116"/>
      <c r="BW176" s="116"/>
    </row>
    <row r="177" spans="1:75" s="117" customFormat="1" ht="57.75" customHeight="1" x14ac:dyDescent="0.2">
      <c r="A177" s="851"/>
      <c r="B177" s="852"/>
      <c r="C177" s="852"/>
      <c r="D177" s="646"/>
      <c r="E177" s="647"/>
      <c r="F177" s="647"/>
      <c r="G177" s="647"/>
      <c r="H177" s="647"/>
      <c r="I177" s="648"/>
      <c r="J177" s="593"/>
      <c r="K177" s="599" t="s">
        <v>982</v>
      </c>
      <c r="L177" s="599"/>
      <c r="M177" s="600"/>
      <c r="N177" s="600"/>
      <c r="O177" s="601"/>
      <c r="P177" s="601"/>
      <c r="Q177" s="602"/>
      <c r="R177" s="602"/>
      <c r="S177" s="742"/>
      <c r="T177" s="743"/>
      <c r="U177" s="743"/>
      <c r="V177" s="743"/>
      <c r="W177" s="743"/>
      <c r="X177" s="743"/>
      <c r="Y177" s="744"/>
      <c r="Z177" s="623"/>
      <c r="AA177" s="623"/>
      <c r="AB177" s="624"/>
      <c r="AC177" s="96"/>
      <c r="AD177" s="96"/>
      <c r="AE177" s="96"/>
      <c r="AF177" s="96"/>
      <c r="AG177" s="96"/>
      <c r="AH177" s="96"/>
      <c r="AI177" s="96"/>
      <c r="AJ177" s="96"/>
      <c r="AK177" s="96"/>
      <c r="AL177" s="226"/>
      <c r="AM177" s="96"/>
      <c r="AN177" s="92"/>
      <c r="AO177" s="92"/>
      <c r="AP177" s="96"/>
      <c r="AQ177" s="96"/>
      <c r="AR177" s="96"/>
      <c r="AS177" s="96"/>
      <c r="AT177" s="96"/>
      <c r="AU177" s="96"/>
      <c r="AV177" s="96"/>
      <c r="AW177" s="96"/>
      <c r="AX177" s="116"/>
      <c r="AY177" s="116"/>
      <c r="AZ177" s="116"/>
      <c r="BA177" s="116"/>
      <c r="BB177" s="116"/>
      <c r="BC177" s="116"/>
      <c r="BD177" s="116"/>
      <c r="BE177" s="116"/>
      <c r="BF177" s="116"/>
      <c r="BG177" s="116"/>
      <c r="BH177" s="116"/>
      <c r="BI177" s="116"/>
      <c r="BJ177" s="116"/>
      <c r="BK177" s="116"/>
      <c r="BL177" s="116"/>
      <c r="BM177" s="116"/>
      <c r="BN177" s="116"/>
      <c r="BO177" s="116"/>
      <c r="BP177" s="116"/>
      <c r="BQ177" s="116"/>
      <c r="BR177" s="116"/>
      <c r="BS177" s="116"/>
      <c r="BT177" s="116"/>
      <c r="BU177" s="116"/>
      <c r="BV177" s="116"/>
      <c r="BW177" s="116"/>
    </row>
    <row r="178" spans="1:75" s="117" customFormat="1" ht="57.75" customHeight="1" x14ac:dyDescent="0.2">
      <c r="A178" s="851"/>
      <c r="B178" s="852"/>
      <c r="C178" s="852"/>
      <c r="D178" s="646"/>
      <c r="E178" s="647"/>
      <c r="F178" s="647"/>
      <c r="G178" s="647"/>
      <c r="H178" s="647"/>
      <c r="I178" s="648"/>
      <c r="J178" s="603"/>
      <c r="K178" s="594" t="s">
        <v>981</v>
      </c>
      <c r="L178" s="594"/>
      <c r="M178" s="605"/>
      <c r="N178" s="605"/>
      <c r="O178" s="606"/>
      <c r="P178" s="606"/>
      <c r="Q178" s="606"/>
      <c r="R178" s="606"/>
      <c r="S178" s="742"/>
      <c r="T178" s="743"/>
      <c r="U178" s="743"/>
      <c r="V178" s="743"/>
      <c r="W178" s="743"/>
      <c r="X178" s="743"/>
      <c r="Y178" s="744"/>
      <c r="Z178" s="621"/>
      <c r="AA178" s="621"/>
      <c r="AB178" s="622"/>
      <c r="AC178" s="143"/>
      <c r="AD178" s="143"/>
      <c r="AE178" s="143"/>
      <c r="AF178" s="96"/>
      <c r="AG178" s="96"/>
      <c r="AH178" s="96"/>
      <c r="AI178" s="96"/>
      <c r="AJ178" s="96"/>
      <c r="AK178" s="96"/>
      <c r="AL178" s="226"/>
      <c r="AM178" s="96"/>
      <c r="AN178" s="92"/>
      <c r="AO178" s="92"/>
      <c r="AP178" s="96"/>
      <c r="AQ178" s="96"/>
      <c r="AR178" s="96"/>
      <c r="AS178" s="96"/>
      <c r="AT178" s="96"/>
      <c r="AU178" s="96"/>
      <c r="AV178" s="96"/>
      <c r="AW178" s="96"/>
      <c r="AX178" s="116"/>
      <c r="AY178" s="116"/>
      <c r="AZ178" s="116"/>
      <c r="BA178" s="116"/>
      <c r="BB178" s="116"/>
      <c r="BC178" s="116"/>
      <c r="BD178" s="116"/>
      <c r="BE178" s="116"/>
      <c r="BF178" s="116"/>
      <c r="BG178" s="116"/>
      <c r="BH178" s="116"/>
      <c r="BI178" s="116"/>
      <c r="BJ178" s="116"/>
      <c r="BK178" s="116"/>
      <c r="BL178" s="116"/>
      <c r="BM178" s="116"/>
      <c r="BN178" s="116"/>
      <c r="BO178" s="116"/>
      <c r="BP178" s="116"/>
      <c r="BQ178" s="116"/>
      <c r="BR178" s="116"/>
      <c r="BS178" s="116"/>
      <c r="BT178" s="116"/>
      <c r="BU178" s="116"/>
      <c r="BV178" s="116"/>
      <c r="BW178" s="116"/>
    </row>
    <row r="179" spans="1:75" s="117" customFormat="1" ht="63" customHeight="1" x14ac:dyDescent="0.2">
      <c r="A179" s="853"/>
      <c r="B179" s="623"/>
      <c r="C179" s="623"/>
      <c r="D179" s="628"/>
      <c r="E179" s="629"/>
      <c r="F179" s="629"/>
      <c r="G179" s="629"/>
      <c r="H179" s="629"/>
      <c r="I179" s="649"/>
      <c r="J179" s="604"/>
      <c r="K179" s="599" t="s">
        <v>982</v>
      </c>
      <c r="L179" s="599"/>
      <c r="M179" s="600"/>
      <c r="N179" s="600"/>
      <c r="O179" s="601"/>
      <c r="P179" s="601"/>
      <c r="Q179" s="601"/>
      <c r="R179" s="601"/>
      <c r="S179" s="679"/>
      <c r="T179" s="680"/>
      <c r="U179" s="680"/>
      <c r="V179" s="680"/>
      <c r="W179" s="680"/>
      <c r="X179" s="680"/>
      <c r="Y179" s="681"/>
      <c r="Z179" s="623"/>
      <c r="AA179" s="623"/>
      <c r="AB179" s="624"/>
      <c r="AC179" s="96"/>
      <c r="AD179" s="96"/>
      <c r="AE179" s="96"/>
      <c r="AF179" s="96"/>
      <c r="AG179" s="96"/>
      <c r="AH179" s="96"/>
      <c r="AI179" s="96"/>
      <c r="AJ179" s="96"/>
      <c r="AK179" s="96"/>
      <c r="AL179" s="226"/>
      <c r="AM179" s="96"/>
      <c r="AN179" s="92"/>
      <c r="AO179" s="92"/>
      <c r="AP179" s="96"/>
      <c r="AQ179" s="96"/>
      <c r="AR179" s="96"/>
      <c r="AS179" s="96"/>
      <c r="AT179" s="96"/>
      <c r="AU179" s="96"/>
      <c r="AV179" s="96"/>
      <c r="AW179" s="96"/>
      <c r="AX179" s="116"/>
      <c r="AY179" s="116"/>
      <c r="AZ179" s="116"/>
      <c r="BA179" s="116"/>
      <c r="BB179" s="116"/>
      <c r="BC179" s="116"/>
      <c r="BD179" s="116"/>
      <c r="BE179" s="116"/>
      <c r="BF179" s="116"/>
      <c r="BG179" s="116"/>
      <c r="BH179" s="116"/>
      <c r="BI179" s="116"/>
      <c r="BJ179" s="116"/>
      <c r="BK179" s="116"/>
      <c r="BL179" s="116"/>
      <c r="BM179" s="116"/>
      <c r="BN179" s="116"/>
      <c r="BO179" s="116"/>
      <c r="BP179" s="116"/>
      <c r="BQ179" s="116"/>
      <c r="BR179" s="116"/>
      <c r="BS179" s="116"/>
      <c r="BT179" s="116"/>
      <c r="BU179" s="116"/>
      <c r="BV179" s="116"/>
      <c r="BW179" s="116"/>
    </row>
    <row r="180" spans="1:75" s="117" customFormat="1" ht="18" customHeight="1" x14ac:dyDescent="0.2">
      <c r="A180" s="265"/>
      <c r="B180" s="266"/>
      <c r="C180" s="270"/>
      <c r="D180" s="269"/>
      <c r="E180" s="269"/>
      <c r="F180" s="269"/>
      <c r="G180" s="269"/>
      <c r="H180" s="269"/>
      <c r="I180" s="269"/>
      <c r="J180" s="268"/>
      <c r="K180" s="266"/>
      <c r="L180" s="266"/>
      <c r="M180" s="288"/>
      <c r="N180" s="288"/>
      <c r="O180" s="284"/>
      <c r="P180" s="284"/>
      <c r="Q180" s="288"/>
      <c r="R180" s="288"/>
      <c r="S180" s="286"/>
      <c r="T180" s="286"/>
      <c r="U180" s="286"/>
      <c r="V180" s="286"/>
      <c r="W180" s="286"/>
      <c r="X180" s="286"/>
      <c r="Y180" s="286"/>
      <c r="Z180" s="266"/>
      <c r="AA180" s="266"/>
      <c r="AB180" s="267"/>
      <c r="AC180" s="96"/>
      <c r="AD180" s="96"/>
      <c r="AE180" s="96"/>
      <c r="AF180" s="96"/>
      <c r="AG180" s="96"/>
      <c r="AH180" s="96"/>
      <c r="AI180" s="96"/>
      <c r="AJ180" s="96"/>
      <c r="AK180" s="96"/>
      <c r="AL180" s="226"/>
      <c r="AM180" s="96"/>
      <c r="AN180" s="92"/>
      <c r="AO180" s="92"/>
      <c r="AP180" s="96"/>
      <c r="AQ180" s="96"/>
      <c r="AR180" s="96"/>
      <c r="AS180" s="96"/>
      <c r="AT180" s="96"/>
      <c r="AU180" s="96"/>
      <c r="AV180" s="96"/>
      <c r="AW180" s="96"/>
      <c r="AX180" s="116"/>
      <c r="AY180" s="116"/>
      <c r="AZ180" s="116"/>
      <c r="BA180" s="116"/>
      <c r="BB180" s="116"/>
      <c r="BC180" s="116"/>
      <c r="BD180" s="116"/>
      <c r="BE180" s="116"/>
      <c r="BF180" s="116"/>
      <c r="BG180" s="116"/>
      <c r="BH180" s="116"/>
      <c r="BI180" s="116"/>
      <c r="BJ180" s="116"/>
      <c r="BK180" s="116"/>
      <c r="BL180" s="116"/>
      <c r="BM180" s="116"/>
      <c r="BN180" s="116"/>
      <c r="BO180" s="116"/>
      <c r="BP180" s="116"/>
      <c r="BQ180" s="116"/>
      <c r="BR180" s="116"/>
      <c r="BS180" s="116"/>
      <c r="BT180" s="116"/>
      <c r="BU180" s="116"/>
      <c r="BV180" s="116"/>
      <c r="BW180" s="116"/>
    </row>
    <row r="181" spans="1:75" s="2" customFormat="1" ht="33" customHeight="1" x14ac:dyDescent="0.2">
      <c r="A181" s="433" t="str">
        <f ca="1">Translations!$A$75</f>
        <v>Module</v>
      </c>
      <c r="B181" s="434"/>
      <c r="C181" s="178"/>
      <c r="D181" s="723" t="s">
        <v>1570</v>
      </c>
      <c r="E181" s="723"/>
      <c r="F181" s="723"/>
      <c r="G181" s="723"/>
      <c r="H181" s="723"/>
      <c r="I181" s="723"/>
      <c r="J181" s="723"/>
      <c r="K181" s="122"/>
      <c r="L181" s="13"/>
      <c r="M181" s="13"/>
      <c r="N181" s="13"/>
      <c r="O181" s="13"/>
      <c r="P181" s="13"/>
      <c r="Q181" s="13"/>
      <c r="R181" s="13"/>
      <c r="S181" s="13"/>
      <c r="T181" s="13"/>
      <c r="U181" s="13"/>
      <c r="V181" s="13"/>
      <c r="W181" s="13"/>
      <c r="X181" s="13"/>
      <c r="Y181" s="13"/>
      <c r="Z181" s="13"/>
      <c r="AA181" s="13"/>
      <c r="AB181" s="14"/>
      <c r="AC181" s="92"/>
      <c r="AD181" s="92"/>
      <c r="AE181" s="92"/>
      <c r="AF181" s="92"/>
      <c r="AG181" s="92"/>
      <c r="AH181" s="45"/>
      <c r="AI181" s="45"/>
      <c r="AJ181" s="92"/>
      <c r="AK181" s="45"/>
      <c r="AL181" s="225"/>
      <c r="AM181" s="63">
        <f ca="1">INDIRECT(ADDRESS(MATCH(D181,ModulesInCmp,0)+MATCH(CmpIdSelected,Modules!$A:$A,0)-1,3,1,TRUE,"Modules"))</f>
        <v>10</v>
      </c>
      <c r="AN181" s="92"/>
      <c r="AO181" s="92"/>
      <c r="AP181" s="45"/>
      <c r="AQ181" s="45"/>
      <c r="AR181" s="45"/>
      <c r="AS181" s="45"/>
      <c r="AT181" s="45"/>
      <c r="AU181" s="45"/>
      <c r="AV181" s="50"/>
      <c r="AW181" s="50"/>
      <c r="AX181" s="50"/>
      <c r="AY181" s="50"/>
      <c r="AZ181" s="50"/>
      <c r="BA181" s="50"/>
      <c r="BB181" s="50"/>
      <c r="BC181" s="47"/>
      <c r="BD181" s="47"/>
      <c r="BE181" s="47"/>
      <c r="BF181" s="47"/>
      <c r="BG181" s="47"/>
      <c r="BH181" s="47"/>
      <c r="BI181" s="47"/>
      <c r="BJ181" s="47"/>
      <c r="BK181" s="47"/>
      <c r="BL181" s="47"/>
      <c r="BM181" s="47"/>
      <c r="BN181" s="47"/>
      <c r="BO181" s="47"/>
      <c r="BP181" s="47"/>
      <c r="BQ181" s="47"/>
      <c r="BR181" s="47"/>
      <c r="BS181" s="47"/>
      <c r="BT181" s="47"/>
      <c r="BU181" s="47"/>
    </row>
    <row r="182" spans="1:75" s="163" customFormat="1" ht="18" customHeight="1" x14ac:dyDescent="0.2">
      <c r="A182" s="144" t="str">
        <f ca="1">Translations!$A$76</f>
        <v>Measurement framework for module</v>
      </c>
      <c r="B182" s="160"/>
      <c r="C182" s="160"/>
      <c r="D182" s="160"/>
      <c r="E182" s="160"/>
      <c r="F182" s="160"/>
      <c r="G182" s="100"/>
      <c r="H182" s="100"/>
      <c r="I182" s="100"/>
      <c r="J182" s="100"/>
      <c r="K182" s="100"/>
      <c r="L182" s="100"/>
      <c r="M182" s="100"/>
      <c r="N182" s="100"/>
      <c r="O182" s="100"/>
      <c r="P182" s="100"/>
      <c r="Q182" s="100"/>
      <c r="R182" s="414"/>
      <c r="S182" s="414"/>
      <c r="T182" s="414"/>
      <c r="U182" s="414"/>
      <c r="V182" s="414"/>
      <c r="W182" s="414"/>
      <c r="X182" s="414"/>
      <c r="Y182" s="414"/>
      <c r="Z182" s="414"/>
      <c r="AA182" s="414"/>
      <c r="AB182" s="415"/>
      <c r="AC182" s="92"/>
      <c r="AD182" s="92"/>
      <c r="AE182" s="92"/>
      <c r="AF182" s="92"/>
      <c r="AG182" s="92"/>
      <c r="AH182" s="92"/>
      <c r="AI182" s="92"/>
      <c r="AJ182" s="92"/>
      <c r="AK182" s="92"/>
      <c r="AL182" s="225"/>
      <c r="AM182" s="92">
        <f ca="1">INDIRECT(ADDRESS(ROW()-1,COLUMN()))</f>
        <v>10</v>
      </c>
      <c r="AN182" s="92"/>
      <c r="AO182" s="92"/>
      <c r="AP182" s="92"/>
      <c r="AQ182" s="92"/>
      <c r="AR182" s="92"/>
      <c r="AS182" s="92"/>
      <c r="AT182" s="92"/>
      <c r="AU182" s="92"/>
      <c r="AV182" s="92"/>
      <c r="AW182" s="161"/>
      <c r="AX182" s="161"/>
      <c r="AY182" s="161"/>
      <c r="AZ182" s="161"/>
      <c r="BA182" s="161"/>
      <c r="BB182" s="161"/>
      <c r="BC182" s="161"/>
      <c r="BD182" s="162"/>
      <c r="BE182" s="162"/>
      <c r="BF182" s="162"/>
      <c r="BG182" s="162"/>
      <c r="BH182" s="162"/>
      <c r="BI182" s="162"/>
      <c r="BJ182" s="162"/>
      <c r="BK182" s="162"/>
      <c r="BL182" s="162"/>
      <c r="BM182" s="162"/>
      <c r="BN182" s="162"/>
      <c r="BO182" s="162"/>
      <c r="BP182" s="162"/>
      <c r="BQ182" s="162"/>
      <c r="BR182" s="162"/>
      <c r="BS182" s="162"/>
      <c r="BT182" s="162"/>
      <c r="BU182" s="162"/>
      <c r="BV182" s="162"/>
    </row>
    <row r="183" spans="1:75" s="5" customFormat="1" ht="25.15" customHeight="1" x14ac:dyDescent="0.2">
      <c r="A183" s="355" t="str">
        <f ca="1">Translations!$A$49</f>
        <v xml:space="preserve">Coverage/Output indicator </v>
      </c>
      <c r="B183" s="355"/>
      <c r="C183" s="386"/>
      <c r="D183" s="354" t="str">
        <f ca="1">Translations!$A$67</f>
        <v>Responsible Principal Recipient(s)</v>
      </c>
      <c r="E183" s="354" t="str">
        <f ca="1">Translations!$A$66</f>
        <v>Tied to</v>
      </c>
      <c r="F183" s="386"/>
      <c r="G183" s="354" t="str">
        <f ca="1">Translations!$A$29</f>
        <v>Baseline</v>
      </c>
      <c r="H183" s="355"/>
      <c r="I183" s="355"/>
      <c r="J183" s="386"/>
      <c r="K183" s="354"/>
      <c r="L183" s="355"/>
      <c r="M183" s="374" t="str">
        <f ca="1">Translations!$A$30</f>
        <v>Targets</v>
      </c>
      <c r="N183" s="375"/>
      <c r="O183" s="375"/>
      <c r="P183" s="375"/>
      <c r="Q183" s="375"/>
      <c r="R183" s="376"/>
      <c r="S183" s="505" t="str">
        <f ca="1">Translations!$A$82</f>
        <v>Target assumptions</v>
      </c>
      <c r="T183" s="506"/>
      <c r="U183" s="506"/>
      <c r="V183" s="506"/>
      <c r="W183" s="506"/>
      <c r="X183" s="506"/>
      <c r="Y183" s="506"/>
      <c r="Z183" s="506"/>
      <c r="AA183" s="506"/>
      <c r="AB183" s="507"/>
      <c r="AC183" s="134"/>
      <c r="AD183" s="135"/>
      <c r="AE183" s="135"/>
      <c r="AF183" s="135"/>
      <c r="AG183" s="135"/>
      <c r="AH183" s="219"/>
      <c r="AI183" s="219"/>
      <c r="AJ183" s="229">
        <f ca="1">MATCH(AM182,'Coverage ind'!$A:$A,0)-1</f>
        <v>48</v>
      </c>
      <c r="AK183" s="229">
        <f ca="1">COUNTIF('Coverage ind'!A:A,'Concept Note'!AM182)</f>
        <v>1</v>
      </c>
      <c r="AL183" s="685">
        <f ca="1">MATCH(AM182,'Coverage ind'!$A:$A,0)-1</f>
        <v>48</v>
      </c>
      <c r="AM183" s="63">
        <f ca="1">INDIRECT(ADDRESS(ROW()-1,COLUMN()))</f>
        <v>10</v>
      </c>
      <c r="AN183" s="180"/>
      <c r="AO183" s="180"/>
      <c r="AP183" s="61"/>
      <c r="AQ183" s="61"/>
      <c r="AR183" s="683"/>
      <c r="AS183" s="683"/>
      <c r="AT183" s="683"/>
      <c r="AU183" s="683"/>
      <c r="AV183" s="683"/>
      <c r="AW183" s="50"/>
      <c r="AX183" s="50"/>
      <c r="AY183" s="50"/>
      <c r="AZ183" s="50"/>
      <c r="BA183" s="50"/>
      <c r="BB183" s="50"/>
      <c r="BC183" s="50"/>
      <c r="BD183" s="48"/>
      <c r="BE183" s="48"/>
      <c r="BF183" s="48"/>
      <c r="BG183" s="48"/>
      <c r="BH183" s="48"/>
      <c r="BI183" s="48"/>
      <c r="BJ183" s="48"/>
      <c r="BK183" s="48"/>
      <c r="BL183" s="48"/>
      <c r="BM183" s="48"/>
      <c r="BN183" s="48"/>
      <c r="BO183" s="48"/>
      <c r="BP183" s="48"/>
      <c r="BQ183" s="48"/>
      <c r="BR183" s="48"/>
      <c r="BS183" s="48"/>
      <c r="BT183" s="48"/>
      <c r="BU183" s="48"/>
      <c r="BV183" s="48"/>
    </row>
    <row r="184" spans="1:75" s="5" customFormat="1" ht="26.25" customHeight="1" x14ac:dyDescent="0.2">
      <c r="A184" s="358"/>
      <c r="B184" s="358"/>
      <c r="C184" s="405"/>
      <c r="D184" s="357"/>
      <c r="E184" s="357"/>
      <c r="F184" s="405"/>
      <c r="G184" s="387"/>
      <c r="H184" s="391"/>
      <c r="I184" s="391"/>
      <c r="J184" s="388"/>
      <c r="K184" s="357"/>
      <c r="L184" s="358"/>
      <c r="M184" s="374" t="str">
        <f ca="1">Translations!$A$34</f>
        <v>Year 1</v>
      </c>
      <c r="N184" s="376"/>
      <c r="O184" s="374" t="str">
        <f ca="1">Translations!$A$35</f>
        <v>Year 2</v>
      </c>
      <c r="P184" s="376"/>
      <c r="Q184" s="374" t="str">
        <f ca="1">Translations!$A$36</f>
        <v>Year 3</v>
      </c>
      <c r="R184" s="376"/>
      <c r="S184" s="508" t="str">
        <f ca="1">Translations!$A$83</f>
        <v>Please describe: 1) overall assumptions used in calculating targets, 2) anticipated rate of scale-up, 3) population size estimates, 4) description of indicator/package of services, 5) data source, 6) other relevant information</v>
      </c>
      <c r="T184" s="509"/>
      <c r="U184" s="509"/>
      <c r="V184" s="509"/>
      <c r="W184" s="509"/>
      <c r="X184" s="509"/>
      <c r="Y184" s="509"/>
      <c r="Z184" s="509"/>
      <c r="AA184" s="509"/>
      <c r="AB184" s="510"/>
      <c r="AC184" s="134"/>
      <c r="AD184" s="135"/>
      <c r="AE184" s="135"/>
      <c r="AF184" s="135"/>
      <c r="AG184" s="135"/>
      <c r="AH184" s="219"/>
      <c r="AI184" s="219"/>
      <c r="AJ184" s="230">
        <f ca="1">INDIRECT(ADDRESS(ROW()-1,COLUMN()))</f>
        <v>48</v>
      </c>
      <c r="AK184" s="230">
        <f ca="1">INDIRECT(ADDRESS(ROW()-1,COLUMN()))</f>
        <v>1</v>
      </c>
      <c r="AL184" s="685"/>
      <c r="AM184" s="63">
        <f ca="1">INDIRECT(ADDRESS(ROW()-1,COLUMN()))</f>
        <v>10</v>
      </c>
      <c r="AN184" s="180"/>
      <c r="AO184" s="180"/>
      <c r="AP184" s="61"/>
      <c r="AQ184" s="61"/>
      <c r="AR184" s="683"/>
      <c r="AS184" s="683"/>
      <c r="AT184" s="683"/>
      <c r="AU184" s="683"/>
      <c r="AV184" s="683"/>
      <c r="AW184" s="50"/>
      <c r="AX184" s="50"/>
      <c r="AY184" s="50"/>
      <c r="AZ184" s="50"/>
      <c r="BA184" s="50"/>
      <c r="BB184" s="50"/>
      <c r="BC184" s="50"/>
      <c r="BD184" s="48"/>
      <c r="BE184" s="48"/>
      <c r="BF184" s="48"/>
      <c r="BG184" s="48"/>
      <c r="BH184" s="48"/>
      <c r="BI184" s="48"/>
      <c r="BJ184" s="48"/>
      <c r="BK184" s="48"/>
      <c r="BL184" s="48"/>
      <c r="BM184" s="48"/>
      <c r="BN184" s="48"/>
      <c r="BO184" s="48"/>
      <c r="BP184" s="48"/>
      <c r="BQ184" s="48"/>
      <c r="BR184" s="48"/>
      <c r="BS184" s="48"/>
      <c r="BT184" s="48"/>
      <c r="BU184" s="48"/>
      <c r="BV184" s="48"/>
    </row>
    <row r="185" spans="1:75" s="5" customFormat="1" ht="18" customHeight="1" x14ac:dyDescent="0.2">
      <c r="A185" s="358"/>
      <c r="B185" s="358"/>
      <c r="C185" s="405"/>
      <c r="D185" s="357"/>
      <c r="E185" s="357"/>
      <c r="F185" s="405"/>
      <c r="G185" s="62" t="s">
        <v>15</v>
      </c>
      <c r="H185" s="389" t="s">
        <v>14</v>
      </c>
      <c r="I185" s="389" t="str">
        <f ca="1">Translations!$A$32</f>
        <v xml:space="preserve">Year </v>
      </c>
      <c r="J185" s="389" t="str">
        <f ca="1">Translations!$A$33</f>
        <v>Source</v>
      </c>
      <c r="K185" s="357"/>
      <c r="L185" s="416"/>
      <c r="M185" s="156" t="s">
        <v>15</v>
      </c>
      <c r="N185" s="503" t="s">
        <v>14</v>
      </c>
      <c r="O185" s="156" t="s">
        <v>15</v>
      </c>
      <c r="P185" s="503" t="s">
        <v>14</v>
      </c>
      <c r="Q185" s="156" t="s">
        <v>15</v>
      </c>
      <c r="R185" s="503" t="s">
        <v>14</v>
      </c>
      <c r="S185" s="508"/>
      <c r="T185" s="509"/>
      <c r="U185" s="509"/>
      <c r="V185" s="509"/>
      <c r="W185" s="509"/>
      <c r="X185" s="509"/>
      <c r="Y185" s="509"/>
      <c r="Z185" s="509"/>
      <c r="AA185" s="509"/>
      <c r="AB185" s="510"/>
      <c r="AC185" s="134"/>
      <c r="AD185" s="135"/>
      <c r="AE185" s="135"/>
      <c r="AF185" s="135"/>
      <c r="AG185" s="135"/>
      <c r="AH185" s="219"/>
      <c r="AI185" s="219"/>
      <c r="AJ185" s="230">
        <f t="shared" ref="AJ185:AK194" ca="1" si="12">INDIRECT(ADDRESS(ROW()-1,COLUMN()))</f>
        <v>48</v>
      </c>
      <c r="AK185" s="230">
        <f t="shared" ca="1" si="12"/>
        <v>1</v>
      </c>
      <c r="AL185" s="685"/>
      <c r="AM185" s="63">
        <f t="shared" ref="AM185:AM198" ca="1" si="13">INDIRECT(ADDRESS(ROW()-1,COLUMN()))</f>
        <v>10</v>
      </c>
      <c r="AN185" s="180"/>
      <c r="AO185" s="180"/>
      <c r="AP185" s="61"/>
      <c r="AQ185" s="61"/>
      <c r="AR185" s="683"/>
      <c r="AS185" s="683"/>
      <c r="AT185" s="683"/>
      <c r="AU185" s="683"/>
      <c r="AV185" s="683"/>
      <c r="AW185" s="50"/>
      <c r="AX185" s="50"/>
      <c r="AY185" s="50"/>
      <c r="AZ185" s="50"/>
      <c r="BA185" s="50"/>
      <c r="BB185" s="50"/>
      <c r="BC185" s="50"/>
      <c r="BD185" s="48"/>
      <c r="BE185" s="48"/>
      <c r="BF185" s="48"/>
      <c r="BG185" s="48"/>
      <c r="BH185" s="48"/>
      <c r="BI185" s="48"/>
      <c r="BJ185" s="48"/>
      <c r="BK185" s="48"/>
      <c r="BL185" s="48"/>
      <c r="BM185" s="48"/>
      <c r="BN185" s="48"/>
      <c r="BO185" s="48"/>
      <c r="BP185" s="48"/>
      <c r="BQ185" s="48"/>
      <c r="BR185" s="48"/>
      <c r="BS185" s="48"/>
      <c r="BT185" s="48"/>
      <c r="BU185" s="48"/>
      <c r="BV185" s="48"/>
    </row>
    <row r="186" spans="1:75" s="5" customFormat="1" ht="18" customHeight="1" x14ac:dyDescent="0.2">
      <c r="A186" s="391"/>
      <c r="B186" s="391"/>
      <c r="C186" s="388"/>
      <c r="D186" s="387"/>
      <c r="E186" s="387"/>
      <c r="F186" s="388"/>
      <c r="G186" s="58" t="s">
        <v>13</v>
      </c>
      <c r="H186" s="390"/>
      <c r="I186" s="390"/>
      <c r="J186" s="390"/>
      <c r="K186" s="387"/>
      <c r="L186" s="417"/>
      <c r="M186" s="157" t="s">
        <v>13</v>
      </c>
      <c r="N186" s="504"/>
      <c r="O186" s="157" t="s">
        <v>13</v>
      </c>
      <c r="P186" s="504"/>
      <c r="Q186" s="157" t="s">
        <v>13</v>
      </c>
      <c r="R186" s="504"/>
      <c r="S186" s="511"/>
      <c r="T186" s="512"/>
      <c r="U186" s="512"/>
      <c r="V186" s="512"/>
      <c r="W186" s="512"/>
      <c r="X186" s="512"/>
      <c r="Y186" s="512"/>
      <c r="Z186" s="512"/>
      <c r="AA186" s="512"/>
      <c r="AB186" s="513"/>
      <c r="AC186" s="134"/>
      <c r="AD186" s="135"/>
      <c r="AE186" s="135"/>
      <c r="AF186" s="135"/>
      <c r="AG186" s="135"/>
      <c r="AH186" s="219"/>
      <c r="AI186" s="219"/>
      <c r="AJ186" s="230">
        <f t="shared" ca="1" si="12"/>
        <v>48</v>
      </c>
      <c r="AK186" s="230">
        <f t="shared" ca="1" si="12"/>
        <v>1</v>
      </c>
      <c r="AL186" s="685"/>
      <c r="AM186" s="63">
        <f t="shared" ca="1" si="13"/>
        <v>10</v>
      </c>
      <c r="AN186" s="180"/>
      <c r="AO186" s="180"/>
      <c r="AP186" s="61"/>
      <c r="AQ186" s="61"/>
      <c r="AR186" s="683"/>
      <c r="AS186" s="683"/>
      <c r="AT186" s="683"/>
      <c r="AU186" s="683"/>
      <c r="AV186" s="683"/>
      <c r="AW186" s="50"/>
      <c r="AX186" s="50"/>
      <c r="AY186" s="50"/>
      <c r="AZ186" s="50"/>
      <c r="BA186" s="50"/>
      <c r="BB186" s="50"/>
      <c r="BC186" s="50"/>
      <c r="BD186" s="48"/>
      <c r="BE186" s="48"/>
      <c r="BF186" s="48"/>
      <c r="BG186" s="48"/>
      <c r="BH186" s="48"/>
      <c r="BI186" s="48"/>
      <c r="BJ186" s="48"/>
      <c r="BK186" s="48"/>
      <c r="BL186" s="48"/>
      <c r="BM186" s="48"/>
      <c r="BN186" s="48"/>
      <c r="BO186" s="48"/>
      <c r="BP186" s="48"/>
      <c r="BQ186" s="48"/>
      <c r="BR186" s="48"/>
      <c r="BS186" s="48"/>
      <c r="BT186" s="48"/>
      <c r="BU186" s="48"/>
      <c r="BV186" s="48"/>
    </row>
    <row r="187" spans="1:75" s="28" customFormat="1" ht="15" customHeight="1" x14ac:dyDescent="0.2">
      <c r="A187" s="637"/>
      <c r="B187" s="638"/>
      <c r="C187" s="638"/>
      <c r="D187" s="607"/>
      <c r="E187" s="610" t="s">
        <v>0</v>
      </c>
      <c r="F187" s="611"/>
      <c r="G187" s="534"/>
      <c r="H187" s="514" t="str">
        <f>IF($G189&lt;&gt;"",$G187/$G189,"")</f>
        <v/>
      </c>
      <c r="I187" s="537">
        <v>2012</v>
      </c>
      <c r="J187" s="634" t="str">
        <f ca="1">Translations!$A$72</f>
        <v>Please select…</v>
      </c>
      <c r="K187" s="616" t="str">
        <f ca="1">Translations!$A$78</f>
        <v>Indicative</v>
      </c>
      <c r="L187" s="617"/>
      <c r="M187" s="183"/>
      <c r="N187" s="660" t="str">
        <f>IF(M188&lt;&gt;"",M187/M188,"")</f>
        <v/>
      </c>
      <c r="O187" s="185"/>
      <c r="P187" s="514" t="str">
        <f>IF(O188&lt;&gt;"",O187/O188,"")</f>
        <v/>
      </c>
      <c r="Q187" s="185"/>
      <c r="R187" s="514" t="str">
        <f>IF(Q188&lt;&gt;"",Q187/Q188,"")</f>
        <v/>
      </c>
      <c r="S187" s="480"/>
      <c r="T187" s="481"/>
      <c r="U187" s="481"/>
      <c r="V187" s="481"/>
      <c r="W187" s="481"/>
      <c r="X187" s="481"/>
      <c r="Y187" s="481"/>
      <c r="Z187" s="481"/>
      <c r="AA187" s="481"/>
      <c r="AB187" s="482"/>
      <c r="AC187" s="141"/>
      <c r="AD187" s="142"/>
      <c r="AE187" s="142"/>
      <c r="AF187" s="142"/>
      <c r="AG187" s="142"/>
      <c r="AH187" s="221"/>
      <c r="AI187" s="221"/>
      <c r="AJ187" s="230">
        <f t="shared" ca="1" si="12"/>
        <v>48</v>
      </c>
      <c r="AK187" s="230">
        <f t="shared" ca="1" si="12"/>
        <v>1</v>
      </c>
      <c r="AL187" s="684">
        <f ca="1">IFERROR(IF(INDIRECT(ADDRESS(ROW()-4,COLUMN()))+1&lt;=AJ187+AK187,INDIRECT(ADDRESS(ROW()-4,COLUMN()))+1,""),"")</f>
        <v>49</v>
      </c>
      <c r="AM187" s="63">
        <f ca="1">INDIRECT(ADDRESS(ROW()-1,COLUMN()))</f>
        <v>10</v>
      </c>
      <c r="AN187" s="181"/>
      <c r="AO187" s="181"/>
      <c r="AP187" s="59"/>
      <c r="AQ187" s="59"/>
      <c r="AR187" s="682"/>
      <c r="AS187" s="682"/>
      <c r="AT187" s="682"/>
      <c r="AU187" s="682"/>
      <c r="AV187" s="682"/>
      <c r="AW187" s="50"/>
      <c r="AX187" s="50"/>
      <c r="AY187" s="50"/>
      <c r="AZ187" s="50"/>
      <c r="BA187" s="50"/>
      <c r="BB187" s="50"/>
      <c r="BC187" s="50"/>
    </row>
    <row r="188" spans="1:75" s="28" customFormat="1" x14ac:dyDescent="0.2">
      <c r="A188" s="639"/>
      <c r="B188" s="640"/>
      <c r="C188" s="640"/>
      <c r="D188" s="608"/>
      <c r="E188" s="612"/>
      <c r="F188" s="613"/>
      <c r="G188" s="535"/>
      <c r="H188" s="536"/>
      <c r="I188" s="538"/>
      <c r="J188" s="635"/>
      <c r="K188" s="618"/>
      <c r="L188" s="619"/>
      <c r="M188" s="184"/>
      <c r="N188" s="661"/>
      <c r="O188" s="186"/>
      <c r="P188" s="515"/>
      <c r="Q188" s="186"/>
      <c r="R188" s="515"/>
      <c r="S188" s="483"/>
      <c r="T188" s="484"/>
      <c r="U188" s="484"/>
      <c r="V188" s="484"/>
      <c r="W188" s="484"/>
      <c r="X188" s="484"/>
      <c r="Y188" s="484"/>
      <c r="Z188" s="484"/>
      <c r="AA188" s="484"/>
      <c r="AB188" s="485"/>
      <c r="AC188" s="141"/>
      <c r="AD188" s="142"/>
      <c r="AE188" s="142"/>
      <c r="AF188" s="142"/>
      <c r="AG188" s="142"/>
      <c r="AH188" s="221"/>
      <c r="AI188" s="221"/>
      <c r="AJ188" s="230">
        <f t="shared" ca="1" si="12"/>
        <v>48</v>
      </c>
      <c r="AK188" s="230">
        <f t="shared" ca="1" si="12"/>
        <v>1</v>
      </c>
      <c r="AL188" s="684"/>
      <c r="AM188" s="63">
        <f t="shared" ca="1" si="13"/>
        <v>10</v>
      </c>
      <c r="AN188" s="181"/>
      <c r="AO188" s="181"/>
      <c r="AP188" s="59"/>
      <c r="AQ188" s="59"/>
      <c r="AR188" s="682"/>
      <c r="AS188" s="682"/>
      <c r="AT188" s="682"/>
      <c r="AU188" s="682"/>
      <c r="AV188" s="682"/>
      <c r="AW188" s="50"/>
      <c r="AX188" s="50"/>
      <c r="AY188" s="50"/>
      <c r="AZ188" s="50"/>
      <c r="BA188" s="50"/>
      <c r="BB188" s="50"/>
      <c r="BC188" s="50"/>
    </row>
    <row r="189" spans="1:75" s="28" customFormat="1" ht="15" customHeight="1" x14ac:dyDescent="0.2">
      <c r="A189" s="639"/>
      <c r="B189" s="640"/>
      <c r="C189" s="640"/>
      <c r="D189" s="608"/>
      <c r="E189" s="612"/>
      <c r="F189" s="613"/>
      <c r="G189" s="534"/>
      <c r="H189" s="536"/>
      <c r="I189" s="538"/>
      <c r="J189" s="635"/>
      <c r="K189" s="656" t="str">
        <f ca="1">Translations!$A$79</f>
        <v>Above indicative</v>
      </c>
      <c r="L189" s="657"/>
      <c r="M189" s="183"/>
      <c r="N189" s="514" t="str">
        <f>IF(M190&lt;&gt;"",M189/M190,"")</f>
        <v/>
      </c>
      <c r="O189" s="185"/>
      <c r="P189" s="514" t="str">
        <f>IF(O190&lt;&gt;"",O189/O190,"")</f>
        <v/>
      </c>
      <c r="Q189" s="185"/>
      <c r="R189" s="514" t="str">
        <f>IF(Q190&lt;&gt;"",Q189/Q190,"")</f>
        <v/>
      </c>
      <c r="S189" s="483"/>
      <c r="T189" s="484"/>
      <c r="U189" s="484"/>
      <c r="V189" s="484"/>
      <c r="W189" s="484"/>
      <c r="X189" s="484"/>
      <c r="Y189" s="484"/>
      <c r="Z189" s="484"/>
      <c r="AA189" s="484"/>
      <c r="AB189" s="485"/>
      <c r="AC189" s="141"/>
      <c r="AD189" s="142"/>
      <c r="AE189" s="142"/>
      <c r="AF189" s="142"/>
      <c r="AG189" s="142"/>
      <c r="AH189" s="220"/>
      <c r="AI189" s="220"/>
      <c r="AJ189" s="230">
        <f t="shared" ca="1" si="12"/>
        <v>48</v>
      </c>
      <c r="AK189" s="230">
        <f t="shared" ca="1" si="12"/>
        <v>1</v>
      </c>
      <c r="AL189" s="684"/>
      <c r="AM189" s="63">
        <f t="shared" ca="1" si="13"/>
        <v>10</v>
      </c>
      <c r="AN189" s="181"/>
      <c r="AO189" s="181"/>
      <c r="AP189" s="59"/>
      <c r="AQ189" s="59"/>
      <c r="AR189" s="682"/>
      <c r="AS189" s="682"/>
      <c r="AT189" s="682"/>
      <c r="AU189" s="682"/>
      <c r="AV189" s="682"/>
      <c r="AW189" s="50"/>
      <c r="AX189" s="50"/>
      <c r="AY189" s="50"/>
      <c r="AZ189" s="50"/>
      <c r="BA189" s="50"/>
      <c r="BB189" s="50"/>
      <c r="BC189" s="50"/>
    </row>
    <row r="190" spans="1:75" s="28" customFormat="1" x14ac:dyDescent="0.2">
      <c r="A190" s="641"/>
      <c r="B190" s="642"/>
      <c r="C190" s="642"/>
      <c r="D190" s="609"/>
      <c r="E190" s="614"/>
      <c r="F190" s="615"/>
      <c r="G190" s="535"/>
      <c r="H190" s="515"/>
      <c r="I190" s="539"/>
      <c r="J190" s="636"/>
      <c r="K190" s="658"/>
      <c r="L190" s="659"/>
      <c r="M190" s="184"/>
      <c r="N190" s="515"/>
      <c r="O190" s="186"/>
      <c r="P190" s="515"/>
      <c r="Q190" s="186"/>
      <c r="R190" s="515"/>
      <c r="S190" s="486"/>
      <c r="T190" s="487"/>
      <c r="U190" s="487"/>
      <c r="V190" s="487"/>
      <c r="W190" s="487"/>
      <c r="X190" s="487"/>
      <c r="Y190" s="487"/>
      <c r="Z190" s="487"/>
      <c r="AA190" s="487"/>
      <c r="AB190" s="488"/>
      <c r="AC190" s="141"/>
      <c r="AD190" s="142"/>
      <c r="AE190" s="142"/>
      <c r="AF190" s="142"/>
      <c r="AG190" s="142"/>
      <c r="AH190" s="220"/>
      <c r="AI190" s="220"/>
      <c r="AJ190" s="230">
        <f t="shared" ca="1" si="12"/>
        <v>48</v>
      </c>
      <c r="AK190" s="230">
        <f t="shared" ca="1" si="12"/>
        <v>1</v>
      </c>
      <c r="AL190" s="684"/>
      <c r="AM190" s="63">
        <f t="shared" ca="1" si="13"/>
        <v>10</v>
      </c>
      <c r="AN190" s="181"/>
      <c r="AO190" s="181"/>
      <c r="AP190" s="59"/>
      <c r="AQ190" s="59"/>
      <c r="AR190" s="682"/>
      <c r="AS190" s="682"/>
      <c r="AT190" s="682"/>
      <c r="AU190" s="682"/>
      <c r="AV190" s="682"/>
      <c r="AW190" s="50"/>
      <c r="AX190" s="50"/>
      <c r="AY190" s="50"/>
      <c r="AZ190" s="50"/>
      <c r="BA190" s="50"/>
      <c r="BB190" s="50"/>
      <c r="BC190" s="50"/>
    </row>
    <row r="191" spans="1:75" s="28" customFormat="1" ht="15" customHeight="1" x14ac:dyDescent="0.2">
      <c r="A191" s="637" t="str">
        <f ca="1">IFERROR(INDIRECT(ADDRESS(AL191,5,1,TRUE,"Coverage ind")),"")</f>
        <v/>
      </c>
      <c r="B191" s="638"/>
      <c r="C191" s="638"/>
      <c r="D191" s="607" t="str">
        <f ca="1">Translations!$A$72</f>
        <v>Please select…</v>
      </c>
      <c r="E191" s="610" t="str">
        <f ca="1">Translations!$A$72</f>
        <v>Please select…</v>
      </c>
      <c r="F191" s="611"/>
      <c r="G191" s="534"/>
      <c r="H191" s="514" t="str">
        <f>IF($G193&lt;&gt;"",$G191/$G193,"")</f>
        <v/>
      </c>
      <c r="I191" s="537"/>
      <c r="J191" s="634" t="str">
        <f ca="1">Translations!$A$72</f>
        <v>Please select…</v>
      </c>
      <c r="K191" s="616" t="str">
        <f ca="1">Translations!$A$78</f>
        <v>Indicative</v>
      </c>
      <c r="L191" s="617"/>
      <c r="M191" s="183"/>
      <c r="N191" s="514" t="str">
        <f>IF(M192&lt;&gt;"",M191/M192,"")</f>
        <v/>
      </c>
      <c r="O191" s="185"/>
      <c r="P191" s="514" t="str">
        <f>IF(O192&lt;&gt;"",O191/O192,"")</f>
        <v/>
      </c>
      <c r="Q191" s="185"/>
      <c r="R191" s="514" t="str">
        <f>IF(Q192&lt;&gt;"",Q191/Q192,"")</f>
        <v/>
      </c>
      <c r="S191" s="480"/>
      <c r="T191" s="481"/>
      <c r="U191" s="481"/>
      <c r="V191" s="481"/>
      <c r="W191" s="481"/>
      <c r="X191" s="481"/>
      <c r="Y191" s="481"/>
      <c r="Z191" s="481"/>
      <c r="AA191" s="481"/>
      <c r="AB191" s="482"/>
      <c r="AC191" s="141"/>
      <c r="AD191" s="142"/>
      <c r="AE191" s="142"/>
      <c r="AF191" s="142"/>
      <c r="AG191" s="142"/>
      <c r="AH191" s="220"/>
      <c r="AI191" s="220"/>
      <c r="AJ191" s="230">
        <f t="shared" ca="1" si="12"/>
        <v>48</v>
      </c>
      <c r="AK191" s="230">
        <f t="shared" ca="1" si="12"/>
        <v>1</v>
      </c>
      <c r="AL191" s="684" t="str">
        <f ca="1">IFERROR(IF(INDIRECT(ADDRESS(ROW()-4,COLUMN()))+1&lt;=AJ191+AK191,INDIRECT(ADDRESS(ROW()-4,COLUMN()))+1,""),"")</f>
        <v/>
      </c>
      <c r="AM191" s="63">
        <f t="shared" ca="1" si="13"/>
        <v>10</v>
      </c>
      <c r="AN191" s="181"/>
      <c r="AO191" s="181"/>
      <c r="AP191" s="59"/>
      <c r="AQ191" s="59"/>
      <c r="AR191" s="682"/>
      <c r="AS191" s="682"/>
      <c r="AT191" s="682"/>
      <c r="AU191" s="682"/>
      <c r="AV191" s="682"/>
      <c r="AW191" s="50"/>
      <c r="AX191" s="50"/>
      <c r="AY191" s="50"/>
      <c r="AZ191" s="50"/>
      <c r="BA191" s="50"/>
      <c r="BB191" s="50"/>
      <c r="BC191" s="50"/>
    </row>
    <row r="192" spans="1:75" s="28" customFormat="1" x14ac:dyDescent="0.2">
      <c r="A192" s="639"/>
      <c r="B192" s="640"/>
      <c r="C192" s="640"/>
      <c r="D192" s="608"/>
      <c r="E192" s="612"/>
      <c r="F192" s="613"/>
      <c r="G192" s="535"/>
      <c r="H192" s="536"/>
      <c r="I192" s="538"/>
      <c r="J192" s="635"/>
      <c r="K192" s="618"/>
      <c r="L192" s="619"/>
      <c r="M192" s="184"/>
      <c r="N192" s="515"/>
      <c r="O192" s="186"/>
      <c r="P192" s="515"/>
      <c r="Q192" s="186"/>
      <c r="R192" s="515"/>
      <c r="S192" s="483"/>
      <c r="T192" s="484"/>
      <c r="U192" s="484"/>
      <c r="V192" s="484"/>
      <c r="W192" s="484"/>
      <c r="X192" s="484"/>
      <c r="Y192" s="484"/>
      <c r="Z192" s="484"/>
      <c r="AA192" s="484"/>
      <c r="AB192" s="485"/>
      <c r="AC192" s="141"/>
      <c r="AD192" s="142"/>
      <c r="AE192" s="142"/>
      <c r="AF192" s="142"/>
      <c r="AG192" s="142"/>
      <c r="AH192" s="220"/>
      <c r="AI192" s="220"/>
      <c r="AJ192" s="230">
        <f t="shared" ca="1" si="12"/>
        <v>48</v>
      </c>
      <c r="AK192" s="230">
        <f t="shared" ca="1" si="12"/>
        <v>1</v>
      </c>
      <c r="AL192" s="684"/>
      <c r="AM192" s="63">
        <f t="shared" ca="1" si="13"/>
        <v>10</v>
      </c>
      <c r="AN192" s="181"/>
      <c r="AO192" s="181"/>
      <c r="AP192" s="59"/>
      <c r="AQ192" s="59"/>
      <c r="AR192" s="682"/>
      <c r="AS192" s="682"/>
      <c r="AT192" s="682"/>
      <c r="AU192" s="682"/>
      <c r="AV192" s="682"/>
      <c r="AW192" s="50"/>
      <c r="AX192" s="50"/>
      <c r="AY192" s="50"/>
      <c r="AZ192" s="50"/>
      <c r="BA192" s="50"/>
      <c r="BB192" s="50"/>
      <c r="BC192" s="50"/>
    </row>
    <row r="193" spans="1:75" s="28" customFormat="1" ht="15" customHeight="1" x14ac:dyDescent="0.2">
      <c r="A193" s="639"/>
      <c r="B193" s="640"/>
      <c r="C193" s="640"/>
      <c r="D193" s="608"/>
      <c r="E193" s="612"/>
      <c r="F193" s="613"/>
      <c r="G193" s="534"/>
      <c r="H193" s="536"/>
      <c r="I193" s="538"/>
      <c r="J193" s="635"/>
      <c r="K193" s="656" t="str">
        <f ca="1">Translations!$A$79</f>
        <v>Above indicative</v>
      </c>
      <c r="L193" s="657"/>
      <c r="M193" s="183"/>
      <c r="N193" s="514" t="str">
        <f>IF(M194&lt;&gt;"",M193/M194,"")</f>
        <v/>
      </c>
      <c r="O193" s="185"/>
      <c r="P193" s="514" t="str">
        <f>IF(O194&lt;&gt;"",O193/O194,"")</f>
        <v/>
      </c>
      <c r="Q193" s="185"/>
      <c r="R193" s="514" t="str">
        <f>IF(Q194&lt;&gt;"",Q193/Q194,"")</f>
        <v/>
      </c>
      <c r="S193" s="483"/>
      <c r="T193" s="484"/>
      <c r="U193" s="484"/>
      <c r="V193" s="484"/>
      <c r="W193" s="484"/>
      <c r="X193" s="484"/>
      <c r="Y193" s="484"/>
      <c r="Z193" s="484"/>
      <c r="AA193" s="484"/>
      <c r="AB193" s="485"/>
      <c r="AC193" s="141"/>
      <c r="AD193" s="142"/>
      <c r="AE193" s="142"/>
      <c r="AF193" s="142"/>
      <c r="AG193" s="142"/>
      <c r="AH193" s="220"/>
      <c r="AI193" s="220"/>
      <c r="AJ193" s="230">
        <f t="shared" ca="1" si="12"/>
        <v>48</v>
      </c>
      <c r="AK193" s="230">
        <f t="shared" ca="1" si="12"/>
        <v>1</v>
      </c>
      <c r="AL193" s="684"/>
      <c r="AM193" s="63">
        <f t="shared" ca="1" si="13"/>
        <v>10</v>
      </c>
      <c r="AN193" s="181"/>
      <c r="AO193" s="181"/>
      <c r="AP193" s="59"/>
      <c r="AQ193" s="59"/>
      <c r="AR193" s="682"/>
      <c r="AS193" s="682"/>
      <c r="AT193" s="682"/>
      <c r="AU193" s="682"/>
      <c r="AV193" s="682"/>
      <c r="AW193" s="50"/>
      <c r="AX193" s="50"/>
      <c r="AY193" s="50"/>
      <c r="AZ193" s="50"/>
      <c r="BA193" s="50"/>
      <c r="BB193" s="50"/>
      <c r="BC193" s="50"/>
    </row>
    <row r="194" spans="1:75" s="28" customFormat="1" x14ac:dyDescent="0.2">
      <c r="A194" s="641"/>
      <c r="B194" s="642"/>
      <c r="C194" s="642"/>
      <c r="D194" s="609"/>
      <c r="E194" s="614"/>
      <c r="F194" s="615"/>
      <c r="G194" s="535"/>
      <c r="H194" s="515"/>
      <c r="I194" s="539"/>
      <c r="J194" s="636"/>
      <c r="K194" s="658"/>
      <c r="L194" s="659"/>
      <c r="M194" s="184"/>
      <c r="N194" s="515"/>
      <c r="O194" s="186"/>
      <c r="P194" s="515"/>
      <c r="Q194" s="186"/>
      <c r="R194" s="515"/>
      <c r="S194" s="486"/>
      <c r="T194" s="487"/>
      <c r="U194" s="487"/>
      <c r="V194" s="487"/>
      <c r="W194" s="487"/>
      <c r="X194" s="487"/>
      <c r="Y194" s="487"/>
      <c r="Z194" s="487"/>
      <c r="AA194" s="487"/>
      <c r="AB194" s="488"/>
      <c r="AC194" s="141"/>
      <c r="AD194" s="142"/>
      <c r="AE194" s="142"/>
      <c r="AF194" s="142"/>
      <c r="AG194" s="142"/>
      <c r="AH194" s="220"/>
      <c r="AI194" s="220"/>
      <c r="AJ194" s="230">
        <f t="shared" ca="1" si="12"/>
        <v>48</v>
      </c>
      <c r="AK194" s="230">
        <f t="shared" ca="1" si="12"/>
        <v>1</v>
      </c>
      <c r="AL194" s="684"/>
      <c r="AM194" s="63">
        <f t="shared" ca="1" si="13"/>
        <v>10</v>
      </c>
      <c r="AN194" s="181"/>
      <c r="AO194" s="181"/>
      <c r="AP194" s="59"/>
      <c r="AQ194" s="59"/>
      <c r="AR194" s="682"/>
      <c r="AS194" s="682"/>
      <c r="AT194" s="682"/>
      <c r="AU194" s="682"/>
      <c r="AV194" s="682"/>
      <c r="AW194" s="50"/>
      <c r="AX194" s="50"/>
      <c r="AY194" s="50"/>
      <c r="AZ194" s="50"/>
      <c r="BA194" s="50"/>
      <c r="BB194" s="50"/>
      <c r="BC194" s="50"/>
    </row>
    <row r="195" spans="1:75" s="163" customFormat="1" ht="18" customHeight="1" x14ac:dyDescent="0.2">
      <c r="A195" s="144" t="str">
        <f ca="1">Translations!$A$87</f>
        <v>Module budget</v>
      </c>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c r="AB195" s="121"/>
      <c r="AC195" s="92"/>
      <c r="AD195" s="92"/>
      <c r="AE195" s="92"/>
      <c r="AF195" s="92"/>
      <c r="AG195" s="92"/>
      <c r="AH195" s="92"/>
      <c r="AI195" s="92"/>
      <c r="AJ195" s="92"/>
      <c r="AK195" s="92"/>
      <c r="AL195" s="225"/>
      <c r="AM195" s="92">
        <f t="shared" ca="1" si="13"/>
        <v>10</v>
      </c>
      <c r="AN195" s="92"/>
      <c r="AO195" s="92"/>
      <c r="AP195" s="92"/>
      <c r="AQ195" s="92"/>
      <c r="AR195" s="92"/>
      <c r="AS195" s="92"/>
      <c r="AT195" s="92"/>
      <c r="AU195" s="92"/>
      <c r="AV195" s="161"/>
      <c r="AW195" s="161"/>
      <c r="AX195" s="161"/>
      <c r="AY195" s="161"/>
      <c r="AZ195" s="161"/>
      <c r="BA195" s="161"/>
      <c r="BB195" s="161"/>
      <c r="BC195" s="162"/>
      <c r="BD195" s="162"/>
      <c r="BE195" s="162"/>
      <c r="BF195" s="162"/>
      <c r="BG195" s="162"/>
      <c r="BH195" s="162"/>
      <c r="BI195" s="162"/>
      <c r="BJ195" s="162"/>
      <c r="BK195" s="162"/>
      <c r="BL195" s="162"/>
      <c r="BM195" s="162"/>
      <c r="BN195" s="162"/>
      <c r="BO195" s="162"/>
      <c r="BP195" s="162"/>
      <c r="BQ195" s="162"/>
      <c r="BR195" s="162"/>
      <c r="BS195" s="162"/>
      <c r="BT195" s="162"/>
      <c r="BU195" s="162"/>
    </row>
    <row r="196" spans="1:75" s="159" customFormat="1" ht="18" customHeight="1" x14ac:dyDescent="0.2">
      <c r="A196" s="555" t="str">
        <f ca="1">Translations!$A$84</f>
        <v>Indicative request for entire module</v>
      </c>
      <c r="B196" s="556"/>
      <c r="C196" s="556"/>
      <c r="D196" s="556"/>
      <c r="E196" s="557"/>
      <c r="F196" s="317">
        <f ca="1">SUMIF($K199:$K228,Translations!$A$78,$M199:$M228)+SUMIF($K199:$K228,Translations!$A$78,$O199:$O228)+SUMIF($K199:$K228,Translations!$A$78,$Q199:$Q228)</f>
        <v>4212614.5145238098</v>
      </c>
      <c r="G196" s="166"/>
      <c r="H196" s="166"/>
      <c r="I196" s="164"/>
      <c r="J196" s="558" t="str">
        <f ca="1">Translations!$A$85</f>
        <v>Above indicative request for entire module</v>
      </c>
      <c r="K196" s="559"/>
      <c r="L196" s="559"/>
      <c r="M196" s="559"/>
      <c r="N196" s="559"/>
      <c r="O196" s="559"/>
      <c r="P196" s="559"/>
      <c r="Q196" s="654">
        <f ca="1">SUMIF($K199:$K228,Translations!$A$79,$M199:$M228)+SUMIF($K199:$K228,Translations!$A$79,$O199:$O228)+SUMIF($K199:$K228,Translations!$A$79,$Q199:$Q228)</f>
        <v>118428.5</v>
      </c>
      <c r="R196" s="655"/>
      <c r="S196" s="562"/>
      <c r="T196" s="562"/>
      <c r="U196" s="562"/>
      <c r="V196" s="164"/>
      <c r="W196" s="164"/>
      <c r="X196" s="164"/>
      <c r="Y196" s="164"/>
      <c r="Z196" s="164"/>
      <c r="AA196" s="164"/>
      <c r="AB196" s="165"/>
      <c r="AC196" s="96"/>
      <c r="AD196" s="96"/>
      <c r="AE196" s="96"/>
      <c r="AF196" s="96"/>
      <c r="AG196" s="96"/>
      <c r="AH196" s="96"/>
      <c r="AI196" s="96"/>
      <c r="AJ196" s="96"/>
      <c r="AK196" s="96"/>
      <c r="AL196" s="226"/>
      <c r="AM196" s="63">
        <f t="shared" ca="1" si="13"/>
        <v>10</v>
      </c>
      <c r="AN196" s="182">
        <f ca="1">F196</f>
        <v>4212614.5145238098</v>
      </c>
      <c r="AO196" s="182">
        <f ca="1">Q196</f>
        <v>118428.5</v>
      </c>
      <c r="AP196" s="96"/>
      <c r="AQ196" s="96"/>
      <c r="AR196" s="96"/>
      <c r="AS196" s="96"/>
      <c r="AT196" s="96"/>
      <c r="AU196" s="96"/>
      <c r="AV196" s="116"/>
      <c r="AW196" s="116"/>
      <c r="AX196" s="116"/>
      <c r="AY196" s="116"/>
      <c r="AZ196" s="116"/>
      <c r="BA196" s="116"/>
      <c r="BB196" s="116"/>
      <c r="BC196" s="158"/>
      <c r="BD196" s="158"/>
      <c r="BE196" s="158"/>
      <c r="BF196" s="158"/>
      <c r="BG196" s="158"/>
      <c r="BH196" s="158"/>
      <c r="BI196" s="158"/>
      <c r="BJ196" s="158"/>
      <c r="BK196" s="158"/>
      <c r="BL196" s="158"/>
      <c r="BM196" s="158"/>
      <c r="BN196" s="158"/>
      <c r="BO196" s="158"/>
      <c r="BP196" s="158"/>
      <c r="BQ196" s="158"/>
      <c r="BR196" s="158"/>
      <c r="BS196" s="158"/>
      <c r="BT196" s="158"/>
      <c r="BU196" s="158"/>
    </row>
    <row r="197" spans="1:75" s="54" customFormat="1" ht="30.75" customHeight="1" x14ac:dyDescent="0.2">
      <c r="A197" s="354" t="str">
        <f ca="1">Translations!$A$86</f>
        <v>Intervention</v>
      </c>
      <c r="B197" s="355"/>
      <c r="C197" s="386"/>
      <c r="D197" s="563" t="str">
        <f ca="1">Translations!$A$88</f>
        <v>Description of Intervention</v>
      </c>
      <c r="E197" s="564"/>
      <c r="F197" s="564"/>
      <c r="G197" s="564"/>
      <c r="H197" s="564"/>
      <c r="I197" s="565"/>
      <c r="J197" s="389" t="str">
        <f ca="1">Translations!$A$67</f>
        <v>Responsible Principal Recipient(s)</v>
      </c>
      <c r="K197" s="354" t="str">
        <f ca="1">Translations!$A$90</f>
        <v>Intervention budget (request to the Global Fund only)</v>
      </c>
      <c r="L197" s="355"/>
      <c r="M197" s="355"/>
      <c r="N197" s="355"/>
      <c r="O197" s="355"/>
      <c r="P197" s="355"/>
      <c r="Q197" s="355"/>
      <c r="R197" s="386"/>
      <c r="S197" s="563" t="str">
        <f ca="1">Translations!$A$91</f>
        <v>Cost Assumptions for the request to the Global Fund</v>
      </c>
      <c r="T197" s="564"/>
      <c r="U197" s="564"/>
      <c r="V197" s="564"/>
      <c r="W197" s="564"/>
      <c r="X197" s="564"/>
      <c r="Y197" s="565"/>
      <c r="Z197" s="551" t="str">
        <f ca="1">Translations!$A$93</f>
        <v>Other funding received for this intervention (including scope of activities funded)</v>
      </c>
      <c r="AA197" s="551"/>
      <c r="AB197" s="551"/>
      <c r="AC197" s="92"/>
      <c r="AD197" s="92"/>
      <c r="AE197" s="92"/>
      <c r="AF197" s="92"/>
      <c r="AG197" s="92"/>
      <c r="AH197" s="92"/>
      <c r="AI197" s="92"/>
      <c r="AJ197" s="92"/>
      <c r="AK197" s="92"/>
      <c r="AL197" s="225"/>
      <c r="AM197" s="63">
        <f t="shared" ca="1" si="13"/>
        <v>10</v>
      </c>
      <c r="AN197" s="92"/>
      <c r="AO197" s="92"/>
      <c r="AP197" s="70"/>
      <c r="AQ197" s="70"/>
      <c r="AR197" s="70"/>
      <c r="AS197" s="70"/>
      <c r="AT197" s="70"/>
      <c r="AU197" s="70"/>
      <c r="AV197" s="70"/>
      <c r="AW197" s="70"/>
      <c r="AX197" s="68"/>
      <c r="AY197" s="68"/>
      <c r="AZ197" s="68"/>
      <c r="BA197" s="68"/>
      <c r="BB197" s="68"/>
      <c r="BC197" s="68"/>
      <c r="BD197" s="68"/>
      <c r="BE197" s="69"/>
      <c r="BF197" s="69"/>
      <c r="BG197" s="69"/>
      <c r="BH197" s="69"/>
      <c r="BI197" s="69"/>
      <c r="BJ197" s="69"/>
      <c r="BK197" s="69"/>
      <c r="BL197" s="69"/>
      <c r="BM197" s="69"/>
      <c r="BN197" s="69"/>
      <c r="BO197" s="69"/>
      <c r="BP197" s="69"/>
      <c r="BQ197" s="69"/>
      <c r="BR197" s="69"/>
      <c r="BS197" s="69"/>
      <c r="BT197" s="69"/>
      <c r="BU197" s="69"/>
      <c r="BV197" s="69"/>
      <c r="BW197" s="69"/>
    </row>
    <row r="198" spans="1:75" s="54" customFormat="1" ht="67.5" customHeight="1" x14ac:dyDescent="0.2">
      <c r="A198" s="387"/>
      <c r="B198" s="391"/>
      <c r="C198" s="388"/>
      <c r="D198" s="552" t="str">
        <f ca="1">Translations!$A$89</f>
        <v>Please describe 1) rationale for Global Fund support, 2) linkages to national strategic plan, 3) target population &amp; geographic scope,  4) implementation approach, and 5) other relevant information. Please differentiate between scope of indicative and above indicative request</v>
      </c>
      <c r="E198" s="553"/>
      <c r="F198" s="553"/>
      <c r="G198" s="553"/>
      <c r="H198" s="553"/>
      <c r="I198" s="554"/>
      <c r="J198" s="390"/>
      <c r="K198" s="119"/>
      <c r="L198" s="120"/>
      <c r="M198" s="374" t="str">
        <f ca="1">Translations!$A$34</f>
        <v>Year 1</v>
      </c>
      <c r="N198" s="376"/>
      <c r="O198" s="551" t="str">
        <f ca="1">Translations!$A$35</f>
        <v>Year 2</v>
      </c>
      <c r="P198" s="551"/>
      <c r="Q198" s="551" t="str">
        <f ca="1">Translations!$A$36</f>
        <v>Year 3</v>
      </c>
      <c r="R198" s="551"/>
      <c r="S198" s="552" t="str">
        <f ca="1">Translations!$A$92</f>
        <v>Please describe: 1) cost assumptions and data sources, 2) key activities, 3) other relevant information. Please differentiate between indicative and above indicative</v>
      </c>
      <c r="T198" s="553"/>
      <c r="U198" s="553"/>
      <c r="V198" s="553"/>
      <c r="W198" s="553"/>
      <c r="X198" s="553"/>
      <c r="Y198" s="554"/>
      <c r="Z198" s="551"/>
      <c r="AA198" s="551"/>
      <c r="AB198" s="551"/>
      <c r="AC198" s="92"/>
      <c r="AD198" s="92"/>
      <c r="AE198" s="92"/>
      <c r="AF198" s="92"/>
      <c r="AG198" s="92"/>
      <c r="AH198" s="92"/>
      <c r="AI198" s="92"/>
      <c r="AJ198" s="92"/>
      <c r="AK198" s="92"/>
      <c r="AL198" s="225"/>
      <c r="AM198" s="63">
        <f t="shared" ca="1" si="13"/>
        <v>10</v>
      </c>
      <c r="AN198" s="92"/>
      <c r="AO198" s="92"/>
      <c r="AP198" s="70"/>
      <c r="AQ198" s="70"/>
      <c r="AR198" s="70"/>
      <c r="AS198" s="70"/>
      <c r="AT198" s="70"/>
      <c r="AU198" s="70"/>
      <c r="AV198" s="70"/>
      <c r="AW198" s="70"/>
      <c r="AX198" s="68"/>
      <c r="AY198" s="68"/>
      <c r="AZ198" s="68"/>
      <c r="BA198" s="68"/>
      <c r="BB198" s="68"/>
      <c r="BC198" s="68"/>
      <c r="BD198" s="68"/>
      <c r="BE198" s="69"/>
      <c r="BF198" s="69"/>
      <c r="BG198" s="69"/>
      <c r="BH198" s="69"/>
      <c r="BI198" s="69"/>
      <c r="BJ198" s="69"/>
      <c r="BK198" s="69"/>
      <c r="BL198" s="69"/>
      <c r="BM198" s="69"/>
      <c r="BN198" s="69"/>
      <c r="BO198" s="69"/>
      <c r="BP198" s="69"/>
      <c r="BQ198" s="69"/>
      <c r="BR198" s="69"/>
      <c r="BS198" s="69"/>
      <c r="BT198" s="69"/>
      <c r="BU198" s="69"/>
      <c r="BV198" s="69"/>
      <c r="BW198" s="69"/>
    </row>
    <row r="199" spans="1:75" s="57" customFormat="1" ht="117.4" customHeight="1" x14ac:dyDescent="0.2">
      <c r="A199" s="583" t="s">
        <v>1617</v>
      </c>
      <c r="B199" s="584"/>
      <c r="C199" s="584"/>
      <c r="D199" s="625" t="s">
        <v>1988</v>
      </c>
      <c r="E199" s="626"/>
      <c r="F199" s="626"/>
      <c r="G199" s="626"/>
      <c r="H199" s="626"/>
      <c r="I199" s="645"/>
      <c r="J199" s="643" t="s">
        <v>1408</v>
      </c>
      <c r="K199" s="594" t="s">
        <v>981</v>
      </c>
      <c r="L199" s="594"/>
      <c r="M199" s="605">
        <f>239996.34*41/42</f>
        <v>234282.14142857143</v>
      </c>
      <c r="N199" s="605"/>
      <c r="O199" s="606">
        <f>M199</f>
        <v>234282.14142857143</v>
      </c>
      <c r="P199" s="606"/>
      <c r="Q199" s="606">
        <f>O199</f>
        <v>234282.14142857143</v>
      </c>
      <c r="R199" s="606"/>
      <c r="S199" s="676" t="s">
        <v>2020</v>
      </c>
      <c r="T199" s="677"/>
      <c r="U199" s="677"/>
      <c r="V199" s="677"/>
      <c r="W199" s="677"/>
      <c r="X199" s="677"/>
      <c r="Y199" s="678"/>
      <c r="Z199" s="621"/>
      <c r="AA199" s="621"/>
      <c r="AB199" s="622"/>
      <c r="AC199" s="96"/>
      <c r="AD199" s="96"/>
      <c r="AE199" s="96"/>
      <c r="AF199" s="96"/>
      <c r="AG199" s="96"/>
      <c r="AH199" s="96"/>
      <c r="AI199" s="96"/>
      <c r="AJ199" s="96"/>
      <c r="AK199" s="96"/>
      <c r="AL199" s="226"/>
      <c r="AM199" s="71"/>
      <c r="AN199" s="92"/>
      <c r="AO199" s="92"/>
      <c r="AP199" s="71"/>
      <c r="AQ199" s="71"/>
      <c r="AR199" s="71"/>
      <c r="AS199" s="71"/>
      <c r="AT199" s="71"/>
      <c r="AU199" s="71"/>
      <c r="AV199" s="71"/>
      <c r="AW199" s="71"/>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row>
    <row r="200" spans="1:75" s="57" customFormat="1" ht="56.25" customHeight="1" x14ac:dyDescent="0.2">
      <c r="A200" s="585"/>
      <c r="B200" s="586"/>
      <c r="C200" s="586"/>
      <c r="D200" s="646"/>
      <c r="E200" s="647"/>
      <c r="F200" s="647"/>
      <c r="G200" s="647"/>
      <c r="H200" s="647"/>
      <c r="I200" s="648"/>
      <c r="J200" s="644"/>
      <c r="K200" s="599" t="s">
        <v>982</v>
      </c>
      <c r="L200" s="599"/>
      <c r="M200" s="600">
        <f>40439*41/42</f>
        <v>39476.166666666664</v>
      </c>
      <c r="N200" s="600"/>
      <c r="O200" s="601">
        <f>M200</f>
        <v>39476.166666666664</v>
      </c>
      <c r="P200" s="601"/>
      <c r="Q200" s="602">
        <f>O200</f>
        <v>39476.166666666664</v>
      </c>
      <c r="R200" s="602"/>
      <c r="S200" s="679"/>
      <c r="T200" s="680"/>
      <c r="U200" s="680"/>
      <c r="V200" s="680"/>
      <c r="W200" s="680"/>
      <c r="X200" s="680"/>
      <c r="Y200" s="681"/>
      <c r="Z200" s="623"/>
      <c r="AA200" s="623"/>
      <c r="AB200" s="624"/>
      <c r="AC200" s="96"/>
      <c r="AD200" s="96"/>
      <c r="AE200" s="96"/>
      <c r="AF200" s="96"/>
      <c r="AG200" s="96"/>
      <c r="AH200" s="96"/>
      <c r="AI200" s="96"/>
      <c r="AJ200" s="96"/>
      <c r="AK200" s="96"/>
      <c r="AL200" s="226"/>
      <c r="AM200" s="71"/>
      <c r="AN200" s="92"/>
      <c r="AO200" s="92"/>
      <c r="AP200" s="71"/>
      <c r="AQ200" s="71"/>
      <c r="AR200" s="71"/>
      <c r="AS200" s="71"/>
      <c r="AT200" s="71"/>
      <c r="AU200" s="71"/>
      <c r="AV200" s="71"/>
      <c r="AW200" s="71"/>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row>
    <row r="201" spans="1:75" s="117" customFormat="1" ht="36.75" customHeight="1" x14ac:dyDescent="0.2">
      <c r="A201" s="585"/>
      <c r="B201" s="586"/>
      <c r="C201" s="586"/>
      <c r="D201" s="646"/>
      <c r="E201" s="647"/>
      <c r="F201" s="647"/>
      <c r="G201" s="647"/>
      <c r="H201" s="647"/>
      <c r="I201" s="648"/>
      <c r="J201" s="603"/>
      <c r="K201" s="594" t="s">
        <v>981</v>
      </c>
      <c r="L201" s="594"/>
      <c r="M201" s="605"/>
      <c r="N201" s="605"/>
      <c r="O201" s="606"/>
      <c r="P201" s="606"/>
      <c r="Q201" s="606"/>
      <c r="R201" s="606"/>
      <c r="S201" s="620"/>
      <c r="T201" s="620"/>
      <c r="U201" s="620"/>
      <c r="V201" s="620"/>
      <c r="W201" s="620"/>
      <c r="X201" s="620"/>
      <c r="Y201" s="620"/>
      <c r="Z201" s="621"/>
      <c r="AA201" s="621"/>
      <c r="AB201" s="622"/>
      <c r="AC201" s="143"/>
      <c r="AD201" s="143"/>
      <c r="AE201" s="143"/>
      <c r="AF201" s="96"/>
      <c r="AG201" s="96"/>
      <c r="AH201" s="96"/>
      <c r="AI201" s="96"/>
      <c r="AJ201" s="96"/>
      <c r="AK201" s="96"/>
      <c r="AL201" s="226"/>
      <c r="AM201" s="96"/>
      <c r="AN201" s="92"/>
      <c r="AO201" s="92"/>
      <c r="AP201" s="96"/>
      <c r="AQ201" s="96"/>
      <c r="AR201" s="96"/>
      <c r="AS201" s="96"/>
      <c r="AT201" s="96"/>
      <c r="AU201" s="96"/>
      <c r="AV201" s="96"/>
      <c r="AW201" s="96"/>
      <c r="AX201" s="116"/>
      <c r="AY201" s="116"/>
      <c r="AZ201" s="116"/>
      <c r="BA201" s="116"/>
      <c r="BB201" s="116"/>
      <c r="BC201" s="116"/>
      <c r="BD201" s="116"/>
      <c r="BE201" s="116"/>
      <c r="BF201" s="116"/>
      <c r="BG201" s="116"/>
      <c r="BH201" s="116"/>
      <c r="BI201" s="116"/>
      <c r="BJ201" s="116"/>
      <c r="BK201" s="116"/>
      <c r="BL201" s="116"/>
      <c r="BM201" s="116"/>
      <c r="BN201" s="116"/>
      <c r="BO201" s="116"/>
      <c r="BP201" s="116"/>
      <c r="BQ201" s="116"/>
      <c r="BR201" s="116"/>
      <c r="BS201" s="116"/>
      <c r="BT201" s="116"/>
      <c r="BU201" s="116"/>
      <c r="BV201" s="116"/>
      <c r="BW201" s="116"/>
    </row>
    <row r="202" spans="1:75" s="117" customFormat="1" ht="36.75" customHeight="1" x14ac:dyDescent="0.2">
      <c r="A202" s="587"/>
      <c r="B202" s="588"/>
      <c r="C202" s="588"/>
      <c r="D202" s="628"/>
      <c r="E202" s="629"/>
      <c r="F202" s="629"/>
      <c r="G202" s="629"/>
      <c r="H202" s="629"/>
      <c r="I202" s="649"/>
      <c r="J202" s="604"/>
      <c r="K202" s="599" t="s">
        <v>982</v>
      </c>
      <c r="L202" s="599"/>
      <c r="M202" s="600"/>
      <c r="N202" s="600"/>
      <c r="O202" s="601"/>
      <c r="P202" s="601"/>
      <c r="Q202" s="602"/>
      <c r="R202" s="602"/>
      <c r="S202" s="620"/>
      <c r="T202" s="620"/>
      <c r="U202" s="620"/>
      <c r="V202" s="620"/>
      <c r="W202" s="620"/>
      <c r="X202" s="620"/>
      <c r="Y202" s="620"/>
      <c r="Z202" s="623"/>
      <c r="AA202" s="623"/>
      <c r="AB202" s="624"/>
      <c r="AC202" s="96"/>
      <c r="AD202" s="96"/>
      <c r="AE202" s="96"/>
      <c r="AF202" s="96"/>
      <c r="AG202" s="96"/>
      <c r="AH202" s="96"/>
      <c r="AI202" s="96"/>
      <c r="AJ202" s="96"/>
      <c r="AK202" s="96"/>
      <c r="AL202" s="226"/>
      <c r="AM202" s="96"/>
      <c r="AN202" s="92"/>
      <c r="AO202" s="92"/>
      <c r="AP202" s="96"/>
      <c r="AQ202" s="96"/>
      <c r="AR202" s="96"/>
      <c r="AS202" s="96"/>
      <c r="AT202" s="96"/>
      <c r="AU202" s="96"/>
      <c r="AV202" s="96"/>
      <c r="AW202" s="96"/>
      <c r="AX202" s="116"/>
      <c r="AY202" s="116"/>
      <c r="AZ202" s="116"/>
      <c r="BA202" s="116"/>
      <c r="BB202" s="116"/>
      <c r="BC202" s="116"/>
      <c r="BD202" s="116"/>
      <c r="BE202" s="116"/>
      <c r="BF202" s="116"/>
      <c r="BG202" s="116"/>
      <c r="BH202" s="116"/>
      <c r="BI202" s="116"/>
      <c r="BJ202" s="116"/>
      <c r="BK202" s="116"/>
      <c r="BL202" s="116"/>
      <c r="BM202" s="116"/>
      <c r="BN202" s="116"/>
      <c r="BO202" s="116"/>
      <c r="BP202" s="116"/>
      <c r="BQ202" s="116"/>
      <c r="BR202" s="116"/>
      <c r="BS202" s="116"/>
      <c r="BT202" s="116"/>
      <c r="BU202" s="116"/>
      <c r="BV202" s="116"/>
      <c r="BW202" s="116"/>
    </row>
    <row r="203" spans="1:75" s="117" customFormat="1" ht="72" customHeight="1" x14ac:dyDescent="0.2">
      <c r="A203" s="583" t="s">
        <v>1617</v>
      </c>
      <c r="B203" s="584"/>
      <c r="C203" s="584"/>
      <c r="D203" s="625" t="s">
        <v>2021</v>
      </c>
      <c r="E203" s="626"/>
      <c r="F203" s="626"/>
      <c r="G203" s="626"/>
      <c r="H203" s="626"/>
      <c r="I203" s="645"/>
      <c r="J203" s="643" t="s">
        <v>1408</v>
      </c>
      <c r="K203" s="594" t="s">
        <v>981</v>
      </c>
      <c r="L203" s="594"/>
      <c r="M203" s="605">
        <f>270000*41/42</f>
        <v>263571.42857142858</v>
      </c>
      <c r="N203" s="605"/>
      <c r="O203" s="606">
        <f>M203</f>
        <v>263571.42857142858</v>
      </c>
      <c r="P203" s="606"/>
      <c r="Q203" s="606">
        <f>O203</f>
        <v>263571.42857142858</v>
      </c>
      <c r="R203" s="606"/>
      <c r="S203" s="676" t="s">
        <v>2022</v>
      </c>
      <c r="T203" s="677"/>
      <c r="U203" s="677"/>
      <c r="V203" s="677"/>
      <c r="W203" s="677"/>
      <c r="X203" s="677"/>
      <c r="Y203" s="678"/>
      <c r="Z203" s="621"/>
      <c r="AA203" s="621"/>
      <c r="AB203" s="622"/>
      <c r="AC203" s="96"/>
      <c r="AD203" s="96"/>
      <c r="AE203" s="96"/>
      <c r="AF203" s="96"/>
      <c r="AG203" s="96"/>
      <c r="AH203" s="96"/>
      <c r="AI203" s="96"/>
      <c r="AJ203" s="96"/>
      <c r="AK203" s="96"/>
      <c r="AL203" s="226"/>
      <c r="AM203" s="96"/>
      <c r="AN203" s="92"/>
      <c r="AO203" s="92"/>
      <c r="AP203" s="96"/>
      <c r="AQ203" s="96"/>
      <c r="AR203" s="96"/>
      <c r="AS203" s="96"/>
      <c r="AT203" s="96"/>
      <c r="AU203" s="96"/>
      <c r="AV203" s="96"/>
      <c r="AW203" s="96"/>
      <c r="AX203" s="116"/>
      <c r="AY203" s="116"/>
      <c r="AZ203" s="116"/>
      <c r="BA203" s="116"/>
      <c r="BB203" s="116"/>
      <c r="BC203" s="116"/>
      <c r="BD203" s="116"/>
      <c r="BE203" s="116"/>
      <c r="BF203" s="116"/>
      <c r="BG203" s="116"/>
      <c r="BH203" s="116"/>
      <c r="BI203" s="116"/>
      <c r="BJ203" s="116"/>
      <c r="BK203" s="116"/>
      <c r="BL203" s="116"/>
      <c r="BM203" s="116"/>
      <c r="BN203" s="116"/>
      <c r="BO203" s="116"/>
      <c r="BP203" s="116"/>
      <c r="BQ203" s="116"/>
      <c r="BR203" s="116"/>
      <c r="BS203" s="116"/>
      <c r="BT203" s="116"/>
      <c r="BU203" s="116"/>
      <c r="BV203" s="116"/>
      <c r="BW203" s="116"/>
    </row>
    <row r="204" spans="1:75" s="117" customFormat="1" ht="136.5" customHeight="1" x14ac:dyDescent="0.2">
      <c r="A204" s="585"/>
      <c r="B204" s="586"/>
      <c r="C204" s="586"/>
      <c r="D204" s="646"/>
      <c r="E204" s="647"/>
      <c r="F204" s="647"/>
      <c r="G204" s="647"/>
      <c r="H204" s="647"/>
      <c r="I204" s="648"/>
      <c r="J204" s="644"/>
      <c r="K204" s="599" t="s">
        <v>982</v>
      </c>
      <c r="L204" s="599"/>
      <c r="M204" s="600"/>
      <c r="N204" s="600"/>
      <c r="O204" s="601"/>
      <c r="P204" s="601"/>
      <c r="Q204" s="602"/>
      <c r="R204" s="602"/>
      <c r="S204" s="679"/>
      <c r="T204" s="680"/>
      <c r="U204" s="680"/>
      <c r="V204" s="680"/>
      <c r="W204" s="680"/>
      <c r="X204" s="680"/>
      <c r="Y204" s="681"/>
      <c r="Z204" s="623"/>
      <c r="AA204" s="623"/>
      <c r="AB204" s="624"/>
      <c r="AC204" s="96"/>
      <c r="AD204" s="96"/>
      <c r="AE204" s="96"/>
      <c r="AF204" s="96"/>
      <c r="AG204" s="96"/>
      <c r="AH204" s="96"/>
      <c r="AI204" s="96"/>
      <c r="AJ204" s="96"/>
      <c r="AK204" s="96"/>
      <c r="AL204" s="226"/>
      <c r="AM204" s="96"/>
      <c r="AN204" s="92"/>
      <c r="AO204" s="92"/>
      <c r="AP204" s="96"/>
      <c r="AQ204" s="96"/>
      <c r="AR204" s="96"/>
      <c r="AS204" s="96"/>
      <c r="AT204" s="96"/>
      <c r="AU204" s="96"/>
      <c r="AV204" s="96"/>
      <c r="AW204" s="96"/>
      <c r="AX204" s="116"/>
      <c r="AY204" s="116"/>
      <c r="AZ204" s="116"/>
      <c r="BA204" s="116"/>
      <c r="BB204" s="116"/>
      <c r="BC204" s="116"/>
      <c r="BD204" s="116"/>
      <c r="BE204" s="116"/>
      <c r="BF204" s="116"/>
      <c r="BG204" s="116"/>
      <c r="BH204" s="116"/>
      <c r="BI204" s="116"/>
      <c r="BJ204" s="116"/>
      <c r="BK204" s="116"/>
      <c r="BL204" s="116"/>
      <c r="BM204" s="116"/>
      <c r="BN204" s="116"/>
      <c r="BO204" s="116"/>
      <c r="BP204" s="116"/>
      <c r="BQ204" s="116"/>
      <c r="BR204" s="116"/>
      <c r="BS204" s="116"/>
      <c r="BT204" s="116"/>
      <c r="BU204" s="116"/>
      <c r="BV204" s="116"/>
      <c r="BW204" s="116"/>
    </row>
    <row r="205" spans="1:75" s="117" customFormat="1" ht="44.25" customHeight="1" x14ac:dyDescent="0.2">
      <c r="A205" s="585"/>
      <c r="B205" s="586"/>
      <c r="C205" s="586"/>
      <c r="D205" s="646"/>
      <c r="E205" s="647"/>
      <c r="F205" s="647"/>
      <c r="G205" s="647"/>
      <c r="H205" s="647"/>
      <c r="I205" s="648"/>
      <c r="J205" s="603"/>
      <c r="K205" s="594" t="s">
        <v>981</v>
      </c>
      <c r="L205" s="594"/>
      <c r="M205" s="605"/>
      <c r="N205" s="605"/>
      <c r="O205" s="606"/>
      <c r="P205" s="606"/>
      <c r="Q205" s="606"/>
      <c r="R205" s="606"/>
      <c r="S205" s="620"/>
      <c r="T205" s="620"/>
      <c r="U205" s="620"/>
      <c r="V205" s="620"/>
      <c r="W205" s="620"/>
      <c r="X205" s="620"/>
      <c r="Y205" s="620"/>
      <c r="Z205" s="621"/>
      <c r="AA205" s="621"/>
      <c r="AB205" s="622"/>
      <c r="AC205" s="143"/>
      <c r="AD205" s="143"/>
      <c r="AE205" s="143"/>
      <c r="AF205" s="96"/>
      <c r="AG205" s="96"/>
      <c r="AH205" s="96"/>
      <c r="AI205" s="96"/>
      <c r="AJ205" s="96"/>
      <c r="AK205" s="96"/>
      <c r="AL205" s="226"/>
      <c r="AM205" s="96"/>
      <c r="AN205" s="92"/>
      <c r="AO205" s="92"/>
      <c r="AP205" s="96"/>
      <c r="AQ205" s="96"/>
      <c r="AR205" s="96"/>
      <c r="AS205" s="96"/>
      <c r="AT205" s="96"/>
      <c r="AU205" s="96"/>
      <c r="AV205" s="96"/>
      <c r="AW205" s="96"/>
      <c r="AX205" s="116"/>
      <c r="AY205" s="116"/>
      <c r="AZ205" s="116"/>
      <c r="BA205" s="116"/>
      <c r="BB205" s="116"/>
      <c r="BC205" s="116"/>
      <c r="BD205" s="116"/>
      <c r="BE205" s="116"/>
      <c r="BF205" s="116"/>
      <c r="BG205" s="116"/>
      <c r="BH205" s="116"/>
      <c r="BI205" s="116"/>
      <c r="BJ205" s="116"/>
      <c r="BK205" s="116"/>
      <c r="BL205" s="116"/>
      <c r="BM205" s="116"/>
      <c r="BN205" s="116"/>
      <c r="BO205" s="116"/>
      <c r="BP205" s="116"/>
      <c r="BQ205" s="116"/>
      <c r="BR205" s="116"/>
      <c r="BS205" s="116"/>
      <c r="BT205" s="116"/>
      <c r="BU205" s="116"/>
      <c r="BV205" s="116"/>
      <c r="BW205" s="116"/>
    </row>
    <row r="206" spans="1:75" s="117" customFormat="1" ht="46.5" customHeight="1" x14ac:dyDescent="0.2">
      <c r="A206" s="587"/>
      <c r="B206" s="588"/>
      <c r="C206" s="588"/>
      <c r="D206" s="628"/>
      <c r="E206" s="629"/>
      <c r="F206" s="629"/>
      <c r="G206" s="629"/>
      <c r="H206" s="629"/>
      <c r="I206" s="649"/>
      <c r="J206" s="604"/>
      <c r="K206" s="599" t="s">
        <v>982</v>
      </c>
      <c r="L206" s="599"/>
      <c r="M206" s="600"/>
      <c r="N206" s="600"/>
      <c r="O206" s="601"/>
      <c r="P206" s="601"/>
      <c r="Q206" s="602"/>
      <c r="R206" s="602"/>
      <c r="S206" s="620"/>
      <c r="T206" s="620"/>
      <c r="U206" s="620"/>
      <c r="V206" s="620"/>
      <c r="W206" s="620"/>
      <c r="X206" s="620"/>
      <c r="Y206" s="620"/>
      <c r="Z206" s="623"/>
      <c r="AA206" s="623"/>
      <c r="AB206" s="624"/>
      <c r="AC206" s="96"/>
      <c r="AD206" s="96"/>
      <c r="AE206" s="96"/>
      <c r="AF206" s="96"/>
      <c r="AG206" s="96"/>
      <c r="AH206" s="96"/>
      <c r="AI206" s="96"/>
      <c r="AJ206" s="96"/>
      <c r="AK206" s="96"/>
      <c r="AL206" s="226"/>
      <c r="AM206" s="96"/>
      <c r="AN206" s="92"/>
      <c r="AO206" s="92"/>
      <c r="AP206" s="96"/>
      <c r="AQ206" s="96"/>
      <c r="AR206" s="96"/>
      <c r="AS206" s="96"/>
      <c r="AT206" s="96"/>
      <c r="AU206" s="96"/>
      <c r="AV206" s="96"/>
      <c r="AW206" s="96"/>
      <c r="AX206" s="116"/>
      <c r="AY206" s="116"/>
      <c r="AZ206" s="116"/>
      <c r="BA206" s="116"/>
      <c r="BB206" s="116"/>
      <c r="BC206" s="116"/>
      <c r="BD206" s="116"/>
      <c r="BE206" s="116"/>
      <c r="BF206" s="116"/>
      <c r="BG206" s="116"/>
      <c r="BH206" s="116"/>
      <c r="BI206" s="116"/>
      <c r="BJ206" s="116"/>
      <c r="BK206" s="116"/>
      <c r="BL206" s="116"/>
      <c r="BM206" s="116"/>
      <c r="BN206" s="116"/>
      <c r="BO206" s="116"/>
      <c r="BP206" s="116"/>
      <c r="BQ206" s="116"/>
      <c r="BR206" s="116"/>
      <c r="BS206" s="116"/>
      <c r="BT206" s="116"/>
      <c r="BU206" s="116"/>
      <c r="BV206" s="116"/>
      <c r="BW206" s="116"/>
    </row>
    <row r="207" spans="1:75" s="117" customFormat="1" ht="28.5" customHeight="1" x14ac:dyDescent="0.2">
      <c r="A207" s="850" t="s">
        <v>1957</v>
      </c>
      <c r="B207" s="621"/>
      <c r="C207" s="621"/>
      <c r="D207" s="589" t="s">
        <v>2023</v>
      </c>
      <c r="E207" s="589"/>
      <c r="F207" s="589"/>
      <c r="G207" s="589"/>
      <c r="H207" s="589"/>
      <c r="I207" s="589"/>
      <c r="J207" s="592" t="s">
        <v>1408</v>
      </c>
      <c r="K207" s="594" t="s">
        <v>981</v>
      </c>
      <c r="L207" s="594"/>
      <c r="M207" s="595">
        <f>95238*41/42</f>
        <v>92970.428571428565</v>
      </c>
      <c r="N207" s="596"/>
      <c r="O207" s="597">
        <v>0</v>
      </c>
      <c r="P207" s="598"/>
      <c r="Q207" s="597">
        <v>0</v>
      </c>
      <c r="R207" s="598"/>
      <c r="S207" s="631" t="s">
        <v>2024</v>
      </c>
      <c r="T207" s="631"/>
      <c r="U207" s="631"/>
      <c r="V207" s="631"/>
      <c r="W207" s="631"/>
      <c r="X207" s="631"/>
      <c r="Y207" s="631"/>
      <c r="Z207" s="589"/>
      <c r="AA207" s="589"/>
      <c r="AB207" s="632"/>
      <c r="AC207" s="96"/>
      <c r="AD207" s="96"/>
      <c r="AE207" s="96"/>
      <c r="AF207" s="96"/>
      <c r="AG207" s="96"/>
      <c r="AH207" s="96"/>
      <c r="AI207" s="96"/>
      <c r="AJ207" s="96"/>
      <c r="AK207" s="96"/>
      <c r="AL207" s="226"/>
      <c r="AM207" s="96"/>
      <c r="AN207" s="92"/>
      <c r="AO207" s="92"/>
      <c r="AP207" s="96"/>
      <c r="AQ207" s="96"/>
      <c r="AR207" s="96"/>
      <c r="AS207" s="96"/>
      <c r="AT207" s="96"/>
      <c r="AU207" s="96"/>
      <c r="AV207" s="96"/>
      <c r="AW207" s="96"/>
      <c r="AX207" s="116"/>
      <c r="AY207" s="116"/>
      <c r="AZ207" s="116"/>
      <c r="BA207" s="116"/>
      <c r="BB207" s="116"/>
      <c r="BC207" s="116"/>
      <c r="BD207" s="116"/>
      <c r="BE207" s="116"/>
      <c r="BF207" s="116"/>
      <c r="BG207" s="116"/>
      <c r="BH207" s="116"/>
      <c r="BI207" s="116"/>
      <c r="BJ207" s="116"/>
      <c r="BK207" s="116"/>
      <c r="BL207" s="116"/>
      <c r="BM207" s="116"/>
      <c r="BN207" s="116"/>
      <c r="BO207" s="116"/>
      <c r="BP207" s="116"/>
      <c r="BQ207" s="116"/>
      <c r="BR207" s="116"/>
      <c r="BS207" s="116"/>
      <c r="BT207" s="116"/>
      <c r="BU207" s="116"/>
      <c r="BV207" s="116"/>
      <c r="BW207" s="116"/>
    </row>
    <row r="208" spans="1:75" s="117" customFormat="1" ht="91.5" customHeight="1" x14ac:dyDescent="0.2">
      <c r="A208" s="851"/>
      <c r="B208" s="852"/>
      <c r="C208" s="852"/>
      <c r="D208" s="590"/>
      <c r="E208" s="590"/>
      <c r="F208" s="590"/>
      <c r="G208" s="590"/>
      <c r="H208" s="590"/>
      <c r="I208" s="590"/>
      <c r="J208" s="593"/>
      <c r="K208" s="599" t="s">
        <v>982</v>
      </c>
      <c r="L208" s="599"/>
      <c r="M208" s="600"/>
      <c r="N208" s="600"/>
      <c r="O208" s="601"/>
      <c r="P208" s="601"/>
      <c r="Q208" s="602"/>
      <c r="R208" s="602"/>
      <c r="S208" s="631"/>
      <c r="T208" s="631"/>
      <c r="U208" s="631"/>
      <c r="V208" s="631"/>
      <c r="W208" s="631"/>
      <c r="X208" s="631"/>
      <c r="Y208" s="631"/>
      <c r="Z208" s="591"/>
      <c r="AA208" s="591"/>
      <c r="AB208" s="633"/>
      <c r="AC208" s="96"/>
      <c r="AD208" s="96"/>
      <c r="AE208" s="96"/>
      <c r="AF208" s="96"/>
      <c r="AG208" s="96"/>
      <c r="AH208" s="96"/>
      <c r="AI208" s="96"/>
      <c r="AJ208" s="96"/>
      <c r="AK208" s="96"/>
      <c r="AL208" s="226"/>
      <c r="AM208" s="96"/>
      <c r="AN208" s="92"/>
      <c r="AO208" s="92"/>
      <c r="AP208" s="96"/>
      <c r="AQ208" s="96"/>
      <c r="AR208" s="96"/>
      <c r="AS208" s="96"/>
      <c r="AT208" s="96"/>
      <c r="AU208" s="96"/>
      <c r="AV208" s="96"/>
      <c r="AW208" s="96"/>
      <c r="AX208" s="116"/>
      <c r="AY208" s="116"/>
      <c r="AZ208" s="116"/>
      <c r="BA208" s="116"/>
      <c r="BB208" s="116"/>
      <c r="BC208" s="116"/>
      <c r="BD208" s="116"/>
      <c r="BE208" s="116"/>
      <c r="BF208" s="116"/>
      <c r="BG208" s="116"/>
      <c r="BH208" s="116"/>
      <c r="BI208" s="116"/>
      <c r="BJ208" s="116"/>
      <c r="BK208" s="116"/>
      <c r="BL208" s="116"/>
      <c r="BM208" s="116"/>
      <c r="BN208" s="116"/>
      <c r="BO208" s="116"/>
      <c r="BP208" s="116"/>
      <c r="BQ208" s="116"/>
      <c r="BR208" s="116"/>
      <c r="BS208" s="116"/>
      <c r="BT208" s="116"/>
      <c r="BU208" s="116"/>
      <c r="BV208" s="116"/>
      <c r="BW208" s="116"/>
    </row>
    <row r="209" spans="1:75" s="117" customFormat="1" ht="30" customHeight="1" x14ac:dyDescent="0.2">
      <c r="A209" s="851"/>
      <c r="B209" s="852"/>
      <c r="C209" s="852"/>
      <c r="D209" s="590"/>
      <c r="E209" s="590"/>
      <c r="F209" s="590"/>
      <c r="G209" s="590"/>
      <c r="H209" s="590"/>
      <c r="I209" s="590"/>
      <c r="J209" s="603"/>
      <c r="K209" s="594" t="s">
        <v>981</v>
      </c>
      <c r="L209" s="594"/>
      <c r="M209" s="605"/>
      <c r="N209" s="605"/>
      <c r="O209" s="606"/>
      <c r="P209" s="606"/>
      <c r="Q209" s="606"/>
      <c r="R209" s="606"/>
      <c r="S209" s="620"/>
      <c r="T209" s="620"/>
      <c r="U209" s="620"/>
      <c r="V209" s="620"/>
      <c r="W209" s="620"/>
      <c r="X209" s="620"/>
      <c r="Y209" s="620"/>
      <c r="Z209" s="621"/>
      <c r="AA209" s="621"/>
      <c r="AB209" s="622"/>
      <c r="AC209" s="143"/>
      <c r="AD209" s="143"/>
      <c r="AE209" s="143"/>
      <c r="AF209" s="96"/>
      <c r="AG209" s="96"/>
      <c r="AH209" s="96"/>
      <c r="AI209" s="96"/>
      <c r="AJ209" s="96"/>
      <c r="AK209" s="96"/>
      <c r="AL209" s="226"/>
      <c r="AM209" s="96"/>
      <c r="AN209" s="92"/>
      <c r="AO209" s="92"/>
      <c r="AP209" s="96"/>
      <c r="AQ209" s="96"/>
      <c r="AR209" s="96"/>
      <c r="AS209" s="96"/>
      <c r="AT209" s="96"/>
      <c r="AU209" s="96"/>
      <c r="AV209" s="96"/>
      <c r="AW209" s="96"/>
      <c r="AX209" s="116"/>
      <c r="AY209" s="116"/>
      <c r="AZ209" s="116"/>
      <c r="BA209" s="116"/>
      <c r="BB209" s="116"/>
      <c r="BC209" s="116"/>
      <c r="BD209" s="116"/>
      <c r="BE209" s="116"/>
      <c r="BF209" s="116"/>
      <c r="BG209" s="116"/>
      <c r="BH209" s="116"/>
      <c r="BI209" s="116"/>
      <c r="BJ209" s="116"/>
      <c r="BK209" s="116"/>
      <c r="BL209" s="116"/>
      <c r="BM209" s="116"/>
      <c r="BN209" s="116"/>
      <c r="BO209" s="116"/>
      <c r="BP209" s="116"/>
      <c r="BQ209" s="116"/>
      <c r="BR209" s="116"/>
      <c r="BS209" s="116"/>
      <c r="BT209" s="116"/>
      <c r="BU209" s="116"/>
      <c r="BV209" s="116"/>
      <c r="BW209" s="116"/>
    </row>
    <row r="210" spans="1:75" s="117" customFormat="1" ht="39.75" customHeight="1" x14ac:dyDescent="0.2">
      <c r="A210" s="853"/>
      <c r="B210" s="623"/>
      <c r="C210" s="623"/>
      <c r="D210" s="591"/>
      <c r="E210" s="591"/>
      <c r="F210" s="591"/>
      <c r="G210" s="591"/>
      <c r="H210" s="591"/>
      <c r="I210" s="591"/>
      <c r="J210" s="604"/>
      <c r="K210" s="599" t="s">
        <v>982</v>
      </c>
      <c r="L210" s="599"/>
      <c r="M210" s="600"/>
      <c r="N210" s="600"/>
      <c r="O210" s="601"/>
      <c r="P210" s="601"/>
      <c r="Q210" s="602"/>
      <c r="R210" s="602"/>
      <c r="S210" s="620"/>
      <c r="T210" s="620"/>
      <c r="U210" s="620"/>
      <c r="V210" s="620"/>
      <c r="W210" s="620"/>
      <c r="X210" s="620"/>
      <c r="Y210" s="620"/>
      <c r="Z210" s="623"/>
      <c r="AA210" s="623"/>
      <c r="AB210" s="624"/>
      <c r="AC210" s="96"/>
      <c r="AD210" s="96"/>
      <c r="AE210" s="96"/>
      <c r="AF210" s="96"/>
      <c r="AG210" s="96"/>
      <c r="AH210" s="96"/>
      <c r="AI210" s="96"/>
      <c r="AJ210" s="96"/>
      <c r="AK210" s="96"/>
      <c r="AL210" s="226"/>
      <c r="AM210" s="96"/>
      <c r="AN210" s="92"/>
      <c r="AO210" s="92"/>
      <c r="AP210" s="96"/>
      <c r="AQ210" s="96"/>
      <c r="AR210" s="96"/>
      <c r="AS210" s="96"/>
      <c r="AT210" s="96"/>
      <c r="AU210" s="96"/>
      <c r="AV210" s="96"/>
      <c r="AW210" s="96"/>
      <c r="AX210" s="116"/>
      <c r="AY210" s="116"/>
      <c r="AZ210" s="116"/>
      <c r="BA210" s="116"/>
      <c r="BB210" s="116"/>
      <c r="BC210" s="116"/>
      <c r="BD210" s="116"/>
      <c r="BE210" s="116"/>
      <c r="BF210" s="116"/>
      <c r="BG210" s="116"/>
      <c r="BH210" s="116"/>
      <c r="BI210" s="116"/>
      <c r="BJ210" s="116"/>
      <c r="BK210" s="116"/>
      <c r="BL210" s="116"/>
      <c r="BM210" s="116"/>
      <c r="BN210" s="116"/>
      <c r="BO210" s="116"/>
      <c r="BP210" s="116"/>
      <c r="BQ210" s="116"/>
      <c r="BR210" s="116"/>
      <c r="BS210" s="116"/>
      <c r="BT210" s="116"/>
      <c r="BU210" s="116"/>
      <c r="BV210" s="116"/>
      <c r="BW210" s="116"/>
    </row>
    <row r="211" spans="1:75" s="117" customFormat="1" ht="25.5" customHeight="1" x14ac:dyDescent="0.2">
      <c r="A211" s="583" t="s">
        <v>1615</v>
      </c>
      <c r="B211" s="584"/>
      <c r="C211" s="584"/>
      <c r="D211" s="589" t="s">
        <v>1989</v>
      </c>
      <c r="E211" s="589"/>
      <c r="F211" s="589"/>
      <c r="G211" s="589"/>
      <c r="H211" s="589"/>
      <c r="I211" s="589"/>
      <c r="J211" s="592" t="s">
        <v>1408</v>
      </c>
      <c r="K211" s="594" t="s">
        <v>981</v>
      </c>
      <c r="L211" s="594"/>
      <c r="M211" s="595">
        <f>202738*41/42</f>
        <v>197910.90476190476</v>
      </c>
      <c r="N211" s="596"/>
      <c r="O211" s="597">
        <f>M211</f>
        <v>197910.90476190476</v>
      </c>
      <c r="P211" s="598"/>
      <c r="Q211" s="597">
        <f>O211</f>
        <v>197910.90476190476</v>
      </c>
      <c r="R211" s="598"/>
      <c r="S211" s="631" t="s">
        <v>2025</v>
      </c>
      <c r="T211" s="631"/>
      <c r="U211" s="631"/>
      <c r="V211" s="631"/>
      <c r="W211" s="631"/>
      <c r="X211" s="631"/>
      <c r="Y211" s="631"/>
      <c r="Z211" s="589"/>
      <c r="AA211" s="589"/>
      <c r="AB211" s="632"/>
      <c r="AC211" s="96"/>
      <c r="AD211" s="96"/>
      <c r="AE211" s="96"/>
      <c r="AF211" s="96"/>
      <c r="AG211" s="96"/>
      <c r="AH211" s="96"/>
      <c r="AI211" s="96"/>
      <c r="AJ211" s="96"/>
      <c r="AK211" s="96"/>
      <c r="AL211" s="226"/>
      <c r="AM211" s="96"/>
      <c r="AN211" s="92"/>
      <c r="AO211" s="92"/>
      <c r="AP211" s="96"/>
      <c r="AQ211" s="96"/>
      <c r="AR211" s="96"/>
      <c r="AS211" s="96"/>
      <c r="AT211" s="96"/>
      <c r="AU211" s="96"/>
      <c r="AV211" s="96"/>
      <c r="AW211" s="96"/>
      <c r="AX211" s="116"/>
      <c r="AY211" s="116"/>
      <c r="AZ211" s="116"/>
      <c r="BA211" s="116"/>
      <c r="BB211" s="116"/>
      <c r="BC211" s="116"/>
      <c r="BD211" s="116"/>
      <c r="BE211" s="116"/>
      <c r="BF211" s="116"/>
      <c r="BG211" s="116"/>
      <c r="BH211" s="116"/>
      <c r="BI211" s="116"/>
      <c r="BJ211" s="116"/>
      <c r="BK211" s="116"/>
      <c r="BL211" s="116"/>
      <c r="BM211" s="116"/>
      <c r="BN211" s="116"/>
      <c r="BO211" s="116"/>
      <c r="BP211" s="116"/>
      <c r="BQ211" s="116"/>
      <c r="BR211" s="116"/>
      <c r="BS211" s="116"/>
      <c r="BT211" s="116"/>
      <c r="BU211" s="116"/>
      <c r="BV211" s="116"/>
      <c r="BW211" s="116"/>
    </row>
    <row r="212" spans="1:75" s="117" customFormat="1" ht="83.25" customHeight="1" x14ac:dyDescent="0.2">
      <c r="A212" s="585"/>
      <c r="B212" s="586"/>
      <c r="C212" s="586"/>
      <c r="D212" s="590"/>
      <c r="E212" s="590"/>
      <c r="F212" s="590"/>
      <c r="G212" s="590"/>
      <c r="H212" s="590"/>
      <c r="I212" s="590"/>
      <c r="J212" s="593"/>
      <c r="K212" s="599" t="s">
        <v>982</v>
      </c>
      <c r="L212" s="599"/>
      <c r="M212" s="600"/>
      <c r="N212" s="600"/>
      <c r="O212" s="601"/>
      <c r="P212" s="601"/>
      <c r="Q212" s="602"/>
      <c r="R212" s="602"/>
      <c r="S212" s="631"/>
      <c r="T212" s="631"/>
      <c r="U212" s="631"/>
      <c r="V212" s="631"/>
      <c r="W212" s="631"/>
      <c r="X212" s="631"/>
      <c r="Y212" s="631"/>
      <c r="Z212" s="591"/>
      <c r="AA212" s="591"/>
      <c r="AB212" s="633"/>
      <c r="AC212" s="96"/>
      <c r="AD212" s="96"/>
      <c r="AE212" s="96"/>
      <c r="AF212" s="96"/>
      <c r="AG212" s="96"/>
      <c r="AH212" s="96"/>
      <c r="AI212" s="96"/>
      <c r="AJ212" s="96"/>
      <c r="AK212" s="96"/>
      <c r="AL212" s="226"/>
      <c r="AM212" s="96"/>
      <c r="AN212" s="92"/>
      <c r="AO212" s="92"/>
      <c r="AP212" s="96"/>
      <c r="AQ212" s="96"/>
      <c r="AR212" s="96"/>
      <c r="AS212" s="96"/>
      <c r="AT212" s="96"/>
      <c r="AU212" s="96"/>
      <c r="AV212" s="96"/>
      <c r="AW212" s="96"/>
      <c r="AX212" s="116"/>
      <c r="AY212" s="116"/>
      <c r="AZ212" s="116"/>
      <c r="BA212" s="116"/>
      <c r="BB212" s="116"/>
      <c r="BC212" s="116"/>
      <c r="BD212" s="116"/>
      <c r="BE212" s="116"/>
      <c r="BF212" s="116"/>
      <c r="BG212" s="116"/>
      <c r="BH212" s="116"/>
      <c r="BI212" s="116"/>
      <c r="BJ212" s="116"/>
      <c r="BK212" s="116"/>
      <c r="BL212" s="116"/>
      <c r="BM212" s="116"/>
      <c r="BN212" s="116"/>
      <c r="BO212" s="116"/>
      <c r="BP212" s="116"/>
      <c r="BQ212" s="116"/>
      <c r="BR212" s="116"/>
      <c r="BS212" s="116"/>
      <c r="BT212" s="116"/>
      <c r="BU212" s="116"/>
      <c r="BV212" s="116"/>
      <c r="BW212" s="116"/>
    </row>
    <row r="213" spans="1:75" s="117" customFormat="1" ht="25.5" customHeight="1" x14ac:dyDescent="0.2">
      <c r="A213" s="585"/>
      <c r="B213" s="586"/>
      <c r="C213" s="586"/>
      <c r="D213" s="590"/>
      <c r="E213" s="590"/>
      <c r="F213" s="590"/>
      <c r="G213" s="590"/>
      <c r="H213" s="590"/>
      <c r="I213" s="590"/>
      <c r="J213" s="603"/>
      <c r="K213" s="594" t="s">
        <v>981</v>
      </c>
      <c r="L213" s="594"/>
      <c r="M213" s="605"/>
      <c r="N213" s="605"/>
      <c r="O213" s="606"/>
      <c r="P213" s="606"/>
      <c r="Q213" s="606"/>
      <c r="R213" s="606"/>
      <c r="S213" s="620"/>
      <c r="T213" s="620"/>
      <c r="U213" s="620"/>
      <c r="V213" s="620"/>
      <c r="W213" s="620"/>
      <c r="X213" s="620"/>
      <c r="Y213" s="620"/>
      <c r="Z213" s="621"/>
      <c r="AA213" s="621"/>
      <c r="AB213" s="622"/>
      <c r="AC213" s="143"/>
      <c r="AD213" s="143"/>
      <c r="AE213" s="143"/>
      <c r="AF213" s="96"/>
      <c r="AG213" s="96"/>
      <c r="AH213" s="96"/>
      <c r="AI213" s="96"/>
      <c r="AJ213" s="96"/>
      <c r="AK213" s="96"/>
      <c r="AL213" s="226"/>
      <c r="AM213" s="96"/>
      <c r="AN213" s="92"/>
      <c r="AO213" s="92"/>
      <c r="AP213" s="96"/>
      <c r="AQ213" s="96"/>
      <c r="AR213" s="96"/>
      <c r="AS213" s="96"/>
      <c r="AT213" s="96"/>
      <c r="AU213" s="96"/>
      <c r="AV213" s="96"/>
      <c r="AW213" s="96"/>
      <c r="AX213" s="116"/>
      <c r="AY213" s="116"/>
      <c r="AZ213" s="116"/>
      <c r="BA213" s="116"/>
      <c r="BB213" s="116"/>
      <c r="BC213" s="116"/>
      <c r="BD213" s="116"/>
      <c r="BE213" s="116"/>
      <c r="BF213" s="116"/>
      <c r="BG213" s="116"/>
      <c r="BH213" s="116"/>
      <c r="BI213" s="116"/>
      <c r="BJ213" s="116"/>
      <c r="BK213" s="116"/>
      <c r="BL213" s="116"/>
      <c r="BM213" s="116"/>
      <c r="BN213" s="116"/>
      <c r="BO213" s="116"/>
      <c r="BP213" s="116"/>
      <c r="BQ213" s="116"/>
      <c r="BR213" s="116"/>
      <c r="BS213" s="116"/>
      <c r="BT213" s="116"/>
      <c r="BU213" s="116"/>
      <c r="BV213" s="116"/>
      <c r="BW213" s="116"/>
    </row>
    <row r="214" spans="1:75" s="117" customFormat="1" ht="25.5" customHeight="1" x14ac:dyDescent="0.2">
      <c r="A214" s="587"/>
      <c r="B214" s="588"/>
      <c r="C214" s="588"/>
      <c r="D214" s="591"/>
      <c r="E214" s="591"/>
      <c r="F214" s="591"/>
      <c r="G214" s="591"/>
      <c r="H214" s="591"/>
      <c r="I214" s="591"/>
      <c r="J214" s="604"/>
      <c r="K214" s="599" t="s">
        <v>982</v>
      </c>
      <c r="L214" s="599"/>
      <c r="M214" s="600"/>
      <c r="N214" s="600"/>
      <c r="O214" s="601"/>
      <c r="P214" s="601"/>
      <c r="Q214" s="602"/>
      <c r="R214" s="602"/>
      <c r="S214" s="620"/>
      <c r="T214" s="620"/>
      <c r="U214" s="620"/>
      <c r="V214" s="620"/>
      <c r="W214" s="620"/>
      <c r="X214" s="620"/>
      <c r="Y214" s="620"/>
      <c r="Z214" s="623"/>
      <c r="AA214" s="623"/>
      <c r="AB214" s="624"/>
      <c r="AC214" s="96"/>
      <c r="AD214" s="96"/>
      <c r="AE214" s="96"/>
      <c r="AF214" s="96"/>
      <c r="AG214" s="96"/>
      <c r="AH214" s="96"/>
      <c r="AI214" s="96"/>
      <c r="AJ214" s="96"/>
      <c r="AK214" s="96"/>
      <c r="AL214" s="226"/>
      <c r="AM214" s="96"/>
      <c r="AN214" s="92"/>
      <c r="AO214" s="92"/>
      <c r="AP214" s="96"/>
      <c r="AQ214" s="96"/>
      <c r="AR214" s="96"/>
      <c r="AS214" s="96"/>
      <c r="AT214" s="96"/>
      <c r="AU214" s="96"/>
      <c r="AV214" s="96"/>
      <c r="AW214" s="96"/>
      <c r="AX214" s="116"/>
      <c r="AY214" s="116"/>
      <c r="AZ214" s="116"/>
      <c r="BA214" s="116"/>
      <c r="BB214" s="116"/>
      <c r="BC214" s="116"/>
      <c r="BD214" s="116"/>
      <c r="BE214" s="116"/>
      <c r="BF214" s="116"/>
      <c r="BG214" s="116"/>
      <c r="BH214" s="116"/>
      <c r="BI214" s="116"/>
      <c r="BJ214" s="116"/>
      <c r="BK214" s="116"/>
      <c r="BL214" s="116"/>
      <c r="BM214" s="116"/>
      <c r="BN214" s="116"/>
      <c r="BO214" s="116"/>
      <c r="BP214" s="116"/>
      <c r="BQ214" s="116"/>
      <c r="BR214" s="116"/>
      <c r="BS214" s="116"/>
      <c r="BT214" s="116"/>
      <c r="BU214" s="116"/>
      <c r="BV214" s="116"/>
      <c r="BW214" s="116"/>
    </row>
    <row r="215" spans="1:75" s="117" customFormat="1" ht="43.5" customHeight="1" x14ac:dyDescent="0.2">
      <c r="A215" s="583" t="s">
        <v>1617</v>
      </c>
      <c r="B215" s="584"/>
      <c r="C215" s="584"/>
      <c r="D215" s="589" t="s">
        <v>1992</v>
      </c>
      <c r="E215" s="589"/>
      <c r="F215" s="589"/>
      <c r="G215" s="589"/>
      <c r="H215" s="589"/>
      <c r="I215" s="589"/>
      <c r="J215" s="592" t="s">
        <v>1408</v>
      </c>
      <c r="K215" s="594" t="s">
        <v>981</v>
      </c>
      <c r="L215" s="594"/>
      <c r="M215" s="595">
        <f>356593*41/42</f>
        <v>348102.69047619047</v>
      </c>
      <c r="N215" s="596"/>
      <c r="O215" s="597">
        <f>387178*41/42</f>
        <v>377959.47619047621</v>
      </c>
      <c r="P215" s="598"/>
      <c r="Q215" s="597">
        <f>480119*41/42</f>
        <v>468687.59523809527</v>
      </c>
      <c r="R215" s="598"/>
      <c r="S215" s="631" t="s">
        <v>2029</v>
      </c>
      <c r="T215" s="631"/>
      <c r="U215" s="631"/>
      <c r="V215" s="631"/>
      <c r="W215" s="631"/>
      <c r="X215" s="631"/>
      <c r="Y215" s="631"/>
      <c r="Z215" s="589"/>
      <c r="AA215" s="589"/>
      <c r="AB215" s="632"/>
      <c r="AC215" s="96"/>
      <c r="AD215" s="96"/>
      <c r="AE215" s="96"/>
      <c r="AF215" s="96"/>
      <c r="AG215" s="96"/>
      <c r="AH215" s="96"/>
      <c r="AI215" s="96"/>
      <c r="AJ215" s="96"/>
      <c r="AK215" s="96"/>
      <c r="AL215" s="226"/>
      <c r="AM215" s="96"/>
      <c r="AN215" s="92"/>
      <c r="AO215" s="92"/>
      <c r="AP215" s="96"/>
      <c r="AQ215" s="96"/>
      <c r="AR215" s="96"/>
      <c r="AS215" s="96"/>
      <c r="AT215" s="96"/>
      <c r="AU215" s="96"/>
      <c r="AV215" s="96"/>
      <c r="AW215" s="96"/>
      <c r="AX215" s="116"/>
      <c r="AY215" s="116"/>
      <c r="AZ215" s="116"/>
      <c r="BA215" s="116"/>
      <c r="BB215" s="116"/>
      <c r="BC215" s="116"/>
      <c r="BD215" s="116"/>
      <c r="BE215" s="116"/>
      <c r="BF215" s="116"/>
      <c r="BG215" s="116"/>
      <c r="BH215" s="116"/>
      <c r="BI215" s="116"/>
      <c r="BJ215" s="116"/>
      <c r="BK215" s="116"/>
      <c r="BL215" s="116"/>
      <c r="BM215" s="116"/>
      <c r="BN215" s="116"/>
      <c r="BO215" s="116"/>
      <c r="BP215" s="116"/>
      <c r="BQ215" s="116"/>
      <c r="BR215" s="116"/>
      <c r="BS215" s="116"/>
      <c r="BT215" s="116"/>
      <c r="BU215" s="116"/>
      <c r="BV215" s="116"/>
      <c r="BW215" s="116"/>
    </row>
    <row r="216" spans="1:75" s="117" customFormat="1" ht="43.5" customHeight="1" x14ac:dyDescent="0.2">
      <c r="A216" s="585"/>
      <c r="B216" s="586"/>
      <c r="C216" s="586"/>
      <c r="D216" s="590"/>
      <c r="E216" s="590"/>
      <c r="F216" s="590"/>
      <c r="G216" s="590"/>
      <c r="H216" s="590"/>
      <c r="I216" s="590"/>
      <c r="J216" s="593"/>
      <c r="K216" s="599" t="s">
        <v>982</v>
      </c>
      <c r="L216" s="599"/>
      <c r="M216" s="600"/>
      <c r="N216" s="600"/>
      <c r="O216" s="601"/>
      <c r="P216" s="601"/>
      <c r="Q216" s="602"/>
      <c r="R216" s="602"/>
      <c r="S216" s="631"/>
      <c r="T216" s="631"/>
      <c r="U216" s="631"/>
      <c r="V216" s="631"/>
      <c r="W216" s="631"/>
      <c r="X216" s="631"/>
      <c r="Y216" s="631"/>
      <c r="Z216" s="591"/>
      <c r="AA216" s="591"/>
      <c r="AB216" s="633"/>
      <c r="AC216" s="96"/>
      <c r="AD216" s="96"/>
      <c r="AE216" s="96"/>
      <c r="AF216" s="96"/>
      <c r="AG216" s="96"/>
      <c r="AH216" s="96"/>
      <c r="AI216" s="96"/>
      <c r="AJ216" s="96"/>
      <c r="AK216" s="96"/>
      <c r="AL216" s="226"/>
      <c r="AM216" s="96"/>
      <c r="AN216" s="92"/>
      <c r="AO216" s="92"/>
      <c r="AP216" s="96"/>
      <c r="AQ216" s="96"/>
      <c r="AR216" s="96"/>
      <c r="AS216" s="96"/>
      <c r="AT216" s="96"/>
      <c r="AU216" s="96"/>
      <c r="AV216" s="96"/>
      <c r="AW216" s="96"/>
      <c r="AX216" s="116"/>
      <c r="AY216" s="116"/>
      <c r="AZ216" s="116"/>
      <c r="BA216" s="116"/>
      <c r="BB216" s="116"/>
      <c r="BC216" s="116"/>
      <c r="BD216" s="116"/>
      <c r="BE216" s="116"/>
      <c r="BF216" s="116"/>
      <c r="BG216" s="116"/>
      <c r="BH216" s="116"/>
      <c r="BI216" s="116"/>
      <c r="BJ216" s="116"/>
      <c r="BK216" s="116"/>
      <c r="BL216" s="116"/>
      <c r="BM216" s="116"/>
      <c r="BN216" s="116"/>
      <c r="BO216" s="116"/>
      <c r="BP216" s="116"/>
      <c r="BQ216" s="116"/>
      <c r="BR216" s="116"/>
      <c r="BS216" s="116"/>
      <c r="BT216" s="116"/>
      <c r="BU216" s="116"/>
      <c r="BV216" s="116"/>
      <c r="BW216" s="116"/>
    </row>
    <row r="217" spans="1:75" s="117" customFormat="1" ht="25.5" customHeight="1" x14ac:dyDescent="0.2">
      <c r="A217" s="585"/>
      <c r="B217" s="586"/>
      <c r="C217" s="586"/>
      <c r="D217" s="590"/>
      <c r="E217" s="590"/>
      <c r="F217" s="590"/>
      <c r="G217" s="590"/>
      <c r="H217" s="590"/>
      <c r="I217" s="590"/>
      <c r="J217" s="603"/>
      <c r="K217" s="594" t="s">
        <v>981</v>
      </c>
      <c r="L217" s="594"/>
      <c r="M217" s="605"/>
      <c r="N217" s="605"/>
      <c r="O217" s="606"/>
      <c r="P217" s="606"/>
      <c r="Q217" s="606"/>
      <c r="R217" s="606"/>
      <c r="S217" s="620"/>
      <c r="T217" s="620"/>
      <c r="U217" s="620"/>
      <c r="V217" s="620"/>
      <c r="W217" s="620"/>
      <c r="X217" s="620"/>
      <c r="Y217" s="620"/>
      <c r="Z217" s="621"/>
      <c r="AA217" s="621"/>
      <c r="AB217" s="622"/>
      <c r="AC217" s="143"/>
      <c r="AD217" s="143"/>
      <c r="AE217" s="143"/>
      <c r="AF217" s="96"/>
      <c r="AG217" s="96"/>
      <c r="AH217" s="96"/>
      <c r="AI217" s="96"/>
      <c r="AJ217" s="96"/>
      <c r="AK217" s="96"/>
      <c r="AL217" s="226"/>
      <c r="AM217" s="96"/>
      <c r="AN217" s="92"/>
      <c r="AO217" s="92"/>
      <c r="AP217" s="96"/>
      <c r="AQ217" s="96"/>
      <c r="AR217" s="96"/>
      <c r="AS217" s="96"/>
      <c r="AT217" s="96"/>
      <c r="AU217" s="96"/>
      <c r="AV217" s="96"/>
      <c r="AW217" s="96"/>
      <c r="AX217" s="116"/>
      <c r="AY217" s="116"/>
      <c r="AZ217" s="116"/>
      <c r="BA217" s="116"/>
      <c r="BB217" s="116"/>
      <c r="BC217" s="116"/>
      <c r="BD217" s="116"/>
      <c r="BE217" s="116"/>
      <c r="BF217" s="116"/>
      <c r="BG217" s="116"/>
      <c r="BH217" s="116"/>
      <c r="BI217" s="116"/>
      <c r="BJ217" s="116"/>
      <c r="BK217" s="116"/>
      <c r="BL217" s="116"/>
      <c r="BM217" s="116"/>
      <c r="BN217" s="116"/>
      <c r="BO217" s="116"/>
      <c r="BP217" s="116"/>
      <c r="BQ217" s="116"/>
      <c r="BR217" s="116"/>
      <c r="BS217" s="116"/>
      <c r="BT217" s="116"/>
      <c r="BU217" s="116"/>
      <c r="BV217" s="116"/>
      <c r="BW217" s="116"/>
    </row>
    <row r="218" spans="1:75" s="117" customFormat="1" ht="25.5" customHeight="1" x14ac:dyDescent="0.2">
      <c r="A218" s="587"/>
      <c r="B218" s="588"/>
      <c r="C218" s="588"/>
      <c r="D218" s="591"/>
      <c r="E218" s="591"/>
      <c r="F218" s="591"/>
      <c r="G218" s="591"/>
      <c r="H218" s="591"/>
      <c r="I218" s="591"/>
      <c r="J218" s="604"/>
      <c r="K218" s="599" t="s">
        <v>982</v>
      </c>
      <c r="L218" s="599"/>
      <c r="M218" s="600"/>
      <c r="N218" s="600"/>
      <c r="O218" s="601"/>
      <c r="P218" s="601"/>
      <c r="Q218" s="602"/>
      <c r="R218" s="602"/>
      <c r="S218" s="620"/>
      <c r="T218" s="620"/>
      <c r="U218" s="620"/>
      <c r="V218" s="620"/>
      <c r="W218" s="620"/>
      <c r="X218" s="620"/>
      <c r="Y218" s="620"/>
      <c r="Z218" s="623"/>
      <c r="AA218" s="623"/>
      <c r="AB218" s="624"/>
      <c r="AC218" s="96"/>
      <c r="AD218" s="96"/>
      <c r="AE218" s="96"/>
      <c r="AF218" s="96"/>
      <c r="AG218" s="96"/>
      <c r="AH218" s="96"/>
      <c r="AI218" s="96"/>
      <c r="AJ218" s="96"/>
      <c r="AK218" s="96"/>
      <c r="AL218" s="226"/>
      <c r="AM218" s="96"/>
      <c r="AN218" s="92"/>
      <c r="AO218" s="92"/>
      <c r="AP218" s="96"/>
      <c r="AQ218" s="96"/>
      <c r="AR218" s="96"/>
      <c r="AS218" s="96"/>
      <c r="AT218" s="96"/>
      <c r="AU218" s="96"/>
      <c r="AV218" s="96"/>
      <c r="AW218" s="96"/>
      <c r="AX218" s="116"/>
      <c r="AY218" s="116"/>
      <c r="AZ218" s="116"/>
      <c r="BA218" s="116"/>
      <c r="BB218" s="116"/>
      <c r="BC218" s="116"/>
      <c r="BD218" s="116"/>
      <c r="BE218" s="116"/>
      <c r="BF218" s="116"/>
      <c r="BG218" s="116"/>
      <c r="BH218" s="116"/>
      <c r="BI218" s="116"/>
      <c r="BJ218" s="116"/>
      <c r="BK218" s="116"/>
      <c r="BL218" s="116"/>
      <c r="BM218" s="116"/>
      <c r="BN218" s="116"/>
      <c r="BO218" s="116"/>
      <c r="BP218" s="116"/>
      <c r="BQ218" s="116"/>
      <c r="BR218" s="116"/>
      <c r="BS218" s="116"/>
      <c r="BT218" s="116"/>
      <c r="BU218" s="116"/>
      <c r="BV218" s="116"/>
      <c r="BW218" s="116"/>
    </row>
    <row r="219" spans="1:75" s="117" customFormat="1" ht="97.5" customHeight="1" x14ac:dyDescent="0.2">
      <c r="A219" s="583" t="s">
        <v>1615</v>
      </c>
      <c r="B219" s="584"/>
      <c r="C219" s="584"/>
      <c r="D219" s="589" t="s">
        <v>1956</v>
      </c>
      <c r="E219" s="589"/>
      <c r="F219" s="589"/>
      <c r="G219" s="589"/>
      <c r="H219" s="589"/>
      <c r="I219" s="589"/>
      <c r="J219" s="592" t="s">
        <v>1408</v>
      </c>
      <c r="K219" s="594" t="s">
        <v>981</v>
      </c>
      <c r="L219" s="594"/>
      <c r="M219" s="595">
        <f>230693*41/42</f>
        <v>225200.30952380953</v>
      </c>
      <c r="N219" s="596"/>
      <c r="O219" s="597">
        <f>278680*41/42</f>
        <v>272044.76190476189</v>
      </c>
      <c r="P219" s="598"/>
      <c r="Q219" s="597">
        <f>268857*41/42</f>
        <v>262455.64285714284</v>
      </c>
      <c r="R219" s="598"/>
      <c r="S219" s="631" t="s">
        <v>2026</v>
      </c>
      <c r="T219" s="631"/>
      <c r="U219" s="631"/>
      <c r="V219" s="631"/>
      <c r="W219" s="631"/>
      <c r="X219" s="631"/>
      <c r="Y219" s="631"/>
      <c r="Z219" s="589" t="s">
        <v>2030</v>
      </c>
      <c r="AA219" s="589"/>
      <c r="AB219" s="632"/>
      <c r="AC219" s="96"/>
      <c r="AD219" s="96"/>
      <c r="AE219" s="96"/>
      <c r="AF219" s="96"/>
      <c r="AG219" s="96"/>
      <c r="AH219" s="96"/>
      <c r="AI219" s="96"/>
      <c r="AJ219" s="96"/>
      <c r="AK219" s="96"/>
      <c r="AL219" s="226"/>
      <c r="AM219" s="96"/>
      <c r="AN219" s="92"/>
      <c r="AO219" s="92"/>
      <c r="AP219" s="96"/>
      <c r="AQ219" s="96"/>
      <c r="AR219" s="96"/>
      <c r="AS219" s="96"/>
      <c r="AT219" s="96"/>
      <c r="AU219" s="96"/>
      <c r="AV219" s="96"/>
      <c r="AW219" s="96"/>
      <c r="AX219" s="116"/>
      <c r="AY219" s="116"/>
      <c r="AZ219" s="116"/>
      <c r="BA219" s="116"/>
      <c r="BB219" s="116"/>
      <c r="BC219" s="116"/>
      <c r="BD219" s="116"/>
      <c r="BE219" s="116"/>
      <c r="BF219" s="116"/>
      <c r="BG219" s="116"/>
      <c r="BH219" s="116"/>
      <c r="BI219" s="116"/>
      <c r="BJ219" s="116"/>
      <c r="BK219" s="116"/>
      <c r="BL219" s="116"/>
      <c r="BM219" s="116"/>
      <c r="BN219" s="116"/>
      <c r="BO219" s="116"/>
      <c r="BP219" s="116"/>
      <c r="BQ219" s="116"/>
      <c r="BR219" s="116"/>
      <c r="BS219" s="116"/>
      <c r="BT219" s="116"/>
      <c r="BU219" s="116"/>
      <c r="BV219" s="116"/>
      <c r="BW219" s="116"/>
    </row>
    <row r="220" spans="1:75" s="117" customFormat="1" ht="63.75" customHeight="1" x14ac:dyDescent="0.2">
      <c r="A220" s="585"/>
      <c r="B220" s="586"/>
      <c r="C220" s="586"/>
      <c r="D220" s="590"/>
      <c r="E220" s="590"/>
      <c r="F220" s="590"/>
      <c r="G220" s="590"/>
      <c r="H220" s="590"/>
      <c r="I220" s="590"/>
      <c r="J220" s="593"/>
      <c r="K220" s="599" t="s">
        <v>982</v>
      </c>
      <c r="L220" s="599"/>
      <c r="M220" s="600"/>
      <c r="N220" s="600"/>
      <c r="O220" s="601"/>
      <c r="P220" s="601"/>
      <c r="Q220" s="602"/>
      <c r="R220" s="602"/>
      <c r="S220" s="631"/>
      <c r="T220" s="631"/>
      <c r="U220" s="631"/>
      <c r="V220" s="631"/>
      <c r="W220" s="631"/>
      <c r="X220" s="631"/>
      <c r="Y220" s="631"/>
      <c r="Z220" s="591"/>
      <c r="AA220" s="591"/>
      <c r="AB220" s="633"/>
      <c r="AC220" s="96"/>
      <c r="AD220" s="96"/>
      <c r="AE220" s="96"/>
      <c r="AF220" s="96"/>
      <c r="AG220" s="96"/>
      <c r="AH220" s="96"/>
      <c r="AI220" s="96"/>
      <c r="AJ220" s="96"/>
      <c r="AK220" s="96"/>
      <c r="AL220" s="226"/>
      <c r="AM220" s="96"/>
      <c r="AN220" s="92"/>
      <c r="AO220" s="92"/>
      <c r="AP220" s="96"/>
      <c r="AQ220" s="96"/>
      <c r="AR220" s="96"/>
      <c r="AS220" s="96"/>
      <c r="AT220" s="96"/>
      <c r="AU220" s="96"/>
      <c r="AV220" s="96"/>
      <c r="AW220" s="96"/>
      <c r="AX220" s="116"/>
      <c r="AY220" s="116"/>
      <c r="AZ220" s="116"/>
      <c r="BA220" s="116"/>
      <c r="BB220" s="116"/>
      <c r="BC220" s="116"/>
      <c r="BD220" s="116"/>
      <c r="BE220" s="116"/>
      <c r="BF220" s="116"/>
      <c r="BG220" s="116"/>
      <c r="BH220" s="116"/>
      <c r="BI220" s="116"/>
      <c r="BJ220" s="116"/>
      <c r="BK220" s="116"/>
      <c r="BL220" s="116"/>
      <c r="BM220" s="116"/>
      <c r="BN220" s="116"/>
      <c r="BO220" s="116"/>
      <c r="BP220" s="116"/>
      <c r="BQ220" s="116"/>
      <c r="BR220" s="116"/>
      <c r="BS220" s="116"/>
      <c r="BT220" s="116"/>
      <c r="BU220" s="116"/>
      <c r="BV220" s="116"/>
      <c r="BW220" s="116"/>
    </row>
    <row r="221" spans="1:75" s="117" customFormat="1" ht="25.5" customHeight="1" x14ac:dyDescent="0.2">
      <c r="A221" s="585"/>
      <c r="B221" s="586"/>
      <c r="C221" s="586"/>
      <c r="D221" s="590"/>
      <c r="E221" s="590"/>
      <c r="F221" s="590"/>
      <c r="G221" s="590"/>
      <c r="H221" s="590"/>
      <c r="I221" s="590"/>
      <c r="J221" s="603"/>
      <c r="K221" s="594" t="s">
        <v>981</v>
      </c>
      <c r="L221" s="594"/>
      <c r="M221" s="605"/>
      <c r="N221" s="605"/>
      <c r="O221" s="606"/>
      <c r="P221" s="606"/>
      <c r="Q221" s="606"/>
      <c r="R221" s="606"/>
      <c r="S221" s="620"/>
      <c r="T221" s="620"/>
      <c r="U221" s="620"/>
      <c r="V221" s="620"/>
      <c r="W221" s="620"/>
      <c r="X221" s="620"/>
      <c r="Y221" s="620"/>
      <c r="Z221" s="621"/>
      <c r="AA221" s="621"/>
      <c r="AB221" s="622"/>
      <c r="AC221" s="143"/>
      <c r="AD221" s="143"/>
      <c r="AE221" s="143"/>
      <c r="AF221" s="96"/>
      <c r="AG221" s="96"/>
      <c r="AH221" s="96"/>
      <c r="AI221" s="96"/>
      <c r="AJ221" s="96"/>
      <c r="AK221" s="96"/>
      <c r="AL221" s="226"/>
      <c r="AM221" s="96"/>
      <c r="AN221" s="92"/>
      <c r="AO221" s="92"/>
      <c r="AP221" s="96"/>
      <c r="AQ221" s="96"/>
      <c r="AR221" s="96"/>
      <c r="AS221" s="96"/>
      <c r="AT221" s="96"/>
      <c r="AU221" s="96"/>
      <c r="AV221" s="96"/>
      <c r="AW221" s="96"/>
      <c r="AX221" s="116"/>
      <c r="AY221" s="116"/>
      <c r="AZ221" s="116"/>
      <c r="BA221" s="116"/>
      <c r="BB221" s="116"/>
      <c r="BC221" s="116"/>
      <c r="BD221" s="116"/>
      <c r="BE221" s="116"/>
      <c r="BF221" s="116"/>
      <c r="BG221" s="116"/>
      <c r="BH221" s="116"/>
      <c r="BI221" s="116"/>
      <c r="BJ221" s="116"/>
      <c r="BK221" s="116"/>
      <c r="BL221" s="116"/>
      <c r="BM221" s="116"/>
      <c r="BN221" s="116"/>
      <c r="BO221" s="116"/>
      <c r="BP221" s="116"/>
      <c r="BQ221" s="116"/>
      <c r="BR221" s="116"/>
      <c r="BS221" s="116"/>
      <c r="BT221" s="116"/>
      <c r="BU221" s="116"/>
      <c r="BV221" s="116"/>
      <c r="BW221" s="116"/>
    </row>
    <row r="222" spans="1:75" s="117" customFormat="1" ht="25.5" customHeight="1" x14ac:dyDescent="0.2">
      <c r="A222" s="587"/>
      <c r="B222" s="588"/>
      <c r="C222" s="588"/>
      <c r="D222" s="591"/>
      <c r="E222" s="591"/>
      <c r="F222" s="591"/>
      <c r="G222" s="591"/>
      <c r="H222" s="591"/>
      <c r="I222" s="591"/>
      <c r="J222" s="604"/>
      <c r="K222" s="599" t="s">
        <v>982</v>
      </c>
      <c r="L222" s="599"/>
      <c r="M222" s="600"/>
      <c r="N222" s="600"/>
      <c r="O222" s="601"/>
      <c r="P222" s="601"/>
      <c r="Q222" s="602"/>
      <c r="R222" s="602"/>
      <c r="S222" s="620"/>
      <c r="T222" s="620"/>
      <c r="U222" s="620"/>
      <c r="V222" s="620"/>
      <c r="W222" s="620"/>
      <c r="X222" s="620"/>
      <c r="Y222" s="620"/>
      <c r="Z222" s="623"/>
      <c r="AA222" s="623"/>
      <c r="AB222" s="624"/>
      <c r="AC222" s="96"/>
      <c r="AD222" s="96"/>
      <c r="AE222" s="96"/>
      <c r="AF222" s="96"/>
      <c r="AG222" s="96"/>
      <c r="AH222" s="96"/>
      <c r="AI222" s="96"/>
      <c r="AJ222" s="96"/>
      <c r="AK222" s="96"/>
      <c r="AL222" s="226"/>
      <c r="AM222" s="96"/>
      <c r="AN222" s="92"/>
      <c r="AO222" s="92"/>
      <c r="AP222" s="96"/>
      <c r="AQ222" s="96"/>
      <c r="AR222" s="96"/>
      <c r="AS222" s="96"/>
      <c r="AT222" s="96"/>
      <c r="AU222" s="96"/>
      <c r="AV222" s="96"/>
      <c r="AW222" s="96"/>
      <c r="AX222" s="116"/>
      <c r="AY222" s="116"/>
      <c r="AZ222" s="116"/>
      <c r="BA222" s="116"/>
      <c r="BB222" s="116"/>
      <c r="BC222" s="116"/>
      <c r="BD222" s="116"/>
      <c r="BE222" s="116"/>
      <c r="BF222" s="116"/>
      <c r="BG222" s="116"/>
      <c r="BH222" s="116"/>
      <c r="BI222" s="116"/>
      <c r="BJ222" s="116"/>
      <c r="BK222" s="116"/>
      <c r="BL222" s="116"/>
      <c r="BM222" s="116"/>
      <c r="BN222" s="116"/>
      <c r="BO222" s="116"/>
      <c r="BP222" s="116"/>
      <c r="BQ222" s="116"/>
      <c r="BR222" s="116"/>
      <c r="BS222" s="116"/>
      <c r="BT222" s="116"/>
      <c r="BU222" s="116"/>
      <c r="BV222" s="116"/>
      <c r="BW222" s="116"/>
    </row>
    <row r="223" spans="1:75" s="57" customFormat="1" ht="35.25" customHeight="1" x14ac:dyDescent="0.2">
      <c r="A223" s="583" t="s">
        <v>1617</v>
      </c>
      <c r="B223" s="584"/>
      <c r="C223" s="584"/>
      <c r="D223" s="589" t="s">
        <v>1990</v>
      </c>
      <c r="E223" s="589"/>
      <c r="F223" s="589"/>
      <c r="G223" s="589"/>
      <c r="H223" s="589"/>
      <c r="I223" s="589"/>
      <c r="J223" s="643" t="s">
        <v>1408</v>
      </c>
      <c r="K223" s="594" t="s">
        <v>981</v>
      </c>
      <c r="L223" s="594"/>
      <c r="M223" s="605">
        <f>12843.9*41/42</f>
        <v>12538.092857142858</v>
      </c>
      <c r="N223" s="605"/>
      <c r="O223" s="606">
        <f>12844*41/42</f>
        <v>12538.190476190477</v>
      </c>
      <c r="P223" s="606"/>
      <c r="Q223" s="606">
        <f>12844*41/42</f>
        <v>12538.190476190477</v>
      </c>
      <c r="R223" s="606"/>
      <c r="S223" s="625" t="s">
        <v>2027</v>
      </c>
      <c r="T223" s="626"/>
      <c r="U223" s="626"/>
      <c r="V223" s="626"/>
      <c r="W223" s="626"/>
      <c r="X223" s="626"/>
      <c r="Y223" s="645"/>
      <c r="Z223" s="625" t="s">
        <v>1953</v>
      </c>
      <c r="AA223" s="626"/>
      <c r="AB223" s="627"/>
      <c r="AC223" s="143"/>
      <c r="AD223" s="143"/>
      <c r="AE223" s="143"/>
      <c r="AF223" s="96"/>
      <c r="AG223" s="96"/>
      <c r="AH223" s="96"/>
      <c r="AI223" s="96"/>
      <c r="AJ223" s="96"/>
      <c r="AK223" s="96"/>
      <c r="AL223" s="226"/>
      <c r="AM223" s="71"/>
      <c r="AN223" s="92"/>
      <c r="AO223" s="92"/>
      <c r="AP223" s="71"/>
      <c r="AQ223" s="71"/>
      <c r="AR223" s="71"/>
      <c r="AS223" s="71"/>
      <c r="AT223" s="71"/>
      <c r="AU223" s="71"/>
      <c r="AV223" s="71"/>
      <c r="AW223" s="71"/>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row>
    <row r="224" spans="1:75" s="57" customFormat="1" ht="80.25" customHeight="1" x14ac:dyDescent="0.2">
      <c r="A224" s="585"/>
      <c r="B224" s="586"/>
      <c r="C224" s="586"/>
      <c r="D224" s="590"/>
      <c r="E224" s="590"/>
      <c r="F224" s="590"/>
      <c r="G224" s="590"/>
      <c r="H224" s="590"/>
      <c r="I224" s="590"/>
      <c r="J224" s="644"/>
      <c r="K224" s="599" t="s">
        <v>982</v>
      </c>
      <c r="L224" s="599"/>
      <c r="M224" s="600"/>
      <c r="N224" s="600"/>
      <c r="O224" s="601"/>
      <c r="P224" s="601"/>
      <c r="Q224" s="602"/>
      <c r="R224" s="602"/>
      <c r="S224" s="628"/>
      <c r="T224" s="629"/>
      <c r="U224" s="629"/>
      <c r="V224" s="629"/>
      <c r="W224" s="629"/>
      <c r="X224" s="629"/>
      <c r="Y224" s="649"/>
      <c r="Z224" s="628"/>
      <c r="AA224" s="629"/>
      <c r="AB224" s="630"/>
      <c r="AC224" s="96"/>
      <c r="AD224" s="96"/>
      <c r="AE224" s="96"/>
      <c r="AF224" s="96"/>
      <c r="AG224" s="96"/>
      <c r="AH224" s="96"/>
      <c r="AI224" s="96"/>
      <c r="AJ224" s="96"/>
      <c r="AK224" s="96"/>
      <c r="AL224" s="226"/>
      <c r="AM224" s="71"/>
      <c r="AN224" s="92"/>
      <c r="AO224" s="92"/>
      <c r="AP224" s="71"/>
      <c r="AQ224" s="71"/>
      <c r="AR224" s="71"/>
      <c r="AS224" s="71"/>
      <c r="AT224" s="71"/>
      <c r="AU224" s="71"/>
      <c r="AV224" s="71"/>
      <c r="AW224" s="71"/>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row>
    <row r="225" spans="1:75" s="57" customFormat="1" ht="30" customHeight="1" x14ac:dyDescent="0.2">
      <c r="A225" s="585"/>
      <c r="B225" s="586"/>
      <c r="C225" s="586"/>
      <c r="D225" s="590"/>
      <c r="E225" s="590"/>
      <c r="F225" s="590"/>
      <c r="G225" s="590"/>
      <c r="H225" s="590"/>
      <c r="I225" s="590"/>
      <c r="J225" s="603"/>
      <c r="K225" s="594" t="s">
        <v>981</v>
      </c>
      <c r="L225" s="594"/>
      <c r="M225" s="605"/>
      <c r="N225" s="605"/>
      <c r="O225" s="606"/>
      <c r="P225" s="606"/>
      <c r="Q225" s="606"/>
      <c r="R225" s="606"/>
      <c r="S225" s="620"/>
      <c r="T225" s="620"/>
      <c r="U225" s="620"/>
      <c r="V225" s="620"/>
      <c r="W225" s="620"/>
      <c r="X225" s="620"/>
      <c r="Y225" s="620"/>
      <c r="Z225" s="621"/>
      <c r="AA225" s="621"/>
      <c r="AB225" s="622"/>
      <c r="AC225" s="143"/>
      <c r="AD225" s="143"/>
      <c r="AE225" s="143"/>
      <c r="AF225" s="96"/>
      <c r="AG225" s="96"/>
      <c r="AH225" s="96"/>
      <c r="AI225" s="96"/>
      <c r="AJ225" s="96"/>
      <c r="AK225" s="96"/>
      <c r="AL225" s="226"/>
      <c r="AM225" s="71"/>
      <c r="AN225" s="92"/>
      <c r="AO225" s="92"/>
      <c r="AP225" s="71"/>
      <c r="AQ225" s="71"/>
      <c r="AR225" s="71"/>
      <c r="AS225" s="71"/>
      <c r="AT225" s="71"/>
      <c r="AU225" s="71"/>
      <c r="AV225" s="71"/>
      <c r="AW225" s="71"/>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row>
    <row r="226" spans="1:75" s="57" customFormat="1" ht="30" customHeight="1" x14ac:dyDescent="0.2">
      <c r="A226" s="587"/>
      <c r="B226" s="588"/>
      <c r="C226" s="588"/>
      <c r="D226" s="591"/>
      <c r="E226" s="591"/>
      <c r="F226" s="591"/>
      <c r="G226" s="591"/>
      <c r="H226" s="591"/>
      <c r="I226" s="591"/>
      <c r="J226" s="604"/>
      <c r="K226" s="599" t="s">
        <v>982</v>
      </c>
      <c r="L226" s="599"/>
      <c r="M226" s="600"/>
      <c r="N226" s="600"/>
      <c r="O226" s="601"/>
      <c r="P226" s="601"/>
      <c r="Q226" s="602"/>
      <c r="R226" s="602"/>
      <c r="S226" s="620"/>
      <c r="T226" s="620"/>
      <c r="U226" s="620"/>
      <c r="V226" s="620"/>
      <c r="W226" s="620"/>
      <c r="X226" s="620"/>
      <c r="Y226" s="620"/>
      <c r="Z226" s="623"/>
      <c r="AA226" s="623"/>
      <c r="AB226" s="624"/>
      <c r="AC226" s="96"/>
      <c r="AD226" s="96"/>
      <c r="AE226" s="96"/>
      <c r="AF226" s="96"/>
      <c r="AG226" s="96"/>
      <c r="AH226" s="96"/>
      <c r="AI226" s="96"/>
      <c r="AJ226" s="96"/>
      <c r="AK226" s="96"/>
      <c r="AL226" s="226"/>
      <c r="AM226" s="71"/>
      <c r="AN226" s="92"/>
      <c r="AO226" s="92"/>
      <c r="AP226" s="71"/>
      <c r="AQ226" s="71"/>
      <c r="AR226" s="71"/>
      <c r="AS226" s="71"/>
      <c r="AT226" s="71"/>
      <c r="AU226" s="71"/>
      <c r="AV226" s="71"/>
      <c r="AW226" s="71"/>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row>
    <row r="227" spans="1:75" s="57" customFormat="1" ht="67.5" customHeight="1" x14ac:dyDescent="0.2">
      <c r="A227" s="583" t="s">
        <v>1615</v>
      </c>
      <c r="B227" s="584"/>
      <c r="C227" s="584"/>
      <c r="D227" s="589" t="s">
        <v>1991</v>
      </c>
      <c r="E227" s="589"/>
      <c r="F227" s="589"/>
      <c r="G227" s="589"/>
      <c r="H227" s="589"/>
      <c r="I227" s="589"/>
      <c r="J227" s="592" t="s">
        <v>1408</v>
      </c>
      <c r="K227" s="594" t="s">
        <v>981</v>
      </c>
      <c r="L227" s="594"/>
      <c r="M227" s="595">
        <f>41268.29*41/42</f>
        <v>40285.71166666667</v>
      </c>
      <c r="N227" s="596"/>
      <c r="O227" s="597">
        <v>0</v>
      </c>
      <c r="P227" s="598"/>
      <c r="Q227" s="597">
        <v>0</v>
      </c>
      <c r="R227" s="598"/>
      <c r="S227" s="631" t="s">
        <v>2031</v>
      </c>
      <c r="T227" s="631"/>
      <c r="U227" s="631"/>
      <c r="V227" s="631"/>
      <c r="W227" s="631"/>
      <c r="X227" s="631"/>
      <c r="Y227" s="631"/>
      <c r="Z227" s="589"/>
      <c r="AA227" s="589"/>
      <c r="AB227" s="632"/>
      <c r="AC227" s="96"/>
      <c r="AD227" s="96"/>
      <c r="AE227" s="96"/>
      <c r="AF227" s="96"/>
      <c r="AG227" s="96"/>
      <c r="AH227" s="96"/>
      <c r="AI227" s="96"/>
      <c r="AJ227" s="96"/>
      <c r="AK227" s="96"/>
      <c r="AL227" s="226"/>
      <c r="AM227" s="71"/>
      <c r="AN227" s="92"/>
      <c r="AO227" s="92"/>
      <c r="AP227" s="71"/>
      <c r="AQ227" s="71"/>
      <c r="AR227" s="71"/>
      <c r="AS227" s="71"/>
      <c r="AT227" s="71"/>
      <c r="AU227" s="71"/>
      <c r="AV227" s="71"/>
      <c r="AW227" s="71"/>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row>
    <row r="228" spans="1:75" s="57" customFormat="1" ht="67.5" customHeight="1" x14ac:dyDescent="0.2">
      <c r="A228" s="587"/>
      <c r="B228" s="588"/>
      <c r="C228" s="588"/>
      <c r="D228" s="591"/>
      <c r="E228" s="591"/>
      <c r="F228" s="591"/>
      <c r="G228" s="591"/>
      <c r="H228" s="591"/>
      <c r="I228" s="591"/>
      <c r="J228" s="593"/>
      <c r="K228" s="599" t="s">
        <v>982</v>
      </c>
      <c r="L228" s="599"/>
      <c r="M228" s="675"/>
      <c r="N228" s="675"/>
      <c r="O228" s="601"/>
      <c r="P228" s="601"/>
      <c r="Q228" s="601"/>
      <c r="R228" s="601"/>
      <c r="S228" s="631"/>
      <c r="T228" s="631"/>
      <c r="U228" s="631"/>
      <c r="V228" s="631"/>
      <c r="W228" s="631"/>
      <c r="X228" s="631"/>
      <c r="Y228" s="631"/>
      <c r="Z228" s="591"/>
      <c r="AA228" s="591"/>
      <c r="AB228" s="633"/>
      <c r="AC228" s="96"/>
      <c r="AD228" s="96"/>
      <c r="AE228" s="96"/>
      <c r="AF228" s="96"/>
      <c r="AG228" s="96"/>
      <c r="AH228" s="96"/>
      <c r="AI228" s="96"/>
      <c r="AJ228" s="96"/>
      <c r="AK228" s="96"/>
      <c r="AL228" s="226"/>
      <c r="AM228" s="71"/>
      <c r="AN228" s="92"/>
      <c r="AO228" s="92"/>
      <c r="AP228" s="71"/>
      <c r="AQ228" s="71"/>
      <c r="AR228" s="71"/>
      <c r="AS228" s="71"/>
      <c r="AT228" s="71"/>
      <c r="AU228" s="71"/>
      <c r="AV228" s="71"/>
      <c r="AW228" s="71"/>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row>
    <row r="229" spans="1:75" s="54" customFormat="1" ht="18" customHeight="1" x14ac:dyDescent="0.2">
      <c r="A229" s="51"/>
      <c r="B229" s="52"/>
      <c r="C229" s="52"/>
      <c r="D229" s="52"/>
      <c r="E229" s="52"/>
      <c r="F229" s="52"/>
      <c r="G229" s="52"/>
      <c r="H229" s="52"/>
      <c r="I229" s="52"/>
      <c r="J229" s="52"/>
      <c r="K229" s="52"/>
      <c r="L229" s="52"/>
      <c r="M229" s="52"/>
      <c r="N229" s="52"/>
      <c r="O229" s="52"/>
      <c r="P229" s="53"/>
      <c r="Q229" s="53"/>
      <c r="R229" s="53"/>
      <c r="S229" s="53"/>
      <c r="T229" s="53"/>
      <c r="U229" s="53"/>
      <c r="V229" s="53"/>
      <c r="W229" s="53"/>
      <c r="X229" s="53"/>
      <c r="Y229" s="53"/>
      <c r="Z229" s="45"/>
      <c r="AA229" s="45"/>
      <c r="AB229" s="45"/>
      <c r="AC229" s="92"/>
      <c r="AD229" s="92"/>
      <c r="AE229" s="92"/>
      <c r="AF229" s="92"/>
      <c r="AG229" s="92"/>
      <c r="AH229" s="92"/>
      <c r="AI229" s="92"/>
      <c r="AJ229" s="92"/>
      <c r="AK229" s="92"/>
      <c r="AL229" s="225"/>
      <c r="AM229" s="92"/>
      <c r="AN229" s="92"/>
      <c r="AO229" s="92"/>
      <c r="AP229" s="45"/>
      <c r="AQ229" s="45"/>
      <c r="AR229" s="45"/>
      <c r="AS229" s="45"/>
      <c r="AT229" s="45"/>
      <c r="AU229" s="45"/>
      <c r="AV229" s="45"/>
      <c r="AW229" s="45"/>
      <c r="AX229" s="50"/>
      <c r="AY229" s="50"/>
      <c r="AZ229" s="50"/>
      <c r="BA229" s="50"/>
      <c r="BB229" s="50"/>
      <c r="BC229" s="50"/>
      <c r="BD229" s="50"/>
      <c r="BE229" s="42"/>
      <c r="BF229" s="42"/>
      <c r="BG229" s="42"/>
      <c r="BH229" s="42"/>
      <c r="BI229" s="42"/>
      <c r="BJ229" s="42"/>
      <c r="BK229" s="42"/>
      <c r="BL229" s="42"/>
      <c r="BM229" s="42"/>
      <c r="BN229" s="42"/>
      <c r="BO229" s="42"/>
      <c r="BP229" s="42"/>
      <c r="BQ229" s="42"/>
      <c r="BR229" s="42"/>
      <c r="BS229" s="42"/>
      <c r="BT229" s="42"/>
      <c r="BU229" s="42"/>
      <c r="BV229" s="42"/>
      <c r="BW229" s="42"/>
    </row>
    <row r="230" spans="1:75" s="74" customFormat="1" ht="33" customHeight="1" x14ac:dyDescent="0.2">
      <c r="A230" s="433" t="str">
        <f ca="1">Translations!$A$75</f>
        <v>Module</v>
      </c>
      <c r="B230" s="434"/>
      <c r="C230" s="178"/>
      <c r="D230" s="723" t="s">
        <v>1009</v>
      </c>
      <c r="E230" s="723"/>
      <c r="F230" s="723"/>
      <c r="G230" s="723"/>
      <c r="H230" s="723"/>
      <c r="I230" s="723"/>
      <c r="J230" s="723"/>
      <c r="K230" s="217"/>
      <c r="L230" s="218"/>
      <c r="M230" s="218"/>
      <c r="N230" s="218"/>
      <c r="O230" s="218"/>
      <c r="P230" s="218"/>
      <c r="Q230" s="218"/>
      <c r="R230" s="218"/>
      <c r="S230" s="218"/>
      <c r="T230" s="218"/>
      <c r="U230" s="218"/>
      <c r="V230" s="218"/>
      <c r="W230" s="218"/>
      <c r="X230" s="218"/>
      <c r="Y230" s="218"/>
      <c r="Z230" s="218"/>
      <c r="AA230" s="218"/>
      <c r="AB230" s="77"/>
      <c r="AC230" s="92"/>
      <c r="AD230" s="92"/>
      <c r="AE230" s="92"/>
      <c r="AF230" s="92"/>
      <c r="AG230" s="92"/>
      <c r="AH230" s="92"/>
      <c r="AI230" s="92"/>
      <c r="AJ230" s="92"/>
      <c r="AK230" s="92"/>
      <c r="AL230" s="225"/>
      <c r="AM230" s="63">
        <f ca="1">INDIRECT(ADDRESS(MATCH(D230,ModulesInCmp,0)+MATCH(CmpIdSelected,Modules!$A:$A,0)-1,3,1,TRUE,"Modules"))</f>
        <v>11</v>
      </c>
      <c r="AN230" s="92"/>
      <c r="AO230" s="92"/>
      <c r="AP230" s="92"/>
      <c r="AQ230" s="92"/>
      <c r="AR230" s="92"/>
      <c r="AS230" s="92"/>
      <c r="AT230" s="92"/>
      <c r="AU230" s="92"/>
      <c r="AV230" s="85"/>
      <c r="AW230" s="85"/>
      <c r="AX230" s="85"/>
      <c r="AY230" s="85"/>
      <c r="AZ230" s="85"/>
      <c r="BA230" s="85"/>
      <c r="BB230" s="85"/>
      <c r="BC230" s="94"/>
      <c r="BD230" s="94"/>
      <c r="BE230" s="94"/>
      <c r="BF230" s="94"/>
      <c r="BG230" s="94"/>
      <c r="BH230" s="94"/>
      <c r="BI230" s="94"/>
      <c r="BJ230" s="94"/>
      <c r="BK230" s="94"/>
      <c r="BL230" s="94"/>
      <c r="BM230" s="94"/>
      <c r="BN230" s="94"/>
      <c r="BO230" s="94"/>
      <c r="BP230" s="94"/>
      <c r="BQ230" s="94"/>
      <c r="BR230" s="94"/>
      <c r="BS230" s="94"/>
      <c r="BT230" s="94"/>
      <c r="BU230" s="94"/>
    </row>
    <row r="231" spans="1:75" s="163" customFormat="1" ht="18" customHeight="1" x14ac:dyDescent="0.2">
      <c r="A231" s="144" t="str">
        <f ca="1">Translations!$A$76</f>
        <v>Measurement framework for module</v>
      </c>
      <c r="B231" s="160"/>
      <c r="C231" s="160"/>
      <c r="D231" s="160"/>
      <c r="E231" s="160"/>
      <c r="F231" s="160"/>
      <c r="G231" s="100"/>
      <c r="H231" s="100"/>
      <c r="I231" s="100"/>
      <c r="J231" s="100"/>
      <c r="K231" s="100"/>
      <c r="L231" s="100"/>
      <c r="M231" s="100"/>
      <c r="N231" s="100"/>
      <c r="O231" s="100"/>
      <c r="P231" s="100"/>
      <c r="Q231" s="100"/>
      <c r="R231" s="414"/>
      <c r="S231" s="414"/>
      <c r="T231" s="414"/>
      <c r="U231" s="414"/>
      <c r="V231" s="414"/>
      <c r="W231" s="414"/>
      <c r="X231" s="414"/>
      <c r="Y231" s="414"/>
      <c r="Z231" s="414"/>
      <c r="AA231" s="414"/>
      <c r="AB231" s="415"/>
      <c r="AC231" s="92"/>
      <c r="AD231" s="92"/>
      <c r="AE231" s="92"/>
      <c r="AF231" s="92"/>
      <c r="AG231" s="92"/>
      <c r="AH231" s="92"/>
      <c r="AI231" s="92"/>
      <c r="AJ231" s="92"/>
      <c r="AK231" s="92"/>
      <c r="AL231" s="225"/>
      <c r="AM231" s="92">
        <f ca="1">INDIRECT(ADDRESS(ROW()-1,COLUMN()))</f>
        <v>11</v>
      </c>
      <c r="AN231" s="92"/>
      <c r="AO231" s="92"/>
      <c r="AP231" s="92"/>
      <c r="AQ231" s="92"/>
      <c r="AR231" s="92"/>
      <c r="AS231" s="92"/>
      <c r="AT231" s="92"/>
      <c r="AU231" s="92"/>
      <c r="AV231" s="92"/>
      <c r="AW231" s="161"/>
      <c r="AX231" s="161"/>
      <c r="AY231" s="161"/>
      <c r="AZ231" s="161"/>
      <c r="BA231" s="161"/>
      <c r="BB231" s="161"/>
      <c r="BC231" s="161"/>
      <c r="BD231" s="162"/>
      <c r="BE231" s="162"/>
      <c r="BF231" s="162"/>
      <c r="BG231" s="162"/>
      <c r="BH231" s="162"/>
      <c r="BI231" s="162"/>
      <c r="BJ231" s="162"/>
      <c r="BK231" s="162"/>
      <c r="BL231" s="162"/>
      <c r="BM231" s="162"/>
      <c r="BN231" s="162"/>
      <c r="BO231" s="162"/>
      <c r="BP231" s="162"/>
      <c r="BQ231" s="162"/>
      <c r="BR231" s="162"/>
      <c r="BS231" s="162"/>
      <c r="BT231" s="162"/>
      <c r="BU231" s="162"/>
      <c r="BV231" s="162"/>
    </row>
    <row r="232" spans="1:75" s="75" customFormat="1" ht="25.15" customHeight="1" x14ac:dyDescent="0.2">
      <c r="A232" s="355" t="str">
        <f ca="1">Translations!$A$49</f>
        <v xml:space="preserve">Coverage/Output indicator </v>
      </c>
      <c r="B232" s="355"/>
      <c r="C232" s="386"/>
      <c r="D232" s="686" t="str">
        <f ca="1">Translations!$A$67</f>
        <v>Responsible Principal Recipient(s)</v>
      </c>
      <c r="E232" s="354" t="str">
        <f ca="1">Translations!$A$66</f>
        <v>Tied to</v>
      </c>
      <c r="F232" s="386"/>
      <c r="G232" s="354" t="str">
        <f ca="1">Translations!$A$29</f>
        <v>Baseline</v>
      </c>
      <c r="H232" s="355"/>
      <c r="I232" s="355"/>
      <c r="J232" s="386"/>
      <c r="K232" s="354"/>
      <c r="L232" s="355"/>
      <c r="M232" s="374" t="str">
        <f ca="1">Translations!$A$30</f>
        <v>Targets</v>
      </c>
      <c r="N232" s="375"/>
      <c r="O232" s="375"/>
      <c r="P232" s="375"/>
      <c r="Q232" s="375"/>
      <c r="R232" s="376"/>
      <c r="S232" s="505" t="str">
        <f ca="1">Translations!$A$82</f>
        <v>Target assumptions</v>
      </c>
      <c r="T232" s="506"/>
      <c r="U232" s="506"/>
      <c r="V232" s="506"/>
      <c r="W232" s="506"/>
      <c r="X232" s="506"/>
      <c r="Y232" s="506"/>
      <c r="Z232" s="506"/>
      <c r="AA232" s="506"/>
      <c r="AB232" s="507"/>
      <c r="AC232" s="134"/>
      <c r="AD232" s="219"/>
      <c r="AE232" s="219"/>
      <c r="AF232" s="219"/>
      <c r="AG232" s="219"/>
      <c r="AH232" s="219"/>
      <c r="AI232" s="219"/>
      <c r="AJ232" s="229" t="e">
        <f ca="1">MATCH(AM231,'Coverage ind'!$A:$A,0)-1</f>
        <v>#N/A</v>
      </c>
      <c r="AK232" s="229">
        <f ca="1">COUNTIF('Coverage ind'!A:A,'Concept Note'!AM231)</f>
        <v>0</v>
      </c>
      <c r="AL232" s="685" t="e">
        <f ca="1">MATCH(AM231,'Coverage ind'!$A:$A,0)-1</f>
        <v>#N/A</v>
      </c>
      <c r="AM232" s="63">
        <f ca="1">INDIRECT(ADDRESS(ROW()-1,COLUMN()))</f>
        <v>11</v>
      </c>
      <c r="AN232" s="180"/>
      <c r="AO232" s="180"/>
      <c r="AP232" s="219"/>
      <c r="AQ232" s="219"/>
      <c r="AR232" s="683"/>
      <c r="AS232" s="683"/>
      <c r="AT232" s="683"/>
      <c r="AU232" s="683"/>
      <c r="AV232" s="683"/>
      <c r="AW232" s="85"/>
      <c r="AX232" s="85"/>
      <c r="AY232" s="85"/>
      <c r="AZ232" s="85"/>
      <c r="BA232" s="85"/>
      <c r="BB232" s="85"/>
      <c r="BC232" s="85"/>
      <c r="BD232" s="95"/>
      <c r="BE232" s="95"/>
      <c r="BF232" s="95"/>
      <c r="BG232" s="95"/>
      <c r="BH232" s="95"/>
      <c r="BI232" s="95"/>
      <c r="BJ232" s="95"/>
      <c r="BK232" s="95"/>
      <c r="BL232" s="95"/>
      <c r="BM232" s="95"/>
      <c r="BN232" s="95"/>
      <c r="BO232" s="95"/>
      <c r="BP232" s="95"/>
      <c r="BQ232" s="95"/>
      <c r="BR232" s="95"/>
      <c r="BS232" s="95"/>
      <c r="BT232" s="95"/>
      <c r="BU232" s="95"/>
      <c r="BV232" s="95"/>
    </row>
    <row r="233" spans="1:75" s="75" customFormat="1" ht="26.25" customHeight="1" x14ac:dyDescent="0.2">
      <c r="A233" s="358"/>
      <c r="B233" s="358"/>
      <c r="C233" s="405"/>
      <c r="D233" s="687"/>
      <c r="E233" s="357"/>
      <c r="F233" s="405"/>
      <c r="G233" s="387"/>
      <c r="H233" s="391"/>
      <c r="I233" s="391"/>
      <c r="J233" s="388"/>
      <c r="K233" s="357"/>
      <c r="L233" s="358"/>
      <c r="M233" s="374" t="str">
        <f ca="1">Translations!$A$34</f>
        <v>Year 1</v>
      </c>
      <c r="N233" s="376"/>
      <c r="O233" s="374" t="str">
        <f ca="1">Translations!$A$35</f>
        <v>Year 2</v>
      </c>
      <c r="P233" s="376"/>
      <c r="Q233" s="374" t="str">
        <f ca="1">Translations!$A$36</f>
        <v>Year 3</v>
      </c>
      <c r="R233" s="376"/>
      <c r="S233" s="508" t="str">
        <f ca="1">Translations!$A$83</f>
        <v>Please describe: 1) overall assumptions used in calculating targets, 2) anticipated rate of scale-up, 3) population size estimates, 4) description of indicator/package of services, 5) data source, 6) other relevant information</v>
      </c>
      <c r="T233" s="509"/>
      <c r="U233" s="509"/>
      <c r="V233" s="509"/>
      <c r="W233" s="509"/>
      <c r="X233" s="509"/>
      <c r="Y233" s="509"/>
      <c r="Z233" s="509"/>
      <c r="AA233" s="509"/>
      <c r="AB233" s="510"/>
      <c r="AC233" s="134"/>
      <c r="AD233" s="219"/>
      <c r="AE233" s="219"/>
      <c r="AF233" s="219"/>
      <c r="AG233" s="219"/>
      <c r="AH233" s="219"/>
      <c r="AI233" s="219"/>
      <c r="AJ233" s="230" t="e">
        <f ca="1">INDIRECT(ADDRESS(ROW()-1,COLUMN()))</f>
        <v>#N/A</v>
      </c>
      <c r="AK233" s="230">
        <f ca="1">INDIRECT(ADDRESS(ROW()-1,COLUMN()))</f>
        <v>0</v>
      </c>
      <c r="AL233" s="685"/>
      <c r="AM233" s="63">
        <f ca="1">INDIRECT(ADDRESS(ROW()-1,COLUMN()))</f>
        <v>11</v>
      </c>
      <c r="AN233" s="180"/>
      <c r="AO233" s="180"/>
      <c r="AP233" s="219"/>
      <c r="AQ233" s="219"/>
      <c r="AR233" s="683"/>
      <c r="AS233" s="683"/>
      <c r="AT233" s="683"/>
      <c r="AU233" s="683"/>
      <c r="AV233" s="683"/>
      <c r="AW233" s="85"/>
      <c r="AX233" s="85"/>
      <c r="AY233" s="85"/>
      <c r="AZ233" s="85"/>
      <c r="BA233" s="85"/>
      <c r="BB233" s="85"/>
      <c r="BC233" s="85"/>
      <c r="BD233" s="95"/>
      <c r="BE233" s="95"/>
      <c r="BF233" s="95"/>
      <c r="BG233" s="95"/>
      <c r="BH233" s="95"/>
      <c r="BI233" s="95"/>
      <c r="BJ233" s="95"/>
      <c r="BK233" s="95"/>
      <c r="BL233" s="95"/>
      <c r="BM233" s="95"/>
      <c r="BN233" s="95"/>
      <c r="BO233" s="95"/>
      <c r="BP233" s="95"/>
      <c r="BQ233" s="95"/>
      <c r="BR233" s="95"/>
      <c r="BS233" s="95"/>
      <c r="BT233" s="95"/>
      <c r="BU233" s="95"/>
      <c r="BV233" s="95"/>
    </row>
    <row r="234" spans="1:75" s="75" customFormat="1" ht="18" customHeight="1" x14ac:dyDescent="0.2">
      <c r="A234" s="358"/>
      <c r="B234" s="358"/>
      <c r="C234" s="405"/>
      <c r="D234" s="687"/>
      <c r="E234" s="357"/>
      <c r="F234" s="405"/>
      <c r="G234" s="214" t="s">
        <v>15</v>
      </c>
      <c r="H234" s="389" t="s">
        <v>14</v>
      </c>
      <c r="I234" s="389" t="str">
        <f ca="1">Translations!$A$32</f>
        <v xml:space="preserve">Year </v>
      </c>
      <c r="J234" s="389" t="str">
        <f ca="1">Translations!$A$33</f>
        <v>Source</v>
      </c>
      <c r="K234" s="357"/>
      <c r="L234" s="416"/>
      <c r="M234" s="156" t="s">
        <v>15</v>
      </c>
      <c r="N234" s="503" t="s">
        <v>14</v>
      </c>
      <c r="O234" s="156" t="s">
        <v>15</v>
      </c>
      <c r="P234" s="503" t="s">
        <v>14</v>
      </c>
      <c r="Q234" s="156" t="s">
        <v>15</v>
      </c>
      <c r="R234" s="503" t="s">
        <v>14</v>
      </c>
      <c r="S234" s="508"/>
      <c r="T234" s="509"/>
      <c r="U234" s="509"/>
      <c r="V234" s="509"/>
      <c r="W234" s="509"/>
      <c r="X234" s="509"/>
      <c r="Y234" s="509"/>
      <c r="Z234" s="509"/>
      <c r="AA234" s="509"/>
      <c r="AB234" s="510"/>
      <c r="AC234" s="134"/>
      <c r="AD234" s="219"/>
      <c r="AE234" s="219"/>
      <c r="AF234" s="219"/>
      <c r="AG234" s="219"/>
      <c r="AH234" s="219"/>
      <c r="AI234" s="219"/>
      <c r="AJ234" s="230" t="e">
        <f t="shared" ref="AJ234:AK239" ca="1" si="14">INDIRECT(ADDRESS(ROW()-1,COLUMN()))</f>
        <v>#N/A</v>
      </c>
      <c r="AK234" s="230">
        <f t="shared" ca="1" si="14"/>
        <v>0</v>
      </c>
      <c r="AL234" s="685"/>
      <c r="AM234" s="63">
        <f t="shared" ref="AM234:AM243" ca="1" si="15">INDIRECT(ADDRESS(ROW()-1,COLUMN()))</f>
        <v>11</v>
      </c>
      <c r="AN234" s="180"/>
      <c r="AO234" s="180"/>
      <c r="AP234" s="219"/>
      <c r="AQ234" s="219"/>
      <c r="AR234" s="683"/>
      <c r="AS234" s="683"/>
      <c r="AT234" s="683"/>
      <c r="AU234" s="683"/>
      <c r="AV234" s="683"/>
      <c r="AW234" s="85"/>
      <c r="AX234" s="85"/>
      <c r="AY234" s="85"/>
      <c r="AZ234" s="85"/>
      <c r="BA234" s="85"/>
      <c r="BB234" s="85"/>
      <c r="BC234" s="85"/>
      <c r="BD234" s="95"/>
      <c r="BE234" s="95"/>
      <c r="BF234" s="95"/>
      <c r="BG234" s="95"/>
      <c r="BH234" s="95"/>
      <c r="BI234" s="95"/>
      <c r="BJ234" s="95"/>
      <c r="BK234" s="95"/>
      <c r="BL234" s="95"/>
      <c r="BM234" s="95"/>
      <c r="BN234" s="95"/>
      <c r="BO234" s="95"/>
      <c r="BP234" s="95"/>
      <c r="BQ234" s="95"/>
      <c r="BR234" s="95"/>
      <c r="BS234" s="95"/>
      <c r="BT234" s="95"/>
      <c r="BU234" s="95"/>
      <c r="BV234" s="95"/>
    </row>
    <row r="235" spans="1:75" s="75" customFormat="1" ht="18" customHeight="1" x14ac:dyDescent="0.2">
      <c r="A235" s="391"/>
      <c r="B235" s="391"/>
      <c r="C235" s="388"/>
      <c r="D235" s="688"/>
      <c r="E235" s="387"/>
      <c r="F235" s="388"/>
      <c r="G235" s="210" t="s">
        <v>13</v>
      </c>
      <c r="H235" s="390"/>
      <c r="I235" s="390"/>
      <c r="J235" s="390"/>
      <c r="K235" s="387"/>
      <c r="L235" s="417"/>
      <c r="M235" s="157" t="s">
        <v>13</v>
      </c>
      <c r="N235" s="504"/>
      <c r="O235" s="157" t="s">
        <v>13</v>
      </c>
      <c r="P235" s="504"/>
      <c r="Q235" s="157" t="s">
        <v>13</v>
      </c>
      <c r="R235" s="504"/>
      <c r="S235" s="511"/>
      <c r="T235" s="512"/>
      <c r="U235" s="512"/>
      <c r="V235" s="512"/>
      <c r="W235" s="512"/>
      <c r="X235" s="512"/>
      <c r="Y235" s="512"/>
      <c r="Z235" s="512"/>
      <c r="AA235" s="512"/>
      <c r="AB235" s="513"/>
      <c r="AC235" s="134"/>
      <c r="AD235" s="219"/>
      <c r="AE235" s="219"/>
      <c r="AF235" s="219"/>
      <c r="AG235" s="219"/>
      <c r="AH235" s="219"/>
      <c r="AI235" s="219"/>
      <c r="AJ235" s="230" t="e">
        <f t="shared" ca="1" si="14"/>
        <v>#N/A</v>
      </c>
      <c r="AK235" s="230">
        <f t="shared" ca="1" si="14"/>
        <v>0</v>
      </c>
      <c r="AL235" s="685"/>
      <c r="AM235" s="63">
        <f t="shared" ca="1" si="15"/>
        <v>11</v>
      </c>
      <c r="AN235" s="180"/>
      <c r="AO235" s="180"/>
      <c r="AP235" s="219"/>
      <c r="AQ235" s="219"/>
      <c r="AR235" s="683"/>
      <c r="AS235" s="683"/>
      <c r="AT235" s="683"/>
      <c r="AU235" s="683"/>
      <c r="AV235" s="683"/>
      <c r="AW235" s="85"/>
      <c r="AX235" s="85"/>
      <c r="AY235" s="85"/>
      <c r="AZ235" s="85"/>
      <c r="BA235" s="85"/>
      <c r="BB235" s="85"/>
      <c r="BC235" s="85"/>
      <c r="BD235" s="95"/>
      <c r="BE235" s="95"/>
      <c r="BF235" s="95"/>
      <c r="BG235" s="95"/>
      <c r="BH235" s="95"/>
      <c r="BI235" s="95"/>
      <c r="BJ235" s="95"/>
      <c r="BK235" s="95"/>
      <c r="BL235" s="95"/>
      <c r="BM235" s="95"/>
      <c r="BN235" s="95"/>
      <c r="BO235" s="95"/>
      <c r="BP235" s="95"/>
      <c r="BQ235" s="95"/>
      <c r="BR235" s="95"/>
      <c r="BS235" s="95"/>
      <c r="BT235" s="95"/>
      <c r="BU235" s="95"/>
      <c r="BV235" s="95"/>
    </row>
    <row r="236" spans="1:75" s="86" customFormat="1" ht="15" customHeight="1" x14ac:dyDescent="0.2">
      <c r="A236" s="637" t="str">
        <f ca="1">IFERROR(INDIRECT(ADDRESS(AL236,5,1,TRUE,"Coverage ind")),"")</f>
        <v/>
      </c>
      <c r="B236" s="638"/>
      <c r="C236" s="638"/>
      <c r="D236" s="607" t="str">
        <f ca="1">Translations!$A$72</f>
        <v>Please select…</v>
      </c>
      <c r="E236" s="610" t="str">
        <f ca="1">Translations!$A$72</f>
        <v>Please select…</v>
      </c>
      <c r="F236" s="611"/>
      <c r="G236" s="534"/>
      <c r="H236" s="514" t="str">
        <f>IF($G238&lt;&gt;"",$G236/$G238,"")</f>
        <v/>
      </c>
      <c r="I236" s="537"/>
      <c r="J236" s="634" t="str">
        <f ca="1">Translations!$A$72</f>
        <v>Please select…</v>
      </c>
      <c r="K236" s="616" t="str">
        <f ca="1">Translations!$A$78</f>
        <v>Indicative</v>
      </c>
      <c r="L236" s="617"/>
      <c r="M236" s="183"/>
      <c r="N236" s="514" t="str">
        <f>IF(M237&lt;&gt;"",M236/M237,"")</f>
        <v/>
      </c>
      <c r="O236" s="185"/>
      <c r="P236" s="514" t="str">
        <f>IF(O237&lt;&gt;"",O236/O237,"")</f>
        <v/>
      </c>
      <c r="Q236" s="185"/>
      <c r="R236" s="514" t="str">
        <f>IF(Q237&lt;&gt;"",Q236/Q237,"")</f>
        <v/>
      </c>
      <c r="S236" s="480"/>
      <c r="T236" s="481"/>
      <c r="U236" s="481"/>
      <c r="V236" s="481"/>
      <c r="W236" s="481"/>
      <c r="X236" s="481"/>
      <c r="Y236" s="481"/>
      <c r="Z236" s="481"/>
      <c r="AA236" s="481"/>
      <c r="AB236" s="482"/>
      <c r="AC236" s="141"/>
      <c r="AD236" s="220"/>
      <c r="AE236" s="220"/>
      <c r="AF236" s="220"/>
      <c r="AG236" s="220"/>
      <c r="AH236" s="221"/>
      <c r="AI236" s="221"/>
      <c r="AJ236" s="230" t="e">
        <f t="shared" ca="1" si="14"/>
        <v>#N/A</v>
      </c>
      <c r="AK236" s="230">
        <f t="shared" ca="1" si="14"/>
        <v>0</v>
      </c>
      <c r="AL236" s="684" t="str">
        <f ca="1">IFERROR(IF(INDIRECT(ADDRESS(ROW()-4,COLUMN()))+1&lt;=AJ236+AK236,INDIRECT(ADDRESS(ROW()-4,COLUMN()))+1,""),"")</f>
        <v/>
      </c>
      <c r="AM236" s="63">
        <f ca="1">INDIRECT(ADDRESS(ROW()-1,COLUMN()))</f>
        <v>11</v>
      </c>
      <c r="AN236" s="181"/>
      <c r="AO236" s="181"/>
      <c r="AP236" s="220"/>
      <c r="AQ236" s="220"/>
      <c r="AR236" s="682"/>
      <c r="AS236" s="682"/>
      <c r="AT236" s="682"/>
      <c r="AU236" s="682"/>
      <c r="AV236" s="682"/>
      <c r="AW236" s="85"/>
      <c r="AX236" s="85"/>
      <c r="AY236" s="85"/>
      <c r="AZ236" s="85"/>
      <c r="BA236" s="85"/>
      <c r="BB236" s="85"/>
      <c r="BC236" s="85"/>
    </row>
    <row r="237" spans="1:75" s="86" customFormat="1" x14ac:dyDescent="0.2">
      <c r="A237" s="639"/>
      <c r="B237" s="640"/>
      <c r="C237" s="640"/>
      <c r="D237" s="608"/>
      <c r="E237" s="612"/>
      <c r="F237" s="613"/>
      <c r="G237" s="535"/>
      <c r="H237" s="536"/>
      <c r="I237" s="538"/>
      <c r="J237" s="635"/>
      <c r="K237" s="618"/>
      <c r="L237" s="619"/>
      <c r="M237" s="184"/>
      <c r="N237" s="515"/>
      <c r="O237" s="186"/>
      <c r="P237" s="515"/>
      <c r="Q237" s="186"/>
      <c r="R237" s="515"/>
      <c r="S237" s="483"/>
      <c r="T237" s="484"/>
      <c r="U237" s="484"/>
      <c r="V237" s="484"/>
      <c r="W237" s="484"/>
      <c r="X237" s="484"/>
      <c r="Y237" s="484"/>
      <c r="Z237" s="484"/>
      <c r="AA237" s="484"/>
      <c r="AB237" s="485"/>
      <c r="AC237" s="141"/>
      <c r="AD237" s="220"/>
      <c r="AE237" s="220"/>
      <c r="AF237" s="220"/>
      <c r="AG237" s="220"/>
      <c r="AH237" s="221"/>
      <c r="AI237" s="221"/>
      <c r="AJ237" s="230" t="e">
        <f t="shared" ca="1" si="14"/>
        <v>#N/A</v>
      </c>
      <c r="AK237" s="230">
        <f t="shared" ca="1" si="14"/>
        <v>0</v>
      </c>
      <c r="AL237" s="684"/>
      <c r="AM237" s="63">
        <f t="shared" ca="1" si="15"/>
        <v>11</v>
      </c>
      <c r="AN237" s="181"/>
      <c r="AO237" s="181"/>
      <c r="AP237" s="220"/>
      <c r="AQ237" s="220"/>
      <c r="AR237" s="682"/>
      <c r="AS237" s="682"/>
      <c r="AT237" s="682"/>
      <c r="AU237" s="682"/>
      <c r="AV237" s="682"/>
      <c r="AW237" s="85"/>
      <c r="AX237" s="85"/>
      <c r="AY237" s="85"/>
      <c r="AZ237" s="85"/>
      <c r="BA237" s="85"/>
      <c r="BB237" s="85"/>
      <c r="BC237" s="85"/>
    </row>
    <row r="238" spans="1:75" s="86" customFormat="1" ht="15" customHeight="1" x14ac:dyDescent="0.2">
      <c r="A238" s="639"/>
      <c r="B238" s="640"/>
      <c r="C238" s="640"/>
      <c r="D238" s="608"/>
      <c r="E238" s="612"/>
      <c r="F238" s="613"/>
      <c r="G238" s="534"/>
      <c r="H238" s="536"/>
      <c r="I238" s="538"/>
      <c r="J238" s="635"/>
      <c r="K238" s="656" t="str">
        <f ca="1">Translations!$A$79</f>
        <v>Above indicative</v>
      </c>
      <c r="L238" s="657"/>
      <c r="M238" s="183"/>
      <c r="N238" s="514" t="str">
        <f>IF(M239&lt;&gt;"",M238/M239,"")</f>
        <v/>
      </c>
      <c r="O238" s="185"/>
      <c r="P238" s="514" t="str">
        <f>IF(O239&lt;&gt;"",O238/O239,"")</f>
        <v/>
      </c>
      <c r="Q238" s="185"/>
      <c r="R238" s="514" t="str">
        <f>IF(Q239&lt;&gt;"",Q238/Q239,"")</f>
        <v/>
      </c>
      <c r="S238" s="483"/>
      <c r="T238" s="484"/>
      <c r="U238" s="484"/>
      <c r="V238" s="484"/>
      <c r="W238" s="484"/>
      <c r="X238" s="484"/>
      <c r="Y238" s="484"/>
      <c r="Z238" s="484"/>
      <c r="AA238" s="484"/>
      <c r="AB238" s="485"/>
      <c r="AC238" s="141"/>
      <c r="AD238" s="220"/>
      <c r="AE238" s="220"/>
      <c r="AF238" s="220"/>
      <c r="AG238" s="220"/>
      <c r="AH238" s="220"/>
      <c r="AI238" s="220"/>
      <c r="AJ238" s="230" t="e">
        <f t="shared" ca="1" si="14"/>
        <v>#N/A</v>
      </c>
      <c r="AK238" s="230">
        <f t="shared" ca="1" si="14"/>
        <v>0</v>
      </c>
      <c r="AL238" s="684"/>
      <c r="AM238" s="63">
        <f t="shared" ca="1" si="15"/>
        <v>11</v>
      </c>
      <c r="AN238" s="181"/>
      <c r="AO238" s="181"/>
      <c r="AP238" s="220"/>
      <c r="AQ238" s="220"/>
      <c r="AR238" s="682"/>
      <c r="AS238" s="682"/>
      <c r="AT238" s="682"/>
      <c r="AU238" s="682"/>
      <c r="AV238" s="682"/>
      <c r="AW238" s="85"/>
      <c r="AX238" s="85"/>
      <c r="AY238" s="85"/>
      <c r="AZ238" s="85"/>
      <c r="BA238" s="85"/>
      <c r="BB238" s="85"/>
      <c r="BC238" s="85"/>
    </row>
    <row r="239" spans="1:75" s="86" customFormat="1" x14ac:dyDescent="0.2">
      <c r="A239" s="641"/>
      <c r="B239" s="642"/>
      <c r="C239" s="642"/>
      <c r="D239" s="609"/>
      <c r="E239" s="614"/>
      <c r="F239" s="615"/>
      <c r="G239" s="535"/>
      <c r="H239" s="515"/>
      <c r="I239" s="539"/>
      <c r="J239" s="636"/>
      <c r="K239" s="658"/>
      <c r="L239" s="659"/>
      <c r="M239" s="184"/>
      <c r="N239" s="515"/>
      <c r="O239" s="186"/>
      <c r="P239" s="515"/>
      <c r="Q239" s="186"/>
      <c r="R239" s="515"/>
      <c r="S239" s="486"/>
      <c r="T239" s="487"/>
      <c r="U239" s="487"/>
      <c r="V239" s="487"/>
      <c r="W239" s="487"/>
      <c r="X239" s="487"/>
      <c r="Y239" s="487"/>
      <c r="Z239" s="487"/>
      <c r="AA239" s="487"/>
      <c r="AB239" s="488"/>
      <c r="AC239" s="141"/>
      <c r="AD239" s="220"/>
      <c r="AE239" s="220"/>
      <c r="AF239" s="220"/>
      <c r="AG239" s="220"/>
      <c r="AH239" s="220"/>
      <c r="AI239" s="220"/>
      <c r="AJ239" s="230" t="e">
        <f t="shared" ca="1" si="14"/>
        <v>#N/A</v>
      </c>
      <c r="AK239" s="230">
        <f t="shared" ca="1" si="14"/>
        <v>0</v>
      </c>
      <c r="AL239" s="684"/>
      <c r="AM239" s="63">
        <f t="shared" ca="1" si="15"/>
        <v>11</v>
      </c>
      <c r="AN239" s="181"/>
      <c r="AO239" s="181"/>
      <c r="AP239" s="220"/>
      <c r="AQ239" s="220"/>
      <c r="AR239" s="682"/>
      <c r="AS239" s="682"/>
      <c r="AT239" s="682"/>
      <c r="AU239" s="682"/>
      <c r="AV239" s="682"/>
      <c r="AW239" s="85"/>
      <c r="AX239" s="85"/>
      <c r="AY239" s="85"/>
      <c r="AZ239" s="85"/>
      <c r="BA239" s="85"/>
      <c r="BB239" s="85"/>
      <c r="BC239" s="85"/>
    </row>
    <row r="240" spans="1:75" s="163" customFormat="1" ht="18" customHeight="1" x14ac:dyDescent="0.2">
      <c r="A240" s="144" t="str">
        <f ca="1">Translations!$A$87</f>
        <v>Module budget</v>
      </c>
      <c r="B240" s="215"/>
      <c r="C240" s="215"/>
      <c r="D240" s="215"/>
      <c r="E240" s="215"/>
      <c r="F240" s="215"/>
      <c r="G240" s="215"/>
      <c r="H240" s="215"/>
      <c r="I240" s="215"/>
      <c r="J240" s="215"/>
      <c r="K240" s="215"/>
      <c r="L240" s="215"/>
      <c r="M240" s="215"/>
      <c r="N240" s="215"/>
      <c r="O240" s="215"/>
      <c r="P240" s="215"/>
      <c r="Q240" s="215"/>
      <c r="R240" s="215"/>
      <c r="S240" s="215"/>
      <c r="T240" s="215"/>
      <c r="U240" s="215"/>
      <c r="V240" s="215"/>
      <c r="W240" s="215"/>
      <c r="X240" s="215"/>
      <c r="Y240" s="215"/>
      <c r="Z240" s="215"/>
      <c r="AA240" s="215"/>
      <c r="AB240" s="216"/>
      <c r="AC240" s="92"/>
      <c r="AD240" s="92"/>
      <c r="AE240" s="92"/>
      <c r="AF240" s="92"/>
      <c r="AG240" s="92"/>
      <c r="AH240" s="92"/>
      <c r="AI240" s="92"/>
      <c r="AJ240" s="92"/>
      <c r="AK240" s="92"/>
      <c r="AL240" s="225"/>
      <c r="AM240" s="92">
        <f t="shared" ca="1" si="15"/>
        <v>11</v>
      </c>
      <c r="AN240" s="92"/>
      <c r="AO240" s="92"/>
      <c r="AP240" s="92"/>
      <c r="AQ240" s="92"/>
      <c r="AR240" s="92"/>
      <c r="AS240" s="92"/>
      <c r="AT240" s="92"/>
      <c r="AU240" s="92"/>
      <c r="AV240" s="161"/>
      <c r="AW240" s="161"/>
      <c r="AX240" s="161"/>
      <c r="AY240" s="161"/>
      <c r="AZ240" s="161"/>
      <c r="BA240" s="161"/>
      <c r="BB240" s="161"/>
      <c r="BC240" s="162"/>
      <c r="BD240" s="162"/>
      <c r="BE240" s="162"/>
      <c r="BF240" s="162"/>
      <c r="BG240" s="162"/>
      <c r="BH240" s="162"/>
      <c r="BI240" s="162"/>
      <c r="BJ240" s="162"/>
      <c r="BK240" s="162"/>
      <c r="BL240" s="162"/>
      <c r="BM240" s="162"/>
      <c r="BN240" s="162"/>
      <c r="BO240" s="162"/>
      <c r="BP240" s="162"/>
      <c r="BQ240" s="162"/>
      <c r="BR240" s="162"/>
      <c r="BS240" s="162"/>
      <c r="BT240" s="162"/>
      <c r="BU240" s="162"/>
    </row>
    <row r="241" spans="1:75" s="159" customFormat="1" ht="18" customHeight="1" x14ac:dyDescent="0.2">
      <c r="A241" s="555" t="str">
        <f ca="1">Translations!$A$84</f>
        <v>Indicative request for entire module</v>
      </c>
      <c r="B241" s="556"/>
      <c r="C241" s="556"/>
      <c r="D241" s="556"/>
      <c r="E241" s="557"/>
      <c r="F241" s="317">
        <f ca="1">SUMIF($K244:$K255,Translations!$A$78,$M244:$M255)+SUMIF($K244:$K255,Translations!$A$78,$O244:$O255)+SUMIF($K244:$K255,Translations!$A$78,$Q244:$Q255)</f>
        <v>8818292.6904761903</v>
      </c>
      <c r="G241" s="213"/>
      <c r="H241" s="213"/>
      <c r="I241" s="164"/>
      <c r="J241" s="558" t="str">
        <f ca="1">Translations!$A$85</f>
        <v>Above indicative request for entire module</v>
      </c>
      <c r="K241" s="559"/>
      <c r="L241" s="559"/>
      <c r="M241" s="559"/>
      <c r="N241" s="559"/>
      <c r="O241" s="559"/>
      <c r="P241" s="559"/>
      <c r="Q241" s="654">
        <f ca="1">SUMIF($K244:$K255,Translations!$A$79,$M244:$M255)+SUMIF($K244:$K255,Translations!$A$79,$O244:$O255)+SUMIF($K244:$K255,Translations!$A$79,$Q244:$Q255)</f>
        <v>0</v>
      </c>
      <c r="R241" s="655"/>
      <c r="S241" s="562"/>
      <c r="T241" s="562"/>
      <c r="U241" s="562"/>
      <c r="V241" s="164"/>
      <c r="W241" s="164"/>
      <c r="X241" s="164"/>
      <c r="Y241" s="164"/>
      <c r="Z241" s="164"/>
      <c r="AA241" s="164"/>
      <c r="AB241" s="165"/>
      <c r="AC241" s="96"/>
      <c r="AD241" s="96"/>
      <c r="AE241" s="96"/>
      <c r="AF241" s="96"/>
      <c r="AG241" s="96"/>
      <c r="AH241" s="96"/>
      <c r="AI241" s="96"/>
      <c r="AJ241" s="96"/>
      <c r="AK241" s="96"/>
      <c r="AL241" s="226"/>
      <c r="AM241" s="63">
        <f t="shared" ca="1" si="15"/>
        <v>11</v>
      </c>
      <c r="AN241" s="182">
        <f ca="1">F241</f>
        <v>8818292.6904761903</v>
      </c>
      <c r="AO241" s="182">
        <f ca="1">Q241</f>
        <v>0</v>
      </c>
      <c r="AP241" s="96"/>
      <c r="AQ241" s="96"/>
      <c r="AR241" s="96"/>
      <c r="AS241" s="96"/>
      <c r="AT241" s="96"/>
      <c r="AU241" s="96"/>
      <c r="AV241" s="116"/>
      <c r="AW241" s="116"/>
      <c r="AX241" s="116"/>
      <c r="AY241" s="116"/>
      <c r="AZ241" s="116"/>
      <c r="BA241" s="116"/>
      <c r="BB241" s="116"/>
      <c r="BC241" s="158"/>
      <c r="BD241" s="158"/>
      <c r="BE241" s="158"/>
      <c r="BF241" s="158"/>
      <c r="BG241" s="158"/>
      <c r="BH241" s="158"/>
      <c r="BI241" s="158"/>
      <c r="BJ241" s="158"/>
      <c r="BK241" s="158"/>
      <c r="BL241" s="158"/>
      <c r="BM241" s="158"/>
      <c r="BN241" s="158"/>
      <c r="BO241" s="158"/>
      <c r="BP241" s="158"/>
      <c r="BQ241" s="158"/>
      <c r="BR241" s="158"/>
      <c r="BS241" s="158"/>
      <c r="BT241" s="158"/>
      <c r="BU241" s="158"/>
    </row>
    <row r="242" spans="1:75" s="104" customFormat="1" ht="30.75" customHeight="1" x14ac:dyDescent="0.2">
      <c r="A242" s="354" t="str">
        <f ca="1">Translations!$A$86</f>
        <v>Intervention</v>
      </c>
      <c r="B242" s="355"/>
      <c r="C242" s="386"/>
      <c r="D242" s="563" t="str">
        <f ca="1">Translations!$A$88</f>
        <v>Description of Intervention</v>
      </c>
      <c r="E242" s="564"/>
      <c r="F242" s="564"/>
      <c r="G242" s="564"/>
      <c r="H242" s="564"/>
      <c r="I242" s="565"/>
      <c r="J242" s="389" t="str">
        <f ca="1">Translations!$A$67</f>
        <v>Responsible Principal Recipient(s)</v>
      </c>
      <c r="K242" s="354" t="str">
        <f ca="1">Translations!$A$90</f>
        <v>Intervention budget (request to the Global Fund only)</v>
      </c>
      <c r="L242" s="355"/>
      <c r="M242" s="355"/>
      <c r="N242" s="355"/>
      <c r="O242" s="355"/>
      <c r="P242" s="355"/>
      <c r="Q242" s="355"/>
      <c r="R242" s="386"/>
      <c r="S242" s="563" t="str">
        <f ca="1">Translations!$A$91</f>
        <v>Cost Assumptions for the request to the Global Fund</v>
      </c>
      <c r="T242" s="564"/>
      <c r="U242" s="564"/>
      <c r="V242" s="564"/>
      <c r="W242" s="564"/>
      <c r="X242" s="564"/>
      <c r="Y242" s="565"/>
      <c r="Z242" s="551" t="str">
        <f ca="1">Translations!$A$93</f>
        <v>Other funding received for this intervention (including scope of activities funded)</v>
      </c>
      <c r="AA242" s="551"/>
      <c r="AB242" s="551"/>
      <c r="AC242" s="92"/>
      <c r="AD242" s="92"/>
      <c r="AE242" s="92"/>
      <c r="AF242" s="92"/>
      <c r="AG242" s="92"/>
      <c r="AH242" s="92"/>
      <c r="AI242" s="92"/>
      <c r="AJ242" s="92"/>
      <c r="AK242" s="92"/>
      <c r="AL242" s="225"/>
      <c r="AM242" s="63">
        <f t="shared" ca="1" si="15"/>
        <v>11</v>
      </c>
      <c r="AN242" s="92"/>
      <c r="AO242" s="92"/>
      <c r="AP242" s="92"/>
      <c r="AQ242" s="92"/>
      <c r="AR242" s="92"/>
      <c r="AS242" s="92"/>
      <c r="AT242" s="92"/>
      <c r="AU242" s="92"/>
      <c r="AV242" s="92"/>
      <c r="AW242" s="92"/>
      <c r="AX242" s="85"/>
      <c r="AY242" s="85"/>
      <c r="AZ242" s="85"/>
      <c r="BA242" s="85"/>
      <c r="BB242" s="85"/>
      <c r="BC242" s="85"/>
      <c r="BD242" s="85"/>
      <c r="BE242" s="90"/>
      <c r="BF242" s="90"/>
      <c r="BG242" s="90"/>
      <c r="BH242" s="90"/>
      <c r="BI242" s="90"/>
      <c r="BJ242" s="90"/>
      <c r="BK242" s="90"/>
      <c r="BL242" s="90"/>
      <c r="BM242" s="90"/>
      <c r="BN242" s="90"/>
      <c r="BO242" s="90"/>
      <c r="BP242" s="90"/>
      <c r="BQ242" s="90"/>
      <c r="BR242" s="90"/>
      <c r="BS242" s="90"/>
      <c r="BT242" s="90"/>
      <c r="BU242" s="90"/>
      <c r="BV242" s="90"/>
      <c r="BW242" s="90"/>
    </row>
    <row r="243" spans="1:75" s="104" customFormat="1" ht="67.5" customHeight="1" x14ac:dyDescent="0.2">
      <c r="A243" s="387"/>
      <c r="B243" s="391"/>
      <c r="C243" s="388"/>
      <c r="D243" s="552" t="str">
        <f ca="1">Translations!$A$89</f>
        <v>Please describe 1) rationale for Global Fund support, 2) linkages to national strategic plan, 3) target population &amp; geographic scope,  4) implementation approach, and 5) other relevant information. Please differentiate between scope of indicative and above indicative request</v>
      </c>
      <c r="E243" s="553"/>
      <c r="F243" s="553"/>
      <c r="G243" s="553"/>
      <c r="H243" s="553"/>
      <c r="I243" s="554"/>
      <c r="J243" s="390"/>
      <c r="K243" s="211"/>
      <c r="L243" s="212"/>
      <c r="M243" s="374" t="str">
        <f ca="1">Translations!$A$34</f>
        <v>Year 1</v>
      </c>
      <c r="N243" s="376"/>
      <c r="O243" s="551" t="str">
        <f ca="1">Translations!$A$35</f>
        <v>Year 2</v>
      </c>
      <c r="P243" s="551"/>
      <c r="Q243" s="551" t="str">
        <f ca="1">Translations!$A$36</f>
        <v>Year 3</v>
      </c>
      <c r="R243" s="551"/>
      <c r="S243" s="552" t="str">
        <f ca="1">Translations!$A$92</f>
        <v>Please describe: 1) cost assumptions and data sources, 2) key activities, 3) other relevant information. Please differentiate between indicative and above indicative</v>
      </c>
      <c r="T243" s="553"/>
      <c r="U243" s="553"/>
      <c r="V243" s="553"/>
      <c r="W243" s="553"/>
      <c r="X243" s="553"/>
      <c r="Y243" s="554"/>
      <c r="Z243" s="551"/>
      <c r="AA243" s="551"/>
      <c r="AB243" s="551"/>
      <c r="AC243" s="92"/>
      <c r="AD243" s="92"/>
      <c r="AE243" s="92"/>
      <c r="AF243" s="92"/>
      <c r="AG243" s="92"/>
      <c r="AH243" s="92"/>
      <c r="AI243" s="92"/>
      <c r="AJ243" s="92"/>
      <c r="AK243" s="92"/>
      <c r="AL243" s="225"/>
      <c r="AM243" s="63">
        <f t="shared" ca="1" si="15"/>
        <v>11</v>
      </c>
      <c r="AN243" s="92"/>
      <c r="AO243" s="92"/>
      <c r="AP243" s="92"/>
      <c r="AQ243" s="92"/>
      <c r="AR243" s="92"/>
      <c r="AS243" s="92"/>
      <c r="AT243" s="92"/>
      <c r="AU243" s="92"/>
      <c r="AV243" s="92"/>
      <c r="AW243" s="92"/>
      <c r="AX243" s="85"/>
      <c r="AY243" s="85"/>
      <c r="AZ243" s="85"/>
      <c r="BA243" s="85"/>
      <c r="BB243" s="85"/>
      <c r="BC243" s="85"/>
      <c r="BD243" s="85"/>
      <c r="BE243" s="90"/>
      <c r="BF243" s="90"/>
      <c r="BG243" s="90"/>
      <c r="BH243" s="90"/>
      <c r="BI243" s="90"/>
      <c r="BJ243" s="90"/>
      <c r="BK243" s="90"/>
      <c r="BL243" s="90"/>
      <c r="BM243" s="90"/>
      <c r="BN243" s="90"/>
      <c r="BO243" s="90"/>
      <c r="BP243" s="90"/>
      <c r="BQ243" s="90"/>
      <c r="BR243" s="90"/>
      <c r="BS243" s="90"/>
      <c r="BT243" s="90"/>
      <c r="BU243" s="90"/>
      <c r="BV243" s="90"/>
      <c r="BW243" s="90"/>
    </row>
    <row r="244" spans="1:75" s="117" customFormat="1" ht="78.75" customHeight="1" x14ac:dyDescent="0.2">
      <c r="A244" s="583" t="s">
        <v>1634</v>
      </c>
      <c r="B244" s="584"/>
      <c r="C244" s="584"/>
      <c r="D244" s="625" t="s">
        <v>1993</v>
      </c>
      <c r="E244" s="626"/>
      <c r="F244" s="626"/>
      <c r="G244" s="626"/>
      <c r="H244" s="626"/>
      <c r="I244" s="645"/>
      <c r="J244" s="643" t="s">
        <v>1408</v>
      </c>
      <c r="K244" s="594" t="str">
        <f ca="1">Translations!$A$78</f>
        <v>Indicative</v>
      </c>
      <c r="L244" s="594"/>
      <c r="M244" s="605">
        <f>542847*41/42</f>
        <v>529922.07142857148</v>
      </c>
      <c r="N244" s="605"/>
      <c r="O244" s="606">
        <f>507694*41/42</f>
        <v>495606.04761904763</v>
      </c>
      <c r="P244" s="606"/>
      <c r="Q244" s="606">
        <f>520113*41/42</f>
        <v>507729.35714285716</v>
      </c>
      <c r="R244" s="606"/>
      <c r="S244" s="676" t="s">
        <v>2032</v>
      </c>
      <c r="T244" s="677"/>
      <c r="U244" s="677"/>
      <c r="V244" s="677"/>
      <c r="W244" s="677"/>
      <c r="X244" s="677"/>
      <c r="Y244" s="678"/>
      <c r="Z244" s="621"/>
      <c r="AA244" s="621"/>
      <c r="AB244" s="622"/>
      <c r="AC244" s="143"/>
      <c r="AD244" s="143"/>
      <c r="AE244" s="143"/>
      <c r="AF244" s="96"/>
      <c r="AG244" s="96"/>
      <c r="AH244" s="96"/>
      <c r="AI244" s="96"/>
      <c r="AJ244" s="96"/>
      <c r="AK244" s="96"/>
      <c r="AL244" s="226"/>
      <c r="AM244" s="96"/>
      <c r="AN244" s="92"/>
      <c r="AO244" s="92"/>
      <c r="AP244" s="96"/>
      <c r="AQ244" s="96"/>
      <c r="AR244" s="96"/>
      <c r="AS244" s="96"/>
      <c r="AT244" s="96"/>
      <c r="AU244" s="96"/>
      <c r="AV244" s="96"/>
      <c r="AW244" s="96"/>
      <c r="AX244" s="116"/>
      <c r="AY244" s="116"/>
      <c r="AZ244" s="116"/>
      <c r="BA244" s="116"/>
      <c r="BB244" s="116"/>
      <c r="BC244" s="116"/>
      <c r="BD244" s="116"/>
      <c r="BE244" s="116"/>
      <c r="BF244" s="116"/>
      <c r="BG244" s="116"/>
      <c r="BH244" s="116"/>
      <c r="BI244" s="116"/>
      <c r="BJ244" s="116"/>
      <c r="BK244" s="116"/>
      <c r="BL244" s="116"/>
      <c r="BM244" s="116"/>
      <c r="BN244" s="116"/>
      <c r="BO244" s="116"/>
      <c r="BP244" s="116"/>
      <c r="BQ244" s="116"/>
      <c r="BR244" s="116"/>
      <c r="BS244" s="116"/>
      <c r="BT244" s="116"/>
      <c r="BU244" s="116"/>
      <c r="BV244" s="116"/>
      <c r="BW244" s="116"/>
    </row>
    <row r="245" spans="1:75" s="117" customFormat="1" ht="78.75" customHeight="1" x14ac:dyDescent="0.2">
      <c r="A245" s="585"/>
      <c r="B245" s="586"/>
      <c r="C245" s="586"/>
      <c r="D245" s="646"/>
      <c r="E245" s="647"/>
      <c r="F245" s="647"/>
      <c r="G245" s="647"/>
      <c r="H245" s="647"/>
      <c r="I245" s="648"/>
      <c r="J245" s="644"/>
      <c r="K245" s="599" t="str">
        <f ca="1">Translations!$A$79</f>
        <v>Above indicative</v>
      </c>
      <c r="L245" s="599"/>
      <c r="M245" s="600"/>
      <c r="N245" s="600"/>
      <c r="O245" s="601"/>
      <c r="P245" s="601"/>
      <c r="Q245" s="602"/>
      <c r="R245" s="602"/>
      <c r="S245" s="742"/>
      <c r="T245" s="743"/>
      <c r="U245" s="743"/>
      <c r="V245" s="743"/>
      <c r="W245" s="743"/>
      <c r="X245" s="743"/>
      <c r="Y245" s="744"/>
      <c r="Z245" s="623"/>
      <c r="AA245" s="623"/>
      <c r="AB245" s="624"/>
      <c r="AC245" s="96"/>
      <c r="AD245" s="96"/>
      <c r="AE245" s="96"/>
      <c r="AF245" s="96"/>
      <c r="AG245" s="96"/>
      <c r="AH245" s="96"/>
      <c r="AI245" s="96"/>
      <c r="AJ245" s="96"/>
      <c r="AK245" s="96"/>
      <c r="AL245" s="226"/>
      <c r="AM245" s="96"/>
      <c r="AN245" s="92"/>
      <c r="AO245" s="92"/>
      <c r="AP245" s="96"/>
      <c r="AQ245" s="96"/>
      <c r="AR245" s="96"/>
      <c r="AS245" s="96"/>
      <c r="AT245" s="96"/>
      <c r="AU245" s="96"/>
      <c r="AV245" s="96"/>
      <c r="AW245" s="96"/>
      <c r="AX245" s="116"/>
      <c r="AY245" s="116"/>
      <c r="AZ245" s="116"/>
      <c r="BA245" s="116"/>
      <c r="BB245" s="116"/>
      <c r="BC245" s="116"/>
      <c r="BD245" s="116"/>
      <c r="BE245" s="116"/>
      <c r="BF245" s="116"/>
      <c r="BG245" s="116"/>
      <c r="BH245" s="116"/>
      <c r="BI245" s="116"/>
      <c r="BJ245" s="116"/>
      <c r="BK245" s="116"/>
      <c r="BL245" s="116"/>
      <c r="BM245" s="116"/>
      <c r="BN245" s="116"/>
      <c r="BO245" s="116"/>
      <c r="BP245" s="116"/>
      <c r="BQ245" s="116"/>
      <c r="BR245" s="116"/>
      <c r="BS245" s="116"/>
      <c r="BT245" s="116"/>
      <c r="BU245" s="116"/>
      <c r="BV245" s="116"/>
      <c r="BW245" s="116"/>
    </row>
    <row r="246" spans="1:75" s="117" customFormat="1" ht="78.75" customHeight="1" x14ac:dyDescent="0.2">
      <c r="A246" s="585"/>
      <c r="B246" s="586"/>
      <c r="C246" s="586"/>
      <c r="D246" s="646"/>
      <c r="E246" s="647"/>
      <c r="F246" s="647"/>
      <c r="G246" s="647"/>
      <c r="H246" s="647"/>
      <c r="I246" s="648"/>
      <c r="J246" s="603"/>
      <c r="K246" s="594" t="str">
        <f ca="1">Translations!$A$78</f>
        <v>Indicative</v>
      </c>
      <c r="L246" s="594"/>
      <c r="M246" s="605"/>
      <c r="N246" s="605"/>
      <c r="O246" s="606"/>
      <c r="P246" s="606"/>
      <c r="Q246" s="606"/>
      <c r="R246" s="606"/>
      <c r="S246" s="742"/>
      <c r="T246" s="743"/>
      <c r="U246" s="743"/>
      <c r="V246" s="743"/>
      <c r="W246" s="743"/>
      <c r="X246" s="743"/>
      <c r="Y246" s="744"/>
      <c r="Z246" s="621"/>
      <c r="AA246" s="621"/>
      <c r="AB246" s="622"/>
      <c r="AC246" s="143"/>
      <c r="AD246" s="143"/>
      <c r="AE246" s="143"/>
      <c r="AF246" s="96"/>
      <c r="AG246" s="96"/>
      <c r="AH246" s="96"/>
      <c r="AI246" s="96"/>
      <c r="AJ246" s="96"/>
      <c r="AK246" s="96"/>
      <c r="AL246" s="226"/>
      <c r="AM246" s="96"/>
      <c r="AN246" s="92"/>
      <c r="AO246" s="92"/>
      <c r="AP246" s="96"/>
      <c r="AQ246" s="96"/>
      <c r="AR246" s="96"/>
      <c r="AS246" s="96"/>
      <c r="AT246" s="96"/>
      <c r="AU246" s="96"/>
      <c r="AV246" s="96"/>
      <c r="AW246" s="96"/>
      <c r="AX246" s="116"/>
      <c r="AY246" s="116"/>
      <c r="AZ246" s="116"/>
      <c r="BA246" s="116"/>
      <c r="BB246" s="116"/>
      <c r="BC246" s="116"/>
      <c r="BD246" s="116"/>
      <c r="BE246" s="116"/>
      <c r="BF246" s="116"/>
      <c r="BG246" s="116"/>
      <c r="BH246" s="116"/>
      <c r="BI246" s="116"/>
      <c r="BJ246" s="116"/>
      <c r="BK246" s="116"/>
      <c r="BL246" s="116"/>
      <c r="BM246" s="116"/>
      <c r="BN246" s="116"/>
      <c r="BO246" s="116"/>
      <c r="BP246" s="116"/>
      <c r="BQ246" s="116"/>
      <c r="BR246" s="116"/>
      <c r="BS246" s="116"/>
      <c r="BT246" s="116"/>
      <c r="BU246" s="116"/>
      <c r="BV246" s="116"/>
      <c r="BW246" s="116"/>
    </row>
    <row r="247" spans="1:75" s="117" customFormat="1" ht="146.25" customHeight="1" x14ac:dyDescent="0.2">
      <c r="A247" s="587"/>
      <c r="B247" s="588"/>
      <c r="C247" s="588"/>
      <c r="D247" s="628"/>
      <c r="E247" s="629"/>
      <c r="F247" s="629"/>
      <c r="G247" s="629"/>
      <c r="H247" s="629"/>
      <c r="I247" s="649"/>
      <c r="J247" s="604"/>
      <c r="K247" s="599" t="str">
        <f ca="1">Translations!$A$79</f>
        <v>Above indicative</v>
      </c>
      <c r="L247" s="599"/>
      <c r="M247" s="600"/>
      <c r="N247" s="600"/>
      <c r="O247" s="601"/>
      <c r="P247" s="601"/>
      <c r="Q247" s="602"/>
      <c r="R247" s="602"/>
      <c r="S247" s="679"/>
      <c r="T247" s="680"/>
      <c r="U247" s="680"/>
      <c r="V247" s="680"/>
      <c r="W247" s="680"/>
      <c r="X247" s="680"/>
      <c r="Y247" s="681"/>
      <c r="Z247" s="623"/>
      <c r="AA247" s="623"/>
      <c r="AB247" s="624"/>
      <c r="AC247" s="96"/>
      <c r="AD247" s="96"/>
      <c r="AE247" s="96"/>
      <c r="AF247" s="96"/>
      <c r="AG247" s="96"/>
      <c r="AH247" s="96"/>
      <c r="AI247" s="96"/>
      <c r="AJ247" s="96"/>
      <c r="AK247" s="96"/>
      <c r="AL247" s="226"/>
      <c r="AM247" s="96"/>
      <c r="AN247" s="92"/>
      <c r="AO247" s="92"/>
      <c r="AP247" s="96"/>
      <c r="AQ247" s="96"/>
      <c r="AR247" s="96"/>
      <c r="AS247" s="96"/>
      <c r="AT247" s="96"/>
      <c r="AU247" s="96"/>
      <c r="AV247" s="96"/>
      <c r="AW247" s="96"/>
      <c r="AX247" s="116"/>
      <c r="AY247" s="116"/>
      <c r="AZ247" s="116"/>
      <c r="BA247" s="116"/>
      <c r="BB247" s="116"/>
      <c r="BC247" s="116"/>
      <c r="BD247" s="116"/>
      <c r="BE247" s="116"/>
      <c r="BF247" s="116"/>
      <c r="BG247" s="116"/>
      <c r="BH247" s="116"/>
      <c r="BI247" s="116"/>
      <c r="BJ247" s="116"/>
      <c r="BK247" s="116"/>
      <c r="BL247" s="116"/>
      <c r="BM247" s="116"/>
      <c r="BN247" s="116"/>
      <c r="BO247" s="116"/>
      <c r="BP247" s="116"/>
      <c r="BQ247" s="116"/>
      <c r="BR247" s="116"/>
      <c r="BS247" s="116"/>
      <c r="BT247" s="116"/>
      <c r="BU247" s="116"/>
      <c r="BV247" s="116"/>
      <c r="BW247" s="116"/>
    </row>
    <row r="248" spans="1:75" s="117" customFormat="1" ht="89.25" customHeight="1" x14ac:dyDescent="0.2">
      <c r="A248" s="583" t="s">
        <v>1671</v>
      </c>
      <c r="B248" s="584"/>
      <c r="C248" s="584"/>
      <c r="D248" s="803" t="s">
        <v>1994</v>
      </c>
      <c r="E248" s="803"/>
      <c r="F248" s="803"/>
      <c r="G248" s="803"/>
      <c r="H248" s="803"/>
      <c r="I248" s="803"/>
      <c r="J248" s="592" t="s">
        <v>1408</v>
      </c>
      <c r="K248" s="594" t="str">
        <f ca="1">Translations!$A$78</f>
        <v>Indicative</v>
      </c>
      <c r="L248" s="594"/>
      <c r="M248" s="605">
        <f>2290731*41/42</f>
        <v>2236189.7857142859</v>
      </c>
      <c r="N248" s="605"/>
      <c r="O248" s="606">
        <f>2364810*41/42</f>
        <v>2308505</v>
      </c>
      <c r="P248" s="606"/>
      <c r="Q248" s="606">
        <f>2441465*41/42</f>
        <v>2383334.8809523811</v>
      </c>
      <c r="R248" s="606"/>
      <c r="S248" s="676" t="s">
        <v>2042</v>
      </c>
      <c r="T248" s="677"/>
      <c r="U248" s="677"/>
      <c r="V248" s="677"/>
      <c r="W248" s="677"/>
      <c r="X248" s="677"/>
      <c r="Y248" s="678"/>
      <c r="Z248" s="621"/>
      <c r="AA248" s="621"/>
      <c r="AB248" s="622"/>
      <c r="AC248" s="96"/>
      <c r="AD248" s="96"/>
      <c r="AE248" s="96"/>
      <c r="AF248" s="96"/>
      <c r="AG248" s="96"/>
      <c r="AH248" s="96"/>
      <c r="AI248" s="96"/>
      <c r="AJ248" s="96"/>
      <c r="AK248" s="96"/>
      <c r="AL248" s="226"/>
      <c r="AM248" s="96"/>
      <c r="AN248" s="92"/>
      <c r="AO248" s="92"/>
      <c r="AP248" s="96"/>
      <c r="AQ248" s="96"/>
      <c r="AR248" s="96"/>
      <c r="AS248" s="96"/>
      <c r="AT248" s="96"/>
      <c r="AU248" s="96"/>
      <c r="AV248" s="96"/>
      <c r="AW248" s="96"/>
      <c r="AX248" s="116"/>
      <c r="AY248" s="116"/>
      <c r="AZ248" s="116"/>
      <c r="BA248" s="116"/>
      <c r="BB248" s="116"/>
      <c r="BC248" s="116"/>
      <c r="BD248" s="116"/>
      <c r="BE248" s="116"/>
      <c r="BF248" s="116"/>
      <c r="BG248" s="116"/>
      <c r="BH248" s="116"/>
      <c r="BI248" s="116"/>
      <c r="BJ248" s="116"/>
      <c r="BK248" s="116"/>
      <c r="BL248" s="116"/>
      <c r="BM248" s="116"/>
      <c r="BN248" s="116"/>
      <c r="BO248" s="116"/>
      <c r="BP248" s="116"/>
      <c r="BQ248" s="116"/>
      <c r="BR248" s="116"/>
      <c r="BS248" s="116"/>
      <c r="BT248" s="116"/>
      <c r="BU248" s="116"/>
      <c r="BV248" s="116"/>
      <c r="BW248" s="116"/>
    </row>
    <row r="249" spans="1:75" s="117" customFormat="1" ht="89.25" customHeight="1" x14ac:dyDescent="0.2">
      <c r="A249" s="585"/>
      <c r="B249" s="586"/>
      <c r="C249" s="586"/>
      <c r="D249" s="804"/>
      <c r="E249" s="804"/>
      <c r="F249" s="804"/>
      <c r="G249" s="804"/>
      <c r="H249" s="804"/>
      <c r="I249" s="804"/>
      <c r="J249" s="593"/>
      <c r="K249" s="599" t="str">
        <f ca="1">Translations!$A$79</f>
        <v>Above indicative</v>
      </c>
      <c r="L249" s="599"/>
      <c r="M249" s="600"/>
      <c r="N249" s="600"/>
      <c r="O249" s="601"/>
      <c r="P249" s="601"/>
      <c r="Q249" s="602"/>
      <c r="R249" s="602"/>
      <c r="S249" s="742"/>
      <c r="T249" s="743"/>
      <c r="U249" s="743"/>
      <c r="V249" s="743"/>
      <c r="W249" s="743"/>
      <c r="X249" s="743"/>
      <c r="Y249" s="744"/>
      <c r="Z249" s="623"/>
      <c r="AA249" s="623"/>
      <c r="AB249" s="624"/>
      <c r="AC249" s="96"/>
      <c r="AD249" s="96"/>
      <c r="AE249" s="96"/>
      <c r="AF249" s="96"/>
      <c r="AG249" s="96"/>
      <c r="AH249" s="96"/>
      <c r="AI249" s="96"/>
      <c r="AJ249" s="96"/>
      <c r="AK249" s="96"/>
      <c r="AL249" s="226"/>
      <c r="AM249" s="96"/>
      <c r="AN249" s="92"/>
      <c r="AO249" s="92"/>
      <c r="AP249" s="96"/>
      <c r="AQ249" s="96"/>
      <c r="AR249" s="96"/>
      <c r="AS249" s="96"/>
      <c r="AT249" s="96"/>
      <c r="AU249" s="96"/>
      <c r="AV249" s="96"/>
      <c r="AW249" s="96"/>
      <c r="AX249" s="116"/>
      <c r="AY249" s="116"/>
      <c r="AZ249" s="116"/>
      <c r="BA249" s="116"/>
      <c r="BB249" s="116"/>
      <c r="BC249" s="116"/>
      <c r="BD249" s="116"/>
      <c r="BE249" s="116"/>
      <c r="BF249" s="116"/>
      <c r="BG249" s="116"/>
      <c r="BH249" s="116"/>
      <c r="BI249" s="116"/>
      <c r="BJ249" s="116"/>
      <c r="BK249" s="116"/>
      <c r="BL249" s="116"/>
      <c r="BM249" s="116"/>
      <c r="BN249" s="116"/>
      <c r="BO249" s="116"/>
      <c r="BP249" s="116"/>
      <c r="BQ249" s="116"/>
      <c r="BR249" s="116"/>
      <c r="BS249" s="116"/>
      <c r="BT249" s="116"/>
      <c r="BU249" s="116"/>
      <c r="BV249" s="116"/>
      <c r="BW249" s="116"/>
    </row>
    <row r="250" spans="1:75" s="117" customFormat="1" ht="89.25" customHeight="1" x14ac:dyDescent="0.2">
      <c r="A250" s="585"/>
      <c r="B250" s="586"/>
      <c r="C250" s="586"/>
      <c r="D250" s="804"/>
      <c r="E250" s="804"/>
      <c r="F250" s="804"/>
      <c r="G250" s="804"/>
      <c r="H250" s="804"/>
      <c r="I250" s="804"/>
      <c r="J250" s="603"/>
      <c r="K250" s="594" t="str">
        <f ca="1">Translations!$A$78</f>
        <v>Indicative</v>
      </c>
      <c r="L250" s="594"/>
      <c r="M250" s="605"/>
      <c r="N250" s="605"/>
      <c r="O250" s="606"/>
      <c r="P250" s="606"/>
      <c r="Q250" s="606"/>
      <c r="R250" s="606"/>
      <c r="S250" s="742"/>
      <c r="T250" s="743"/>
      <c r="U250" s="743"/>
      <c r="V250" s="743"/>
      <c r="W250" s="743"/>
      <c r="X250" s="743"/>
      <c r="Y250" s="744"/>
      <c r="Z250" s="621"/>
      <c r="AA250" s="621"/>
      <c r="AB250" s="622"/>
      <c r="AC250" s="143"/>
      <c r="AD250" s="143"/>
      <c r="AE250" s="143"/>
      <c r="AF250" s="96"/>
      <c r="AG250" s="96"/>
      <c r="AH250" s="96"/>
      <c r="AI250" s="96"/>
      <c r="AJ250" s="96"/>
      <c r="AK250" s="96"/>
      <c r="AL250" s="226"/>
      <c r="AM250" s="96"/>
      <c r="AN250" s="92"/>
      <c r="AO250" s="92"/>
      <c r="AP250" s="96"/>
      <c r="AQ250" s="96"/>
      <c r="AR250" s="96"/>
      <c r="AS250" s="96"/>
      <c r="AT250" s="96"/>
      <c r="AU250" s="96"/>
      <c r="AV250" s="96"/>
      <c r="AW250" s="96"/>
      <c r="AX250" s="116"/>
      <c r="AY250" s="116"/>
      <c r="AZ250" s="116"/>
      <c r="BA250" s="116"/>
      <c r="BB250" s="116"/>
      <c r="BC250" s="116"/>
      <c r="BD250" s="116"/>
      <c r="BE250" s="116"/>
      <c r="BF250" s="116"/>
      <c r="BG250" s="116"/>
      <c r="BH250" s="116"/>
      <c r="BI250" s="116"/>
      <c r="BJ250" s="116"/>
      <c r="BK250" s="116"/>
      <c r="BL250" s="116"/>
      <c r="BM250" s="116"/>
      <c r="BN250" s="116"/>
      <c r="BO250" s="116"/>
      <c r="BP250" s="116"/>
      <c r="BQ250" s="116"/>
      <c r="BR250" s="116"/>
      <c r="BS250" s="116"/>
      <c r="BT250" s="116"/>
      <c r="BU250" s="116"/>
      <c r="BV250" s="116"/>
      <c r="BW250" s="116"/>
    </row>
    <row r="251" spans="1:75" s="117" customFormat="1" ht="64.5" customHeight="1" x14ac:dyDescent="0.2">
      <c r="A251" s="587"/>
      <c r="B251" s="588"/>
      <c r="C251" s="588"/>
      <c r="D251" s="805"/>
      <c r="E251" s="805"/>
      <c r="F251" s="805"/>
      <c r="G251" s="805"/>
      <c r="H251" s="805"/>
      <c r="I251" s="805"/>
      <c r="J251" s="604"/>
      <c r="K251" s="599" t="str">
        <f ca="1">Translations!$A$79</f>
        <v>Above indicative</v>
      </c>
      <c r="L251" s="599"/>
      <c r="M251" s="600"/>
      <c r="N251" s="600"/>
      <c r="O251" s="601"/>
      <c r="P251" s="601"/>
      <c r="Q251" s="602"/>
      <c r="R251" s="602"/>
      <c r="S251" s="679"/>
      <c r="T251" s="680"/>
      <c r="U251" s="680"/>
      <c r="V251" s="680"/>
      <c r="W251" s="680"/>
      <c r="X251" s="680"/>
      <c r="Y251" s="681"/>
      <c r="Z251" s="623"/>
      <c r="AA251" s="623"/>
      <c r="AB251" s="624"/>
      <c r="AC251" s="96"/>
      <c r="AD251" s="96"/>
      <c r="AE251" s="96"/>
      <c r="AF251" s="96"/>
      <c r="AG251" s="96"/>
      <c r="AH251" s="96"/>
      <c r="AI251" s="96"/>
      <c r="AJ251" s="96"/>
      <c r="AK251" s="96"/>
      <c r="AL251" s="226"/>
      <c r="AM251" s="96"/>
      <c r="AN251" s="92"/>
      <c r="AO251" s="92"/>
      <c r="AP251" s="96"/>
      <c r="AQ251" s="96"/>
      <c r="AR251" s="96"/>
      <c r="AS251" s="96"/>
      <c r="AT251" s="96"/>
      <c r="AU251" s="96"/>
      <c r="AV251" s="96"/>
      <c r="AW251" s="96"/>
      <c r="AX251" s="116"/>
      <c r="AY251" s="116"/>
      <c r="AZ251" s="116"/>
      <c r="BA251" s="116"/>
      <c r="BB251" s="116"/>
      <c r="BC251" s="116"/>
      <c r="BD251" s="116"/>
      <c r="BE251" s="116"/>
      <c r="BF251" s="116"/>
      <c r="BG251" s="116"/>
      <c r="BH251" s="116"/>
      <c r="BI251" s="116"/>
      <c r="BJ251" s="116"/>
      <c r="BK251" s="116"/>
      <c r="BL251" s="116"/>
      <c r="BM251" s="116"/>
      <c r="BN251" s="116"/>
      <c r="BO251" s="116"/>
      <c r="BP251" s="116"/>
      <c r="BQ251" s="116"/>
      <c r="BR251" s="116"/>
      <c r="BS251" s="116"/>
      <c r="BT251" s="116"/>
      <c r="BU251" s="116"/>
      <c r="BV251" s="116"/>
      <c r="BW251" s="116"/>
    </row>
    <row r="252" spans="1:75" s="117" customFormat="1" ht="48.75" customHeight="1" x14ac:dyDescent="0.2">
      <c r="A252" s="583" t="s">
        <v>1670</v>
      </c>
      <c r="B252" s="584"/>
      <c r="C252" s="584"/>
      <c r="D252" s="803" t="s">
        <v>1995</v>
      </c>
      <c r="E252" s="803"/>
      <c r="F252" s="803"/>
      <c r="G252" s="803"/>
      <c r="H252" s="803"/>
      <c r="I252" s="803"/>
      <c r="J252" s="592" t="s">
        <v>1408</v>
      </c>
      <c r="K252" s="594" t="str">
        <f ca="1">Translations!$A$78</f>
        <v>Indicative</v>
      </c>
      <c r="L252" s="594"/>
      <c r="M252" s="605">
        <f>221421*41/42</f>
        <v>216149.07142857142</v>
      </c>
      <c r="N252" s="605"/>
      <c r="O252" s="606">
        <f>74341*41/42</f>
        <v>72570.976190476184</v>
      </c>
      <c r="P252" s="606"/>
      <c r="Q252" s="606">
        <f>69951*41/42</f>
        <v>68285.5</v>
      </c>
      <c r="R252" s="606"/>
      <c r="S252" s="676" t="s">
        <v>2028</v>
      </c>
      <c r="T252" s="677"/>
      <c r="U252" s="677"/>
      <c r="V252" s="677"/>
      <c r="W252" s="677"/>
      <c r="X252" s="677"/>
      <c r="Y252" s="678"/>
      <c r="Z252" s="806"/>
      <c r="AA252" s="806"/>
      <c r="AB252" s="807"/>
      <c r="AC252" s="96"/>
      <c r="AD252" s="96"/>
      <c r="AE252" s="96"/>
      <c r="AF252" s="96"/>
      <c r="AG252" s="96"/>
      <c r="AH252" s="96"/>
      <c r="AI252" s="96"/>
      <c r="AJ252" s="96"/>
      <c r="AK252" s="96"/>
      <c r="AL252" s="226"/>
      <c r="AM252" s="96"/>
      <c r="AN252" s="92"/>
      <c r="AO252" s="92"/>
      <c r="AP252" s="96"/>
      <c r="AQ252" s="96"/>
      <c r="AR252" s="96"/>
      <c r="AS252" s="96"/>
      <c r="AT252" s="96"/>
      <c r="AU252" s="96"/>
      <c r="AV252" s="96"/>
      <c r="AW252" s="96"/>
      <c r="AX252" s="116"/>
      <c r="AY252" s="116"/>
      <c r="AZ252" s="116"/>
      <c r="BA252" s="116"/>
      <c r="BB252" s="116"/>
      <c r="BC252" s="116"/>
      <c r="BD252" s="116"/>
      <c r="BE252" s="116"/>
      <c r="BF252" s="116"/>
      <c r="BG252" s="116"/>
      <c r="BH252" s="116"/>
      <c r="BI252" s="116"/>
      <c r="BJ252" s="116"/>
      <c r="BK252" s="116"/>
      <c r="BL252" s="116"/>
      <c r="BM252" s="116"/>
      <c r="BN252" s="116"/>
      <c r="BO252" s="116"/>
      <c r="BP252" s="116"/>
      <c r="BQ252" s="116"/>
      <c r="BR252" s="116"/>
      <c r="BS252" s="116"/>
      <c r="BT252" s="116"/>
      <c r="BU252" s="116"/>
      <c r="BV252" s="116"/>
      <c r="BW252" s="116"/>
    </row>
    <row r="253" spans="1:75" s="117" customFormat="1" ht="42.75" customHeight="1" x14ac:dyDescent="0.2">
      <c r="A253" s="585"/>
      <c r="B253" s="586"/>
      <c r="C253" s="586"/>
      <c r="D253" s="804"/>
      <c r="E253" s="804"/>
      <c r="F253" s="804"/>
      <c r="G253" s="804"/>
      <c r="H253" s="804"/>
      <c r="I253" s="804"/>
      <c r="J253" s="593"/>
      <c r="K253" s="599" t="str">
        <f ca="1">Translations!$A$79</f>
        <v>Above indicative</v>
      </c>
      <c r="L253" s="599"/>
      <c r="M253" s="600"/>
      <c r="N253" s="600"/>
      <c r="O253" s="810"/>
      <c r="P253" s="811"/>
      <c r="Q253" s="601"/>
      <c r="R253" s="601"/>
      <c r="S253" s="679"/>
      <c r="T253" s="680"/>
      <c r="U253" s="680"/>
      <c r="V253" s="680"/>
      <c r="W253" s="680"/>
      <c r="X253" s="680"/>
      <c r="Y253" s="681"/>
      <c r="Z253" s="808"/>
      <c r="AA253" s="808"/>
      <c r="AB253" s="809"/>
      <c r="AC253" s="96"/>
      <c r="AD253" s="96"/>
      <c r="AE253" s="96"/>
      <c r="AF253" s="96"/>
      <c r="AG253" s="96"/>
      <c r="AH253" s="96"/>
      <c r="AI253" s="96"/>
      <c r="AJ253" s="96"/>
      <c r="AK253" s="96"/>
      <c r="AL253" s="226"/>
      <c r="AM253" s="96"/>
      <c r="AN253" s="92"/>
      <c r="AO253" s="92"/>
      <c r="AP253" s="96"/>
      <c r="AQ253" s="96"/>
      <c r="AR253" s="96"/>
      <c r="AS253" s="96"/>
      <c r="AT253" s="96"/>
      <c r="AU253" s="96"/>
      <c r="AV253" s="96"/>
      <c r="AW253" s="96"/>
      <c r="AX253" s="116"/>
      <c r="AY253" s="116"/>
      <c r="AZ253" s="116"/>
      <c r="BA253" s="116"/>
      <c r="BB253" s="116"/>
      <c r="BC253" s="116"/>
      <c r="BD253" s="116"/>
      <c r="BE253" s="116"/>
      <c r="BF253" s="116"/>
      <c r="BG253" s="116"/>
      <c r="BH253" s="116"/>
      <c r="BI253" s="116"/>
      <c r="BJ253" s="116"/>
      <c r="BK253" s="116"/>
      <c r="BL253" s="116"/>
      <c r="BM253" s="116"/>
      <c r="BN253" s="116"/>
      <c r="BO253" s="116"/>
      <c r="BP253" s="116"/>
      <c r="BQ253" s="116"/>
      <c r="BR253" s="116"/>
      <c r="BS253" s="116"/>
      <c r="BT253" s="116"/>
      <c r="BU253" s="116"/>
      <c r="BV253" s="116"/>
      <c r="BW253" s="116"/>
    </row>
    <row r="254" spans="1:75" s="117" customFormat="1" ht="25.5" customHeight="1" x14ac:dyDescent="0.2">
      <c r="A254" s="585"/>
      <c r="B254" s="586"/>
      <c r="C254" s="586"/>
      <c r="D254" s="804"/>
      <c r="E254" s="804"/>
      <c r="F254" s="804"/>
      <c r="G254" s="804"/>
      <c r="H254" s="804"/>
      <c r="I254" s="804"/>
      <c r="J254" s="603"/>
      <c r="K254" s="594" t="str">
        <f ca="1">Translations!$A$78</f>
        <v>Indicative</v>
      </c>
      <c r="L254" s="594"/>
      <c r="M254" s="605"/>
      <c r="N254" s="605"/>
      <c r="O254" s="606"/>
      <c r="P254" s="606"/>
      <c r="Q254" s="606"/>
      <c r="R254" s="606"/>
      <c r="S254" s="620"/>
      <c r="T254" s="620"/>
      <c r="U254" s="620"/>
      <c r="V254" s="620"/>
      <c r="W254" s="620"/>
      <c r="X254" s="620"/>
      <c r="Y254" s="620"/>
      <c r="Z254" s="621"/>
      <c r="AA254" s="621"/>
      <c r="AB254" s="622"/>
      <c r="AC254" s="143"/>
      <c r="AD254" s="143"/>
      <c r="AE254" s="143"/>
      <c r="AF254" s="96"/>
      <c r="AG254" s="96"/>
      <c r="AH254" s="96"/>
      <c r="AI254" s="96"/>
      <c r="AJ254" s="96"/>
      <c r="AK254" s="96"/>
      <c r="AL254" s="226"/>
      <c r="AM254" s="96"/>
      <c r="AN254" s="92"/>
      <c r="AO254" s="92"/>
      <c r="AP254" s="96"/>
      <c r="AQ254" s="96"/>
      <c r="AR254" s="96"/>
      <c r="AS254" s="96"/>
      <c r="AT254" s="96"/>
      <c r="AU254" s="96"/>
      <c r="AV254" s="96"/>
      <c r="AW254" s="96"/>
      <c r="AX254" s="116"/>
      <c r="AY254" s="116"/>
      <c r="AZ254" s="116"/>
      <c r="BA254" s="116"/>
      <c r="BB254" s="116"/>
      <c r="BC254" s="116"/>
      <c r="BD254" s="116"/>
      <c r="BE254" s="116"/>
      <c r="BF254" s="116"/>
      <c r="BG254" s="116"/>
      <c r="BH254" s="116"/>
      <c r="BI254" s="116"/>
      <c r="BJ254" s="116"/>
      <c r="BK254" s="116"/>
      <c r="BL254" s="116"/>
      <c r="BM254" s="116"/>
      <c r="BN254" s="116"/>
      <c r="BO254" s="116"/>
      <c r="BP254" s="116"/>
      <c r="BQ254" s="116"/>
      <c r="BR254" s="116"/>
      <c r="BS254" s="116"/>
      <c r="BT254" s="116"/>
      <c r="BU254" s="116"/>
      <c r="BV254" s="116"/>
      <c r="BW254" s="116"/>
    </row>
    <row r="255" spans="1:75" s="117" customFormat="1" ht="25.5" customHeight="1" x14ac:dyDescent="0.2">
      <c r="A255" s="587"/>
      <c r="B255" s="588"/>
      <c r="C255" s="588"/>
      <c r="D255" s="805"/>
      <c r="E255" s="805"/>
      <c r="F255" s="805"/>
      <c r="G255" s="805"/>
      <c r="H255" s="805"/>
      <c r="I255" s="805"/>
      <c r="J255" s="604"/>
      <c r="K255" s="599" t="str">
        <f ca="1">Translations!$A$79</f>
        <v>Above indicative</v>
      </c>
      <c r="L255" s="599"/>
      <c r="M255" s="675"/>
      <c r="N255" s="675"/>
      <c r="O255" s="601"/>
      <c r="P255" s="601"/>
      <c r="Q255" s="601"/>
      <c r="R255" s="601"/>
      <c r="S255" s="620"/>
      <c r="T255" s="620"/>
      <c r="U255" s="620"/>
      <c r="V255" s="620"/>
      <c r="W255" s="620"/>
      <c r="X255" s="620"/>
      <c r="Y255" s="620"/>
      <c r="Z255" s="623"/>
      <c r="AA255" s="623"/>
      <c r="AB255" s="624"/>
      <c r="AC255" s="96"/>
      <c r="AD255" s="96"/>
      <c r="AE255" s="96"/>
      <c r="AF255" s="96"/>
      <c r="AG255" s="96"/>
      <c r="AH255" s="96"/>
      <c r="AI255" s="96"/>
      <c r="AJ255" s="96"/>
      <c r="AK255" s="96"/>
      <c r="AL255" s="226"/>
      <c r="AM255" s="96"/>
      <c r="AN255" s="92"/>
      <c r="AO255" s="92"/>
      <c r="AP255" s="96"/>
      <c r="AQ255" s="96"/>
      <c r="AR255" s="96"/>
      <c r="AS255" s="96"/>
      <c r="AT255" s="96"/>
      <c r="AU255" s="96"/>
      <c r="AV255" s="96"/>
      <c r="AW255" s="96"/>
      <c r="AX255" s="116"/>
      <c r="AY255" s="116"/>
      <c r="AZ255" s="116"/>
      <c r="BA255" s="116"/>
      <c r="BB255" s="116"/>
      <c r="BC255" s="116"/>
      <c r="BD255" s="116"/>
      <c r="BE255" s="116"/>
      <c r="BF255" s="116"/>
      <c r="BG255" s="116"/>
      <c r="BH255" s="116"/>
      <c r="BI255" s="116"/>
      <c r="BJ255" s="116"/>
      <c r="BK255" s="116"/>
      <c r="BL255" s="116"/>
      <c r="BM255" s="116"/>
      <c r="BN255" s="116"/>
      <c r="BO255" s="116"/>
      <c r="BP255" s="116"/>
      <c r="BQ255" s="116"/>
      <c r="BR255" s="116"/>
      <c r="BS255" s="116"/>
      <c r="BT255" s="116"/>
      <c r="BU255" s="116"/>
      <c r="BV255" s="116"/>
      <c r="BW255" s="116"/>
    </row>
    <row r="256" spans="1:75" s="104" customFormat="1" ht="18" customHeight="1" x14ac:dyDescent="0.2">
      <c r="A256" s="101"/>
      <c r="B256" s="102"/>
      <c r="C256" s="102"/>
      <c r="D256" s="102"/>
      <c r="E256" s="102"/>
      <c r="F256" s="102"/>
      <c r="G256" s="102"/>
      <c r="H256" s="102"/>
      <c r="I256" s="102"/>
      <c r="J256" s="102"/>
      <c r="K256" s="102"/>
      <c r="L256" s="102"/>
      <c r="M256" s="102"/>
      <c r="N256" s="102"/>
      <c r="O256" s="102"/>
      <c r="P256" s="103"/>
      <c r="Q256" s="103"/>
      <c r="R256" s="103"/>
      <c r="S256" s="103"/>
      <c r="T256" s="103"/>
      <c r="U256" s="103"/>
      <c r="V256" s="103"/>
      <c r="W256" s="103"/>
      <c r="X256" s="103"/>
      <c r="Y256" s="103"/>
      <c r="Z256" s="92"/>
      <c r="AA256" s="92"/>
      <c r="AB256" s="92"/>
      <c r="AC256" s="92"/>
      <c r="AD256" s="92"/>
      <c r="AE256" s="92"/>
      <c r="AF256" s="92"/>
      <c r="AG256" s="92"/>
      <c r="AH256" s="92"/>
      <c r="AI256" s="92"/>
      <c r="AJ256" s="92"/>
      <c r="AK256" s="92"/>
      <c r="AL256" s="225"/>
      <c r="AM256" s="92"/>
      <c r="AN256" s="92"/>
      <c r="AO256" s="92"/>
      <c r="AP256" s="92"/>
      <c r="AQ256" s="92"/>
      <c r="AR256" s="92"/>
      <c r="AS256" s="92"/>
      <c r="AT256" s="92"/>
      <c r="AU256" s="92"/>
      <c r="AV256" s="92"/>
      <c r="AW256" s="92"/>
      <c r="AX256" s="85"/>
      <c r="AY256" s="85"/>
      <c r="AZ256" s="85"/>
      <c r="BA256" s="85"/>
      <c r="BB256" s="85"/>
      <c r="BC256" s="85"/>
      <c r="BD256" s="85"/>
      <c r="BE256" s="90"/>
      <c r="BF256" s="90"/>
      <c r="BG256" s="90"/>
      <c r="BH256" s="90"/>
      <c r="BI256" s="90"/>
      <c r="BJ256" s="90"/>
      <c r="BK256" s="90"/>
      <c r="BL256" s="90"/>
      <c r="BM256" s="90"/>
      <c r="BN256" s="90"/>
      <c r="BO256" s="90"/>
      <c r="BP256" s="90"/>
      <c r="BQ256" s="90"/>
      <c r="BR256" s="90"/>
      <c r="BS256" s="90"/>
      <c r="BT256" s="90"/>
      <c r="BU256" s="90"/>
      <c r="BV256" s="90"/>
      <c r="BW256" s="90"/>
    </row>
  </sheetData>
  <sheetProtection formatCells="0" formatColumns="0" formatRows="0" insertRows="0" deleteRows="0" selectLockedCells="1" sort="0" autoFilter="0"/>
  <customSheetViews>
    <customSheetView guid="{AB7DC012-E038-4AC4-B964-79EBEC1A7DBE}" scale="90" showPageBreaks="1" printArea="1" hiddenColumns="1" view="pageBreakPreview">
      <selection activeCell="D1" sqref="D1"/>
      <rowBreaks count="11" manualBreakCount="11">
        <brk id="36" max="27" man="1"/>
        <brk id="77" max="27" man="1"/>
        <brk id="95" max="27" man="1"/>
        <brk id="112" max="27" man="1"/>
        <brk id="128" max="27" man="1"/>
        <brk id="145" max="27" man="1"/>
        <brk id="167" max="27" man="1"/>
        <brk id="179" max="27" man="1"/>
        <brk id="206" max="27" man="1"/>
        <brk id="228" max="27" man="1"/>
        <brk id="247" max="27" man="1"/>
      </rowBreaks>
      <pageMargins left="0.70866141732283472" right="0.9055118110236221" top="0.74803149606299213" bottom="0.74803149606299213" header="0.31496062992125984" footer="0.31496062992125984"/>
      <printOptions horizontalCentered="1"/>
      <pageSetup paperSize="8" scale="70" fitToHeight="10" orientation="landscape" r:id="rId1"/>
      <headerFooter alignWithMargins="0"/>
    </customSheetView>
    <customSheetView guid="{8263CC96-2145-451B-AD8A-CC38FD628AC9}" scale="70" showPageBreaks="1" printArea="1" hiddenColumns="1" view="pageBreakPreview" topLeftCell="A114">
      <selection activeCell="S129" sqref="S129:Y132"/>
      <rowBreaks count="6" manualBreakCount="6">
        <brk id="116" max="27" man="1"/>
        <brk id="132" max="27" man="1"/>
        <brk id="148" max="27" man="1"/>
        <brk id="177" max="27" man="1"/>
        <brk id="206" max="27" man="1"/>
        <brk id="235" max="27" man="1"/>
      </rowBreaks>
      <pageMargins left="0.7" right="0.7" top="0.75" bottom="0.75" header="0.3" footer="0.3"/>
      <pageSetup paperSize="8" scale="70" fitToHeight="10" orientation="landscape" r:id="rId2"/>
      <headerFooter alignWithMargins="0"/>
    </customSheetView>
    <customSheetView guid="{721132AF-EF29-4C83-8A4A-F17ABB4BD7C0}" scale="70" showPageBreaks="1" printArea="1" hiddenColumns="1" topLeftCell="A248">
      <selection activeCell="S252" sqref="S252:Y253"/>
      <rowBreaks count="6" manualBreakCount="6">
        <brk id="116" max="27" man="1"/>
        <brk id="128" max="27" man="1"/>
        <brk id="144" max="27" man="1"/>
        <brk id="173" max="27" man="1"/>
        <brk id="202" max="27" man="1"/>
        <brk id="229" max="27" man="1"/>
      </rowBreaks>
      <pageMargins left="0.7" right="0.7" top="0.75" bottom="0.75" header="0.3" footer="0.3"/>
      <pageSetup paperSize="8" scale="70" fitToHeight="10" orientation="landscape"/>
      <headerFooter alignWithMargins="0"/>
    </customSheetView>
    <customSheetView guid="{CE0E8020-2C9F-41F1-9136-031F56EB2C71}" scale="60" showPageBreaks="1" printArea="1" hiddenColumns="1" topLeftCell="A106">
      <selection activeCell="AF97" sqref="AF97"/>
      <rowBreaks count="6" manualBreakCount="6">
        <brk id="116" max="27" man="1"/>
        <brk id="128" max="27" man="1"/>
        <brk id="144" max="27" man="1"/>
        <brk id="173" max="27" man="1"/>
        <brk id="202" max="27" man="1"/>
        <brk id="229" max="27" man="1"/>
      </rowBreaks>
      <pageMargins left="0.7" right="0.7" top="0.75" bottom="0.75" header="0.3" footer="0.3"/>
      <pageSetup paperSize="8" scale="70" fitToHeight="10" orientation="landscape"/>
      <headerFooter alignWithMargins="0"/>
    </customSheetView>
    <customSheetView guid="{E823EC26-EF2B-442F-BAF4-E4055CE48BD3}" printArea="1" hiddenColumns="1" topLeftCell="E184">
      <selection activeCell="S164" sqref="S164:AB167"/>
      <rowBreaks count="6" manualBreakCount="6">
        <brk id="116" max="27" man="1"/>
        <brk id="128" max="27" man="1"/>
        <brk id="144" max="27" man="1"/>
        <brk id="173" max="27" man="1"/>
        <brk id="202" max="27" man="1"/>
        <brk id="229" max="27" man="1"/>
      </rowBreaks>
      <pageMargins left="0.7" right="0.7" top="0.75" bottom="0.75" header="0.3" footer="0.3"/>
      <pageSetup paperSize="8" scale="70" fitToHeight="10" orientation="landscape"/>
      <headerFooter alignWithMargins="0"/>
    </customSheetView>
    <customSheetView guid="{86255A0E-17F2-0E4B-B055-7B9B2A71C25A}" showPageBreaks="1" printArea="1" hiddenColumns="1" topLeftCell="L1">
      <selection activeCell="Q130" sqref="Q130:R130"/>
      <rowBreaks count="6" manualBreakCount="6">
        <brk id="116" max="27" man="1"/>
        <brk id="128" max="27" man="1"/>
        <brk id="144" max="27" man="1"/>
        <brk id="173" max="27" man="1"/>
        <brk id="202" max="27" man="1"/>
        <brk id="229" max="27" man="1"/>
      </rowBreaks>
      <pageMargins left="0.7" right="0.7" top="0.75" bottom="0.75" header="0.3" footer="0.3"/>
      <pageSetup paperSize="8" scale="70" fitToHeight="10" orientation="landscape"/>
      <headerFooter alignWithMargins="0"/>
    </customSheetView>
    <customSheetView guid="{D193A86F-CAEF-42FB-9ABB-073B57B81A50}" scale="90" showPageBreaks="1" printArea="1" hiddenColumns="1" view="pageBreakPreview">
      <selection activeCell="Q241" sqref="Q241:R241"/>
      <rowBreaks count="11" manualBreakCount="11">
        <brk id="36" max="27" man="1"/>
        <brk id="77" max="27" man="1"/>
        <brk id="95" max="27" man="1"/>
        <brk id="112" max="27" man="1"/>
        <brk id="128" max="27" man="1"/>
        <brk id="145" max="27" man="1"/>
        <brk id="167" max="27" man="1"/>
        <brk id="179" max="27" man="1"/>
        <brk id="206" max="27" man="1"/>
        <brk id="228" max="27" man="1"/>
        <brk id="247" max="27" man="1"/>
      </rowBreaks>
      <pageMargins left="0.70866141732283472" right="0.9055118110236221" top="0.74803149606299213" bottom="0.74803149606299213" header="0.31496062992125984" footer="0.31496062992125984"/>
      <printOptions horizontalCentered="1"/>
      <pageSetup paperSize="8" scale="70" fitToHeight="10" orientation="landscape" r:id="rId3"/>
      <headerFooter alignWithMargins="0"/>
    </customSheetView>
  </customSheetViews>
  <mergeCells count="1218">
    <mergeCell ref="K212:L212"/>
    <mergeCell ref="M212:N212"/>
    <mergeCell ref="O212:P212"/>
    <mergeCell ref="Q212:R212"/>
    <mergeCell ref="J213:J214"/>
    <mergeCell ref="K213:L213"/>
    <mergeCell ref="M213:N213"/>
    <mergeCell ref="O213:P213"/>
    <mergeCell ref="Q213:R213"/>
    <mergeCell ref="S213:Y214"/>
    <mergeCell ref="Z213:AB214"/>
    <mergeCell ref="K214:L214"/>
    <mergeCell ref="Q214:R214"/>
    <mergeCell ref="O125:P125"/>
    <mergeCell ref="M205:N205"/>
    <mergeCell ref="O205:P205"/>
    <mergeCell ref="Q205:R205"/>
    <mergeCell ref="S205:Y206"/>
    <mergeCell ref="Z205:AB206"/>
    <mergeCell ref="K206:L206"/>
    <mergeCell ref="M206:N206"/>
    <mergeCell ref="O206:P206"/>
    <mergeCell ref="Q206:R206"/>
    <mergeCell ref="P156:P157"/>
    <mergeCell ref="R156:R157"/>
    <mergeCell ref="S156:AB159"/>
    <mergeCell ref="P152:P153"/>
    <mergeCell ref="K138:L138"/>
    <mergeCell ref="M138:N138"/>
    <mergeCell ref="O138:P138"/>
    <mergeCell ref="Q138:R138"/>
    <mergeCell ref="Z143:AB144"/>
    <mergeCell ref="O175:P175"/>
    <mergeCell ref="Q175:R175"/>
    <mergeCell ref="K174:L174"/>
    <mergeCell ref="M174:N174"/>
    <mergeCell ref="O174:P174"/>
    <mergeCell ref="O198:P198"/>
    <mergeCell ref="N185:N186"/>
    <mergeCell ref="S183:AB183"/>
    <mergeCell ref="S184:AB186"/>
    <mergeCell ref="K203:L203"/>
    <mergeCell ref="M203:N203"/>
    <mergeCell ref="O203:P203"/>
    <mergeCell ref="O176:P176"/>
    <mergeCell ref="K101:L101"/>
    <mergeCell ref="M101:N101"/>
    <mergeCell ref="A207:C210"/>
    <mergeCell ref="D207:I210"/>
    <mergeCell ref="J207:J208"/>
    <mergeCell ref="K207:L207"/>
    <mergeCell ref="M207:N207"/>
    <mergeCell ref="O207:P207"/>
    <mergeCell ref="Q207:R207"/>
    <mergeCell ref="S207:Y208"/>
    <mergeCell ref="Z207:AB208"/>
    <mergeCell ref="K208:L208"/>
    <mergeCell ref="M208:N208"/>
    <mergeCell ref="O208:P208"/>
    <mergeCell ref="Q208:R208"/>
    <mergeCell ref="J209:J210"/>
    <mergeCell ref="K209:L209"/>
    <mergeCell ref="M209:N209"/>
    <mergeCell ref="O209:P209"/>
    <mergeCell ref="Q209:R209"/>
    <mergeCell ref="S209:Y210"/>
    <mergeCell ref="Z209:AB210"/>
    <mergeCell ref="K210:L210"/>
    <mergeCell ref="M176:N176"/>
    <mergeCell ref="M210:N210"/>
    <mergeCell ref="O210:P210"/>
    <mergeCell ref="Q210:R210"/>
    <mergeCell ref="A203:C206"/>
    <mergeCell ref="D203:I206"/>
    <mergeCell ref="J203:J204"/>
    <mergeCell ref="J205:J206"/>
    <mergeCell ref="K205:L205"/>
    <mergeCell ref="Q176:R176"/>
    <mergeCell ref="M172:N172"/>
    <mergeCell ref="O172:P172"/>
    <mergeCell ref="Q172:R172"/>
    <mergeCell ref="Z174:AB175"/>
    <mergeCell ref="K175:L175"/>
    <mergeCell ref="M175:N175"/>
    <mergeCell ref="K179:L179"/>
    <mergeCell ref="M179:N179"/>
    <mergeCell ref="O179:P179"/>
    <mergeCell ref="J174:J175"/>
    <mergeCell ref="Q174:R174"/>
    <mergeCell ref="D172:I175"/>
    <mergeCell ref="J172:J173"/>
    <mergeCell ref="K172:L172"/>
    <mergeCell ref="Z172:AB173"/>
    <mergeCell ref="K173:L173"/>
    <mergeCell ref="M173:N173"/>
    <mergeCell ref="O173:P173"/>
    <mergeCell ref="D164:D167"/>
    <mergeCell ref="E164:F167"/>
    <mergeCell ref="G164:G165"/>
    <mergeCell ref="H164:H167"/>
    <mergeCell ref="I164:I167"/>
    <mergeCell ref="J164:J167"/>
    <mergeCell ref="K164:L165"/>
    <mergeCell ref="N164:N165"/>
    <mergeCell ref="J176:J177"/>
    <mergeCell ref="K176:L176"/>
    <mergeCell ref="Z176:AB177"/>
    <mergeCell ref="K177:L177"/>
    <mergeCell ref="M177:N177"/>
    <mergeCell ref="O177:P177"/>
    <mergeCell ref="Q177:R177"/>
    <mergeCell ref="A172:C175"/>
    <mergeCell ref="A176:C179"/>
    <mergeCell ref="D176:I179"/>
    <mergeCell ref="A170:C171"/>
    <mergeCell ref="D170:I170"/>
    <mergeCell ref="J170:J171"/>
    <mergeCell ref="K170:R170"/>
    <mergeCell ref="S170:Y170"/>
    <mergeCell ref="J178:J179"/>
    <mergeCell ref="K178:L178"/>
    <mergeCell ref="M178:N178"/>
    <mergeCell ref="O178:P178"/>
    <mergeCell ref="Q178:R178"/>
    <mergeCell ref="Z170:AB171"/>
    <mergeCell ref="D171:I171"/>
    <mergeCell ref="M171:N171"/>
    <mergeCell ref="O171:P171"/>
    <mergeCell ref="G162:G163"/>
    <mergeCell ref="K162:L163"/>
    <mergeCell ref="N162:N163"/>
    <mergeCell ref="P162:P163"/>
    <mergeCell ref="R162:R163"/>
    <mergeCell ref="AR162:AV163"/>
    <mergeCell ref="A160:C163"/>
    <mergeCell ref="D160:D163"/>
    <mergeCell ref="E160:F163"/>
    <mergeCell ref="G160:G161"/>
    <mergeCell ref="H160:H163"/>
    <mergeCell ref="I160:I163"/>
    <mergeCell ref="J160:J163"/>
    <mergeCell ref="K160:L161"/>
    <mergeCell ref="N160:N161"/>
    <mergeCell ref="A169:E169"/>
    <mergeCell ref="J169:P169"/>
    <mergeCell ref="Q169:R169"/>
    <mergeCell ref="S169:U169"/>
    <mergeCell ref="P160:P161"/>
    <mergeCell ref="R160:R161"/>
    <mergeCell ref="S160:AB163"/>
    <mergeCell ref="P164:P165"/>
    <mergeCell ref="R164:R165"/>
    <mergeCell ref="S164:AB167"/>
    <mergeCell ref="G166:G167"/>
    <mergeCell ref="K166:L167"/>
    <mergeCell ref="N166:N167"/>
    <mergeCell ref="P166:P167"/>
    <mergeCell ref="R166:R167"/>
    <mergeCell ref="AR166:AV167"/>
    <mergeCell ref="A164:C167"/>
    <mergeCell ref="G154:G155"/>
    <mergeCell ref="K154:L155"/>
    <mergeCell ref="N154:N155"/>
    <mergeCell ref="P154:P155"/>
    <mergeCell ref="R154:R155"/>
    <mergeCell ref="AR154:AV155"/>
    <mergeCell ref="A152:C155"/>
    <mergeCell ref="D152:D155"/>
    <mergeCell ref="E152:F155"/>
    <mergeCell ref="G152:G153"/>
    <mergeCell ref="H152:H155"/>
    <mergeCell ref="I152:I155"/>
    <mergeCell ref="J152:J155"/>
    <mergeCell ref="K152:L153"/>
    <mergeCell ref="N152:N153"/>
    <mergeCell ref="AL156:AL159"/>
    <mergeCell ref="AR156:AV157"/>
    <mergeCell ref="G158:G159"/>
    <mergeCell ref="K158:L159"/>
    <mergeCell ref="N158:N159"/>
    <mergeCell ref="P158:P159"/>
    <mergeCell ref="R158:R159"/>
    <mergeCell ref="AR158:AV159"/>
    <mergeCell ref="A156:C159"/>
    <mergeCell ref="D156:D159"/>
    <mergeCell ref="E156:F159"/>
    <mergeCell ref="G156:G157"/>
    <mergeCell ref="H156:H159"/>
    <mergeCell ref="I156:I159"/>
    <mergeCell ref="J156:J159"/>
    <mergeCell ref="K156:L157"/>
    <mergeCell ref="N156:N157"/>
    <mergeCell ref="A148:C151"/>
    <mergeCell ref="D148:D151"/>
    <mergeCell ref="E148:F151"/>
    <mergeCell ref="G148:J149"/>
    <mergeCell ref="K148:L151"/>
    <mergeCell ref="M148:R148"/>
    <mergeCell ref="S148:AB148"/>
    <mergeCell ref="AL148:AL151"/>
    <mergeCell ref="AR148:AV151"/>
    <mergeCell ref="M149:N149"/>
    <mergeCell ref="O149:P149"/>
    <mergeCell ref="Q149:R149"/>
    <mergeCell ref="S149:AB151"/>
    <mergeCell ref="H150:H151"/>
    <mergeCell ref="I150:I151"/>
    <mergeCell ref="J150:J151"/>
    <mergeCell ref="N150:N151"/>
    <mergeCell ref="P150:P151"/>
    <mergeCell ref="R150:R151"/>
    <mergeCell ref="O101:P101"/>
    <mergeCell ref="Q101:R101"/>
    <mergeCell ref="A146:B146"/>
    <mergeCell ref="D146:J146"/>
    <mergeCell ref="R147:AB147"/>
    <mergeCell ref="S96:Y97"/>
    <mergeCell ref="Z96:AB97"/>
    <mergeCell ref="K97:L97"/>
    <mergeCell ref="M97:N97"/>
    <mergeCell ref="O97:P97"/>
    <mergeCell ref="Q97:R97"/>
    <mergeCell ref="A98:C101"/>
    <mergeCell ref="D98:I101"/>
    <mergeCell ref="J98:J99"/>
    <mergeCell ref="K98:L98"/>
    <mergeCell ref="M98:N98"/>
    <mergeCell ref="O98:P98"/>
    <mergeCell ref="Q98:R98"/>
    <mergeCell ref="S98:Y99"/>
    <mergeCell ref="Z98:AB99"/>
    <mergeCell ref="K99:L99"/>
    <mergeCell ref="M99:N99"/>
    <mergeCell ref="O99:P99"/>
    <mergeCell ref="Q99:R99"/>
    <mergeCell ref="J100:J101"/>
    <mergeCell ref="K100:L100"/>
    <mergeCell ref="M100:N100"/>
    <mergeCell ref="O100:P100"/>
    <mergeCell ref="A94:C97"/>
    <mergeCell ref="D94:I97"/>
    <mergeCell ref="J94:J95"/>
    <mergeCell ref="K94:L94"/>
    <mergeCell ref="M94:N94"/>
    <mergeCell ref="O94:P94"/>
    <mergeCell ref="Q94:R94"/>
    <mergeCell ref="S94:Y95"/>
    <mergeCell ref="Z94:AB95"/>
    <mergeCell ref="K95:L95"/>
    <mergeCell ref="M95:N95"/>
    <mergeCell ref="O95:P95"/>
    <mergeCell ref="Q95:R95"/>
    <mergeCell ref="J96:J97"/>
    <mergeCell ref="K96:L96"/>
    <mergeCell ref="M96:N96"/>
    <mergeCell ref="O96:P96"/>
    <mergeCell ref="Q96:R96"/>
    <mergeCell ref="O89:P89"/>
    <mergeCell ref="Q89:R89"/>
    <mergeCell ref="S89:Y89"/>
    <mergeCell ref="M90:N90"/>
    <mergeCell ref="O90:P90"/>
    <mergeCell ref="Q90:R90"/>
    <mergeCell ref="A90:C93"/>
    <mergeCell ref="D90:I93"/>
    <mergeCell ref="J90:J91"/>
    <mergeCell ref="K90:L90"/>
    <mergeCell ref="S90:Y91"/>
    <mergeCell ref="Z90:AB91"/>
    <mergeCell ref="K91:L91"/>
    <mergeCell ref="M91:N91"/>
    <mergeCell ref="O91:P91"/>
    <mergeCell ref="Q91:R91"/>
    <mergeCell ref="J92:J93"/>
    <mergeCell ref="K92:L92"/>
    <mergeCell ref="M92:N92"/>
    <mergeCell ref="O92:P92"/>
    <mergeCell ref="Q92:R92"/>
    <mergeCell ref="S92:Y93"/>
    <mergeCell ref="Z92:AB93"/>
    <mergeCell ref="K93:L93"/>
    <mergeCell ref="M93:N93"/>
    <mergeCell ref="O93:P93"/>
    <mergeCell ref="Q93:R93"/>
    <mergeCell ref="A87:E87"/>
    <mergeCell ref="J87:P87"/>
    <mergeCell ref="Q87:R87"/>
    <mergeCell ref="S87:U87"/>
    <mergeCell ref="A88:C89"/>
    <mergeCell ref="D88:I88"/>
    <mergeCell ref="J88:J89"/>
    <mergeCell ref="K88:R88"/>
    <mergeCell ref="S88:Y88"/>
    <mergeCell ref="P82:P83"/>
    <mergeCell ref="R82:R83"/>
    <mergeCell ref="S82:AB85"/>
    <mergeCell ref="AL82:AL85"/>
    <mergeCell ref="AR82:AV83"/>
    <mergeCell ref="G84:G85"/>
    <mergeCell ref="K84:L85"/>
    <mergeCell ref="N84:N85"/>
    <mergeCell ref="P84:P85"/>
    <mergeCell ref="R84:R85"/>
    <mergeCell ref="AR84:AV85"/>
    <mergeCell ref="A82:C85"/>
    <mergeCell ref="D82:D85"/>
    <mergeCell ref="E82:F85"/>
    <mergeCell ref="G82:G83"/>
    <mergeCell ref="H82:H85"/>
    <mergeCell ref="I82:I85"/>
    <mergeCell ref="J82:J85"/>
    <mergeCell ref="K82:L83"/>
    <mergeCell ref="N82:N83"/>
    <mergeCell ref="Z88:AB89"/>
    <mergeCell ref="D89:I89"/>
    <mergeCell ref="M89:N89"/>
    <mergeCell ref="P78:P79"/>
    <mergeCell ref="R78:R79"/>
    <mergeCell ref="S78:AB81"/>
    <mergeCell ref="AL78:AL81"/>
    <mergeCell ref="AR78:AV79"/>
    <mergeCell ref="G80:G81"/>
    <mergeCell ref="K80:L81"/>
    <mergeCell ref="N80:N81"/>
    <mergeCell ref="P80:P81"/>
    <mergeCell ref="R80:R81"/>
    <mergeCell ref="AR80:AV81"/>
    <mergeCell ref="A78:C81"/>
    <mergeCell ref="D78:D81"/>
    <mergeCell ref="E78:F81"/>
    <mergeCell ref="G78:G79"/>
    <mergeCell ref="H78:H81"/>
    <mergeCell ref="I78:I81"/>
    <mergeCell ref="J78:J81"/>
    <mergeCell ref="K78:L79"/>
    <mergeCell ref="N78:N79"/>
    <mergeCell ref="P74:P75"/>
    <mergeCell ref="R74:R75"/>
    <mergeCell ref="S74:AB77"/>
    <mergeCell ref="AL74:AL77"/>
    <mergeCell ref="AR74:AV75"/>
    <mergeCell ref="G76:G77"/>
    <mergeCell ref="K76:L77"/>
    <mergeCell ref="AR76:AV77"/>
    <mergeCell ref="A74:C77"/>
    <mergeCell ref="D74:D77"/>
    <mergeCell ref="E74:F77"/>
    <mergeCell ref="G74:G75"/>
    <mergeCell ref="H74:H77"/>
    <mergeCell ref="I74:I77"/>
    <mergeCell ref="J74:J77"/>
    <mergeCell ref="K74:L75"/>
    <mergeCell ref="N74:N75"/>
    <mergeCell ref="P70:P71"/>
    <mergeCell ref="R70:R71"/>
    <mergeCell ref="S70:AB73"/>
    <mergeCell ref="AL70:AL73"/>
    <mergeCell ref="AR70:AV71"/>
    <mergeCell ref="G72:G73"/>
    <mergeCell ref="K72:L73"/>
    <mergeCell ref="N72:N73"/>
    <mergeCell ref="P72:P73"/>
    <mergeCell ref="R72:R73"/>
    <mergeCell ref="AR72:AV73"/>
    <mergeCell ref="A70:C73"/>
    <mergeCell ref="D70:D73"/>
    <mergeCell ref="E70:F73"/>
    <mergeCell ref="G70:G71"/>
    <mergeCell ref="H70:H73"/>
    <mergeCell ref="I70:I73"/>
    <mergeCell ref="J70:J73"/>
    <mergeCell ref="K70:L71"/>
    <mergeCell ref="N70:N71"/>
    <mergeCell ref="P66:P67"/>
    <mergeCell ref="R66:R67"/>
    <mergeCell ref="S66:AB69"/>
    <mergeCell ref="AL66:AL69"/>
    <mergeCell ref="AR66:AV67"/>
    <mergeCell ref="G68:G69"/>
    <mergeCell ref="K68:L69"/>
    <mergeCell ref="N68:N69"/>
    <mergeCell ref="P68:P69"/>
    <mergeCell ref="R68:R69"/>
    <mergeCell ref="AR68:AV69"/>
    <mergeCell ref="A66:C69"/>
    <mergeCell ref="D66:D69"/>
    <mergeCell ref="E66:F69"/>
    <mergeCell ref="G66:G67"/>
    <mergeCell ref="H66:H69"/>
    <mergeCell ref="I66:I69"/>
    <mergeCell ref="J66:J69"/>
    <mergeCell ref="K66:L67"/>
    <mergeCell ref="N66:N67"/>
    <mergeCell ref="R62:R63"/>
    <mergeCell ref="S62:AB65"/>
    <mergeCell ref="AL62:AL65"/>
    <mergeCell ref="AR62:AV63"/>
    <mergeCell ref="G64:G65"/>
    <mergeCell ref="K64:L65"/>
    <mergeCell ref="N64:N65"/>
    <mergeCell ref="P64:P65"/>
    <mergeCell ref="R64:R65"/>
    <mergeCell ref="AR64:AV65"/>
    <mergeCell ref="A62:C65"/>
    <mergeCell ref="D62:D65"/>
    <mergeCell ref="E62:F65"/>
    <mergeCell ref="G62:G63"/>
    <mergeCell ref="H62:H65"/>
    <mergeCell ref="I62:I65"/>
    <mergeCell ref="J62:J65"/>
    <mergeCell ref="K62:L63"/>
    <mergeCell ref="N62:N63"/>
    <mergeCell ref="J54:J57"/>
    <mergeCell ref="K54:L55"/>
    <mergeCell ref="N54:N55"/>
    <mergeCell ref="P58:P59"/>
    <mergeCell ref="R58:R59"/>
    <mergeCell ref="S58:AB61"/>
    <mergeCell ref="AL58:AL61"/>
    <mergeCell ref="AR58:AV59"/>
    <mergeCell ref="G60:G61"/>
    <mergeCell ref="K60:L61"/>
    <mergeCell ref="N60:N61"/>
    <mergeCell ref="P60:P61"/>
    <mergeCell ref="R60:R61"/>
    <mergeCell ref="AR60:AV61"/>
    <mergeCell ref="A58:C61"/>
    <mergeCell ref="D58:D61"/>
    <mergeCell ref="E58:F61"/>
    <mergeCell ref="G58:G59"/>
    <mergeCell ref="H58:H61"/>
    <mergeCell ref="I58:I61"/>
    <mergeCell ref="J58:J61"/>
    <mergeCell ref="K58:L59"/>
    <mergeCell ref="N58:N59"/>
    <mergeCell ref="G52:G53"/>
    <mergeCell ref="K52:L53"/>
    <mergeCell ref="N52:N53"/>
    <mergeCell ref="P52:P53"/>
    <mergeCell ref="R52:R53"/>
    <mergeCell ref="AR52:AV53"/>
    <mergeCell ref="A50:C53"/>
    <mergeCell ref="D50:D53"/>
    <mergeCell ref="E50:F53"/>
    <mergeCell ref="G50:G51"/>
    <mergeCell ref="H50:H53"/>
    <mergeCell ref="I50:I53"/>
    <mergeCell ref="J50:J53"/>
    <mergeCell ref="K50:L51"/>
    <mergeCell ref="N50:N51"/>
    <mergeCell ref="P54:P55"/>
    <mergeCell ref="R54:R55"/>
    <mergeCell ref="S54:AB57"/>
    <mergeCell ref="AL54:AL57"/>
    <mergeCell ref="AR54:AV55"/>
    <mergeCell ref="G56:G57"/>
    <mergeCell ref="K56:L57"/>
    <mergeCell ref="N56:N57"/>
    <mergeCell ref="P56:P57"/>
    <mergeCell ref="R56:R57"/>
    <mergeCell ref="AR56:AV57"/>
    <mergeCell ref="A54:C57"/>
    <mergeCell ref="D54:D57"/>
    <mergeCell ref="E54:F57"/>
    <mergeCell ref="G54:G55"/>
    <mergeCell ref="H54:H57"/>
    <mergeCell ref="I54:I57"/>
    <mergeCell ref="AL46:AL49"/>
    <mergeCell ref="AR46:AV49"/>
    <mergeCell ref="M47:N47"/>
    <mergeCell ref="O47:P47"/>
    <mergeCell ref="Q47:R47"/>
    <mergeCell ref="S47:AB49"/>
    <mergeCell ref="H48:H49"/>
    <mergeCell ref="I48:I49"/>
    <mergeCell ref="J48:J49"/>
    <mergeCell ref="N48:N49"/>
    <mergeCell ref="P48:P49"/>
    <mergeCell ref="R48:R49"/>
    <mergeCell ref="P50:P51"/>
    <mergeCell ref="R50:R51"/>
    <mergeCell ref="S50:AB53"/>
    <mergeCell ref="AL50:AL53"/>
    <mergeCell ref="AR50:AV51"/>
    <mergeCell ref="A44:B44"/>
    <mergeCell ref="D44:J44"/>
    <mergeCell ref="R45:AB45"/>
    <mergeCell ref="Z139:AB140"/>
    <mergeCell ref="K140:L140"/>
    <mergeCell ref="M140:N140"/>
    <mergeCell ref="O140:P140"/>
    <mergeCell ref="Q140:R140"/>
    <mergeCell ref="A141:C144"/>
    <mergeCell ref="D141:I144"/>
    <mergeCell ref="J141:J142"/>
    <mergeCell ref="K141:L141"/>
    <mergeCell ref="M141:N141"/>
    <mergeCell ref="O141:P141"/>
    <mergeCell ref="Q141:R141"/>
    <mergeCell ref="Z141:AB142"/>
    <mergeCell ref="K142:L142"/>
    <mergeCell ref="M142:N142"/>
    <mergeCell ref="O142:P142"/>
    <mergeCell ref="Q142:R142"/>
    <mergeCell ref="J143:J144"/>
    <mergeCell ref="K143:L143"/>
    <mergeCell ref="M143:N143"/>
    <mergeCell ref="O143:P143"/>
    <mergeCell ref="A137:C140"/>
    <mergeCell ref="D137:I140"/>
    <mergeCell ref="A46:C49"/>
    <mergeCell ref="D46:D49"/>
    <mergeCell ref="E46:F49"/>
    <mergeCell ref="G46:J47"/>
    <mergeCell ref="J137:J138"/>
    <mergeCell ref="K137:L137"/>
    <mergeCell ref="J139:J140"/>
    <mergeCell ref="K139:L139"/>
    <mergeCell ref="M139:N139"/>
    <mergeCell ref="O139:P139"/>
    <mergeCell ref="Q139:R139"/>
    <mergeCell ref="A133:C136"/>
    <mergeCell ref="D133:I136"/>
    <mergeCell ref="J133:J134"/>
    <mergeCell ref="K133:L133"/>
    <mergeCell ref="M133:N133"/>
    <mergeCell ref="O133:P133"/>
    <mergeCell ref="Q133:R133"/>
    <mergeCell ref="S133:Y134"/>
    <mergeCell ref="K134:L134"/>
    <mergeCell ref="M134:N134"/>
    <mergeCell ref="O134:P134"/>
    <mergeCell ref="Q134:R134"/>
    <mergeCell ref="J135:J136"/>
    <mergeCell ref="K135:L135"/>
    <mergeCell ref="M135:N135"/>
    <mergeCell ref="M137:N137"/>
    <mergeCell ref="O137:P137"/>
    <mergeCell ref="A129:C132"/>
    <mergeCell ref="D129:I132"/>
    <mergeCell ref="J129:J130"/>
    <mergeCell ref="K129:L129"/>
    <mergeCell ref="M129:N129"/>
    <mergeCell ref="O129:P129"/>
    <mergeCell ref="Q129:R129"/>
    <mergeCell ref="Z129:AB130"/>
    <mergeCell ref="K130:L130"/>
    <mergeCell ref="M130:N130"/>
    <mergeCell ref="O130:P130"/>
    <mergeCell ref="Q130:R130"/>
    <mergeCell ref="J131:J132"/>
    <mergeCell ref="K131:L131"/>
    <mergeCell ref="M131:N131"/>
    <mergeCell ref="O131:P131"/>
    <mergeCell ref="Q131:R131"/>
    <mergeCell ref="Z131:AB132"/>
    <mergeCell ref="K132:L132"/>
    <mergeCell ref="M132:N132"/>
    <mergeCell ref="O132:P132"/>
    <mergeCell ref="Q132:R132"/>
    <mergeCell ref="S129:Y132"/>
    <mergeCell ref="A123:C124"/>
    <mergeCell ref="D123:I123"/>
    <mergeCell ref="J123:J124"/>
    <mergeCell ref="K123:R123"/>
    <mergeCell ref="S123:Y123"/>
    <mergeCell ref="Z123:AB124"/>
    <mergeCell ref="D124:I124"/>
    <mergeCell ref="M124:N124"/>
    <mergeCell ref="O124:P124"/>
    <mergeCell ref="Q124:R124"/>
    <mergeCell ref="S124:Y124"/>
    <mergeCell ref="A125:C128"/>
    <mergeCell ref="D125:I128"/>
    <mergeCell ref="J125:J126"/>
    <mergeCell ref="K125:L125"/>
    <mergeCell ref="Z125:AB126"/>
    <mergeCell ref="K126:L126"/>
    <mergeCell ref="M126:N126"/>
    <mergeCell ref="O126:P126"/>
    <mergeCell ref="Q126:R126"/>
    <mergeCell ref="J127:J128"/>
    <mergeCell ref="K127:L127"/>
    <mergeCell ref="M127:N127"/>
    <mergeCell ref="O127:P127"/>
    <mergeCell ref="Q127:R127"/>
    <mergeCell ref="Z127:AB128"/>
    <mergeCell ref="K128:L128"/>
    <mergeCell ref="M128:N128"/>
    <mergeCell ref="O128:P128"/>
    <mergeCell ref="Q128:R128"/>
    <mergeCell ref="S125:Y128"/>
    <mergeCell ref="M125:N125"/>
    <mergeCell ref="G119:G120"/>
    <mergeCell ref="K119:L120"/>
    <mergeCell ref="N119:N120"/>
    <mergeCell ref="P119:P120"/>
    <mergeCell ref="R119:R120"/>
    <mergeCell ref="AR119:AV120"/>
    <mergeCell ref="A117:C120"/>
    <mergeCell ref="D117:D120"/>
    <mergeCell ref="E117:F120"/>
    <mergeCell ref="G117:G118"/>
    <mergeCell ref="H117:H120"/>
    <mergeCell ref="I117:I120"/>
    <mergeCell ref="J117:J120"/>
    <mergeCell ref="K117:L118"/>
    <mergeCell ref="N117:N118"/>
    <mergeCell ref="A122:E122"/>
    <mergeCell ref="J122:P122"/>
    <mergeCell ref="Q122:R122"/>
    <mergeCell ref="S122:U122"/>
    <mergeCell ref="J109:J112"/>
    <mergeCell ref="K109:L110"/>
    <mergeCell ref="N109:N110"/>
    <mergeCell ref="P113:P114"/>
    <mergeCell ref="R113:R114"/>
    <mergeCell ref="S113:AB116"/>
    <mergeCell ref="AL113:AL116"/>
    <mergeCell ref="AR113:AV114"/>
    <mergeCell ref="G115:G116"/>
    <mergeCell ref="K115:L116"/>
    <mergeCell ref="N115:N116"/>
    <mergeCell ref="P115:P116"/>
    <mergeCell ref="R115:R116"/>
    <mergeCell ref="AR115:AV116"/>
    <mergeCell ref="A113:C116"/>
    <mergeCell ref="D113:D116"/>
    <mergeCell ref="E113:F116"/>
    <mergeCell ref="G113:G114"/>
    <mergeCell ref="H113:H116"/>
    <mergeCell ref="I113:I116"/>
    <mergeCell ref="J113:J116"/>
    <mergeCell ref="K113:L114"/>
    <mergeCell ref="N113:N114"/>
    <mergeCell ref="AL109:AL112"/>
    <mergeCell ref="AR109:AV110"/>
    <mergeCell ref="AR111:AV112"/>
    <mergeCell ref="A252:C255"/>
    <mergeCell ref="D252:I255"/>
    <mergeCell ref="J252:J253"/>
    <mergeCell ref="K252:L252"/>
    <mergeCell ref="M252:N252"/>
    <mergeCell ref="O252:P252"/>
    <mergeCell ref="Q252:R252"/>
    <mergeCell ref="S252:Y253"/>
    <mergeCell ref="Z252:AB253"/>
    <mergeCell ref="K253:L253"/>
    <mergeCell ref="M253:N253"/>
    <mergeCell ref="Q253:R253"/>
    <mergeCell ref="J254:J255"/>
    <mergeCell ref="K254:L254"/>
    <mergeCell ref="M254:N254"/>
    <mergeCell ref="O254:P254"/>
    <mergeCell ref="Q254:R254"/>
    <mergeCell ref="S254:Y255"/>
    <mergeCell ref="Z254:AB255"/>
    <mergeCell ref="K255:L255"/>
    <mergeCell ref="M255:N255"/>
    <mergeCell ref="O255:P255"/>
    <mergeCell ref="Q255:R255"/>
    <mergeCell ref="O253:P253"/>
    <mergeCell ref="A248:C251"/>
    <mergeCell ref="D248:I251"/>
    <mergeCell ref="J248:J249"/>
    <mergeCell ref="K248:L248"/>
    <mergeCell ref="M248:N248"/>
    <mergeCell ref="O248:P248"/>
    <mergeCell ref="Q248:R248"/>
    <mergeCell ref="Z248:AB249"/>
    <mergeCell ref="K249:L249"/>
    <mergeCell ref="M249:N249"/>
    <mergeCell ref="O249:P249"/>
    <mergeCell ref="Q249:R249"/>
    <mergeCell ref="J250:J251"/>
    <mergeCell ref="K250:L250"/>
    <mergeCell ref="M250:N250"/>
    <mergeCell ref="O250:P250"/>
    <mergeCell ref="Q250:R250"/>
    <mergeCell ref="Z250:AB251"/>
    <mergeCell ref="K251:L251"/>
    <mergeCell ref="M251:N251"/>
    <mergeCell ref="O251:P251"/>
    <mergeCell ref="Q251:R251"/>
    <mergeCell ref="S248:Y251"/>
    <mergeCell ref="A244:C247"/>
    <mergeCell ref="D244:I247"/>
    <mergeCell ref="J244:J245"/>
    <mergeCell ref="K244:L244"/>
    <mergeCell ref="M244:N244"/>
    <mergeCell ref="O244:P244"/>
    <mergeCell ref="Q244:R244"/>
    <mergeCell ref="Z244:AB245"/>
    <mergeCell ref="K245:L245"/>
    <mergeCell ref="M245:N245"/>
    <mergeCell ref="O245:P245"/>
    <mergeCell ref="Q245:R245"/>
    <mergeCell ref="J246:J247"/>
    <mergeCell ref="K246:L246"/>
    <mergeCell ref="M246:N246"/>
    <mergeCell ref="O246:P246"/>
    <mergeCell ref="Q246:R246"/>
    <mergeCell ref="Z246:AB247"/>
    <mergeCell ref="K247:L247"/>
    <mergeCell ref="M247:N247"/>
    <mergeCell ref="O247:P247"/>
    <mergeCell ref="Q247:R247"/>
    <mergeCell ref="S244:Y247"/>
    <mergeCell ref="A242:C243"/>
    <mergeCell ref="D242:I242"/>
    <mergeCell ref="J242:J243"/>
    <mergeCell ref="K242:R242"/>
    <mergeCell ref="S242:Y242"/>
    <mergeCell ref="Z242:AB243"/>
    <mergeCell ref="D243:I243"/>
    <mergeCell ref="M243:N243"/>
    <mergeCell ref="O243:P243"/>
    <mergeCell ref="Q243:R243"/>
    <mergeCell ref="S243:Y243"/>
    <mergeCell ref="A241:E241"/>
    <mergeCell ref="J241:P241"/>
    <mergeCell ref="Q241:R241"/>
    <mergeCell ref="S241:U241"/>
    <mergeCell ref="A199:C202"/>
    <mergeCell ref="A227:C228"/>
    <mergeCell ref="A223:C226"/>
    <mergeCell ref="K232:L235"/>
    <mergeCell ref="A236:C239"/>
    <mergeCell ref="D223:I226"/>
    <mergeCell ref="A230:B230"/>
    <mergeCell ref="D230:J230"/>
    <mergeCell ref="Z227:AB228"/>
    <mergeCell ref="S199:Y200"/>
    <mergeCell ref="M224:N224"/>
    <mergeCell ref="O224:P224"/>
    <mergeCell ref="S223:Y224"/>
    <mergeCell ref="M226:N226"/>
    <mergeCell ref="O223:P223"/>
    <mergeCell ref="K226:L226"/>
    <mergeCell ref="K227:L227"/>
    <mergeCell ref="P1:T1"/>
    <mergeCell ref="A42:AB42"/>
    <mergeCell ref="S187:AB190"/>
    <mergeCell ref="S191:AB194"/>
    <mergeCell ref="R182:AB182"/>
    <mergeCell ref="D181:J181"/>
    <mergeCell ref="P193:P194"/>
    <mergeCell ref="A8:Z8"/>
    <mergeCell ref="A191:C194"/>
    <mergeCell ref="G191:G192"/>
    <mergeCell ref="H191:H194"/>
    <mergeCell ref="J191:J194"/>
    <mergeCell ref="K191:L192"/>
    <mergeCell ref="N191:N192"/>
    <mergeCell ref="P191:P192"/>
    <mergeCell ref="G189:G190"/>
    <mergeCell ref="A181:B181"/>
    <mergeCell ref="O38:P38"/>
    <mergeCell ref="Q38:R38"/>
    <mergeCell ref="M184:N184"/>
    <mergeCell ref="B25:Z25"/>
    <mergeCell ref="B27:Z27"/>
    <mergeCell ref="B26:Z26"/>
    <mergeCell ref="B29:Z29"/>
    <mergeCell ref="A3:B3"/>
    <mergeCell ref="J185:J186"/>
    <mergeCell ref="K183:L186"/>
    <mergeCell ref="M183:R183"/>
    <mergeCell ref="P187:P188"/>
    <mergeCell ref="C3:G3"/>
    <mergeCell ref="D105:D108"/>
    <mergeCell ref="E105:F108"/>
    <mergeCell ref="H3:J4"/>
    <mergeCell ref="A7:Y7"/>
    <mergeCell ref="S3:T3"/>
    <mergeCell ref="S4:T4"/>
    <mergeCell ref="S5:T5"/>
    <mergeCell ref="K3:R3"/>
    <mergeCell ref="K6:R6"/>
    <mergeCell ref="U5:X5"/>
    <mergeCell ref="A14:A16"/>
    <mergeCell ref="H5:J6"/>
    <mergeCell ref="A9:Z9"/>
    <mergeCell ref="B28:Z28"/>
    <mergeCell ref="B19:H19"/>
    <mergeCell ref="U17:Z17"/>
    <mergeCell ref="U18:Z18"/>
    <mergeCell ref="J223:J224"/>
    <mergeCell ref="J225:J226"/>
    <mergeCell ref="G105:J106"/>
    <mergeCell ref="K105:L108"/>
    <mergeCell ref="M105:R105"/>
    <mergeCell ref="S105:AB105"/>
    <mergeCell ref="M106:N106"/>
    <mergeCell ref="O106:P106"/>
    <mergeCell ref="Q106:R106"/>
    <mergeCell ref="S106:AB108"/>
    <mergeCell ref="H107:H108"/>
    <mergeCell ref="I107:I108"/>
    <mergeCell ref="J107:J108"/>
    <mergeCell ref="N107:N108"/>
    <mergeCell ref="P107:P108"/>
    <mergeCell ref="R107:R108"/>
    <mergeCell ref="P109:P110"/>
    <mergeCell ref="A4:B4"/>
    <mergeCell ref="A5:B5"/>
    <mergeCell ref="A6:B6"/>
    <mergeCell ref="AR105:AV108"/>
    <mergeCell ref="Q36:R36"/>
    <mergeCell ref="S36:T36"/>
    <mergeCell ref="C6:G6"/>
    <mergeCell ref="B10:Z10"/>
    <mergeCell ref="B11:Z11"/>
    <mergeCell ref="B12:Z12"/>
    <mergeCell ref="K15:K16"/>
    <mergeCell ref="S6:T6"/>
    <mergeCell ref="A32:A34"/>
    <mergeCell ref="B32:H34"/>
    <mergeCell ref="O20:P20"/>
    <mergeCell ref="C4:G4"/>
    <mergeCell ref="C5:G5"/>
    <mergeCell ref="B20:H20"/>
    <mergeCell ref="Q21:R21"/>
    <mergeCell ref="O21:P21"/>
    <mergeCell ref="B30:Z30"/>
    <mergeCell ref="A24:Z24"/>
    <mergeCell ref="A23:Z23"/>
    <mergeCell ref="Q20:R20"/>
    <mergeCell ref="S21:T21"/>
    <mergeCell ref="I21:J21"/>
    <mergeCell ref="S20:T20"/>
    <mergeCell ref="B21:H21"/>
    <mergeCell ref="L21:N21"/>
    <mergeCell ref="U21:Z21"/>
    <mergeCell ref="U20:Z20"/>
    <mergeCell ref="U6:X6"/>
    <mergeCell ref="AR191:AV192"/>
    <mergeCell ref="R187:R188"/>
    <mergeCell ref="R189:R190"/>
    <mergeCell ref="AR193:AV194"/>
    <mergeCell ref="AR187:AV188"/>
    <mergeCell ref="AR189:AV190"/>
    <mergeCell ref="AR183:AV186"/>
    <mergeCell ref="R117:R118"/>
    <mergeCell ref="U19:Z19"/>
    <mergeCell ref="L18:N18"/>
    <mergeCell ref="I15:J16"/>
    <mergeCell ref="S16:T16"/>
    <mergeCell ref="B17:H17"/>
    <mergeCell ref="O15:P15"/>
    <mergeCell ref="O16:P16"/>
    <mergeCell ref="Q15:R15"/>
    <mergeCell ref="S15:T15"/>
    <mergeCell ref="S19:T19"/>
    <mergeCell ref="B14:H16"/>
    <mergeCell ref="R109:R110"/>
    <mergeCell ref="S109:AB112"/>
    <mergeCell ref="G111:G112"/>
    <mergeCell ref="K111:L112"/>
    <mergeCell ref="N111:N112"/>
    <mergeCell ref="P111:P112"/>
    <mergeCell ref="R111:R112"/>
    <mergeCell ref="A109:C112"/>
    <mergeCell ref="D109:D112"/>
    <mergeCell ref="E109:F112"/>
    <mergeCell ref="G109:G110"/>
    <mergeCell ref="H109:H112"/>
    <mergeCell ref="I109:I112"/>
    <mergeCell ref="Q100:R100"/>
    <mergeCell ref="S100:Y101"/>
    <mergeCell ref="Z100:AB101"/>
    <mergeCell ref="R152:R153"/>
    <mergeCell ref="S152:AB155"/>
    <mergeCell ref="AL152:AL155"/>
    <mergeCell ref="AR152:AV153"/>
    <mergeCell ref="AL160:AL163"/>
    <mergeCell ref="AR160:AV161"/>
    <mergeCell ref="Z178:AB179"/>
    <mergeCell ref="AL117:AL120"/>
    <mergeCell ref="AR117:AV118"/>
    <mergeCell ref="Q135:R135"/>
    <mergeCell ref="S135:Y136"/>
    <mergeCell ref="Z135:AB136"/>
    <mergeCell ref="Q136:R136"/>
    <mergeCell ref="Q144:R144"/>
    <mergeCell ref="S137:Y140"/>
    <mergeCell ref="S141:Y144"/>
    <mergeCell ref="S172:Y175"/>
    <mergeCell ref="S176:Y179"/>
    <mergeCell ref="Q137:R137"/>
    <mergeCell ref="Z137:AB138"/>
    <mergeCell ref="Z133:AB134"/>
    <mergeCell ref="Q143:R143"/>
    <mergeCell ref="Q179:R179"/>
    <mergeCell ref="Q125:R125"/>
    <mergeCell ref="Q173:R173"/>
    <mergeCell ref="AL164:AL167"/>
    <mergeCell ref="AR164:AV165"/>
    <mergeCell ref="Q171:R171"/>
    <mergeCell ref="S171:Y171"/>
    <mergeCell ref="A103:B103"/>
    <mergeCell ref="D103:J103"/>
    <mergeCell ref="A105:C108"/>
    <mergeCell ref="AS32:BA34"/>
    <mergeCell ref="AS35:BA35"/>
    <mergeCell ref="AJ38:AR38"/>
    <mergeCell ref="AS38:BA38"/>
    <mergeCell ref="AJ39:AR39"/>
    <mergeCell ref="AL187:AL190"/>
    <mergeCell ref="AL191:AL194"/>
    <mergeCell ref="AL183:AL186"/>
    <mergeCell ref="AJ36:AR36"/>
    <mergeCell ref="O17:P17"/>
    <mergeCell ref="O19:P19"/>
    <mergeCell ref="L19:N19"/>
    <mergeCell ref="L20:N20"/>
    <mergeCell ref="O18:P18"/>
    <mergeCell ref="L17:N17"/>
    <mergeCell ref="AL105:AL108"/>
    <mergeCell ref="S17:T17"/>
    <mergeCell ref="Q17:R17"/>
    <mergeCell ref="B18:H18"/>
    <mergeCell ref="D187:D190"/>
    <mergeCell ref="D191:D194"/>
    <mergeCell ref="I185:I186"/>
    <mergeCell ref="G183:J184"/>
    <mergeCell ref="I187:I190"/>
    <mergeCell ref="R185:R186"/>
    <mergeCell ref="R191:R192"/>
    <mergeCell ref="R193:R194"/>
    <mergeCell ref="Q184:R184"/>
    <mergeCell ref="R104:AB104"/>
    <mergeCell ref="BB32:BJ34"/>
    <mergeCell ref="I33:J34"/>
    <mergeCell ref="K33:K34"/>
    <mergeCell ref="L33:N34"/>
    <mergeCell ref="O33:P33"/>
    <mergeCell ref="O34:P34"/>
    <mergeCell ref="Q34:R34"/>
    <mergeCell ref="S34:T34"/>
    <mergeCell ref="AJ32:AR34"/>
    <mergeCell ref="U32:Z34"/>
    <mergeCell ref="O32:T32"/>
    <mergeCell ref="AJ21:AR21"/>
    <mergeCell ref="AJ14:AR16"/>
    <mergeCell ref="AJ17:AR17"/>
    <mergeCell ref="AJ18:AR18"/>
    <mergeCell ref="AJ19:AR19"/>
    <mergeCell ref="AJ20:AR20"/>
    <mergeCell ref="Q18:R18"/>
    <mergeCell ref="I18:J18"/>
    <mergeCell ref="I20:J20"/>
    <mergeCell ref="L15:N16"/>
    <mergeCell ref="I19:J19"/>
    <mergeCell ref="Q19:R19"/>
    <mergeCell ref="Q16:R16"/>
    <mergeCell ref="S18:T18"/>
    <mergeCell ref="O14:T14"/>
    <mergeCell ref="U14:Z16"/>
    <mergeCell ref="I14:N14"/>
    <mergeCell ref="I17:J17"/>
    <mergeCell ref="I32:N32"/>
    <mergeCell ref="Q33:R33"/>
    <mergeCell ref="S33:T33"/>
    <mergeCell ref="BB35:BJ35"/>
    <mergeCell ref="B37:H37"/>
    <mergeCell ref="I37:J37"/>
    <mergeCell ref="L37:N37"/>
    <mergeCell ref="O37:P37"/>
    <mergeCell ref="Q37:R37"/>
    <mergeCell ref="S37:T37"/>
    <mergeCell ref="AJ37:AR37"/>
    <mergeCell ref="B35:H35"/>
    <mergeCell ref="I35:J35"/>
    <mergeCell ref="L35:N35"/>
    <mergeCell ref="O35:P35"/>
    <mergeCell ref="Q35:R35"/>
    <mergeCell ref="S35:T35"/>
    <mergeCell ref="AJ35:AR35"/>
    <mergeCell ref="AS37:BA37"/>
    <mergeCell ref="BB37:BJ37"/>
    <mergeCell ref="B36:H36"/>
    <mergeCell ref="I36:J36"/>
    <mergeCell ref="L36:N36"/>
    <mergeCell ref="O36:P36"/>
    <mergeCell ref="BB36:BJ36"/>
    <mergeCell ref="AS36:BA36"/>
    <mergeCell ref="U35:Z35"/>
    <mergeCell ref="U36:Z36"/>
    <mergeCell ref="U37:Z37"/>
    <mergeCell ref="BB38:BJ38"/>
    <mergeCell ref="S38:T38"/>
    <mergeCell ref="AS39:BA39"/>
    <mergeCell ref="BB39:BJ39"/>
    <mergeCell ref="B40:H40"/>
    <mergeCell ref="I40:J40"/>
    <mergeCell ref="L40:N40"/>
    <mergeCell ref="O40:P40"/>
    <mergeCell ref="Q40:R40"/>
    <mergeCell ref="BB40:BJ40"/>
    <mergeCell ref="S40:T40"/>
    <mergeCell ref="AJ40:AR40"/>
    <mergeCell ref="AS40:BA40"/>
    <mergeCell ref="B39:H39"/>
    <mergeCell ref="I39:J39"/>
    <mergeCell ref="L39:N39"/>
    <mergeCell ref="O39:P39"/>
    <mergeCell ref="Q39:R39"/>
    <mergeCell ref="S39:T39"/>
    <mergeCell ref="B38:H38"/>
    <mergeCell ref="I38:J38"/>
    <mergeCell ref="L38:N38"/>
    <mergeCell ref="U38:Z38"/>
    <mergeCell ref="U40:Z40"/>
    <mergeCell ref="U39:Z39"/>
    <mergeCell ref="AR236:AV237"/>
    <mergeCell ref="AR232:AV235"/>
    <mergeCell ref="M232:R232"/>
    <mergeCell ref="P238:P239"/>
    <mergeCell ref="R238:R239"/>
    <mergeCell ref="AL236:AL239"/>
    <mergeCell ref="AR238:AV239"/>
    <mergeCell ref="AL232:AL235"/>
    <mergeCell ref="S236:AB239"/>
    <mergeCell ref="M233:N233"/>
    <mergeCell ref="O233:P233"/>
    <mergeCell ref="I236:I239"/>
    <mergeCell ref="J236:J239"/>
    <mergeCell ref="K238:L239"/>
    <mergeCell ref="N238:N239"/>
    <mergeCell ref="R236:R237"/>
    <mergeCell ref="D232:D235"/>
    <mergeCell ref="E232:F235"/>
    <mergeCell ref="G232:J233"/>
    <mergeCell ref="S232:AB232"/>
    <mergeCell ref="S233:AB235"/>
    <mergeCell ref="H234:H235"/>
    <mergeCell ref="N234:N235"/>
    <mergeCell ref="P234:P235"/>
    <mergeCell ref="R234:R235"/>
    <mergeCell ref="M228:N228"/>
    <mergeCell ref="O228:P228"/>
    <mergeCell ref="K224:L224"/>
    <mergeCell ref="Z199:AB200"/>
    <mergeCell ref="S201:Y202"/>
    <mergeCell ref="Z201:AB202"/>
    <mergeCell ref="O200:P200"/>
    <mergeCell ref="K199:L199"/>
    <mergeCell ref="K200:L200"/>
    <mergeCell ref="Q199:R199"/>
    <mergeCell ref="M223:N223"/>
    <mergeCell ref="D227:I228"/>
    <mergeCell ref="M227:N227"/>
    <mergeCell ref="O227:P227"/>
    <mergeCell ref="Q227:R227"/>
    <mergeCell ref="K202:L202"/>
    <mergeCell ref="M202:N202"/>
    <mergeCell ref="O202:P202"/>
    <mergeCell ref="Q202:R202"/>
    <mergeCell ref="J227:J228"/>
    <mergeCell ref="Z225:AB226"/>
    <mergeCell ref="S227:Y228"/>
    <mergeCell ref="Q203:R203"/>
    <mergeCell ref="S203:Y204"/>
    <mergeCell ref="Z203:AB204"/>
    <mergeCell ref="K204:L204"/>
    <mergeCell ref="M204:N204"/>
    <mergeCell ref="O201:P201"/>
    <mergeCell ref="S215:Y216"/>
    <mergeCell ref="Z215:AB216"/>
    <mergeCell ref="S217:Y218"/>
    <mergeCell ref="Z217:AB218"/>
    <mergeCell ref="U3:Z4"/>
    <mergeCell ref="Y5:Z5"/>
    <mergeCell ref="Y6:Z6"/>
    <mergeCell ref="S198:Y198"/>
    <mergeCell ref="S197:Y197"/>
    <mergeCell ref="K4:R4"/>
    <mergeCell ref="K5:R5"/>
    <mergeCell ref="Q196:R196"/>
    <mergeCell ref="S196:U196"/>
    <mergeCell ref="Q224:R224"/>
    <mergeCell ref="K189:L190"/>
    <mergeCell ref="N189:N190"/>
    <mergeCell ref="P189:P190"/>
    <mergeCell ref="N193:N194"/>
    <mergeCell ref="K187:L188"/>
    <mergeCell ref="N187:N188"/>
    <mergeCell ref="K193:L194"/>
    <mergeCell ref="P117:P118"/>
    <mergeCell ref="S117:AB120"/>
    <mergeCell ref="O184:P184"/>
    <mergeCell ref="O135:P135"/>
    <mergeCell ref="K136:L136"/>
    <mergeCell ref="M136:N136"/>
    <mergeCell ref="O136:P136"/>
    <mergeCell ref="K144:L144"/>
    <mergeCell ref="M144:N144"/>
    <mergeCell ref="O144:P144"/>
    <mergeCell ref="K46:L49"/>
    <mergeCell ref="M46:R46"/>
    <mergeCell ref="S46:AB46"/>
    <mergeCell ref="P62:P63"/>
    <mergeCell ref="P185:P186"/>
    <mergeCell ref="A183:C186"/>
    <mergeCell ref="E187:F190"/>
    <mergeCell ref="G187:G188"/>
    <mergeCell ref="H187:H190"/>
    <mergeCell ref="J187:J190"/>
    <mergeCell ref="E191:F194"/>
    <mergeCell ref="G193:G194"/>
    <mergeCell ref="D198:I198"/>
    <mergeCell ref="D197:I197"/>
    <mergeCell ref="D183:D186"/>
    <mergeCell ref="Q200:R200"/>
    <mergeCell ref="M199:N199"/>
    <mergeCell ref="Q198:R198"/>
    <mergeCell ref="A187:C190"/>
    <mergeCell ref="E183:F186"/>
    <mergeCell ref="H185:H186"/>
    <mergeCell ref="J199:J200"/>
    <mergeCell ref="D199:I202"/>
    <mergeCell ref="J201:J202"/>
    <mergeCell ref="O199:P199"/>
    <mergeCell ref="M198:N198"/>
    <mergeCell ref="Q201:R201"/>
    <mergeCell ref="K201:L201"/>
    <mergeCell ref="M201:N201"/>
    <mergeCell ref="Z223:AB224"/>
    <mergeCell ref="S225:Y226"/>
    <mergeCell ref="O204:P204"/>
    <mergeCell ref="Q204:R204"/>
    <mergeCell ref="S219:Y220"/>
    <mergeCell ref="Z219:AB220"/>
    <mergeCell ref="K220:L220"/>
    <mergeCell ref="M220:N220"/>
    <mergeCell ref="O220:P220"/>
    <mergeCell ref="Q220:R220"/>
    <mergeCell ref="M214:N214"/>
    <mergeCell ref="O214:P214"/>
    <mergeCell ref="Q223:R223"/>
    <mergeCell ref="O226:P226"/>
    <mergeCell ref="Q226:R226"/>
    <mergeCell ref="I191:I194"/>
    <mergeCell ref="A196:E196"/>
    <mergeCell ref="A197:C198"/>
    <mergeCell ref="Z197:AB198"/>
    <mergeCell ref="J196:P196"/>
    <mergeCell ref="K197:R197"/>
    <mergeCell ref="M200:N200"/>
    <mergeCell ref="J197:J198"/>
    <mergeCell ref="A211:C214"/>
    <mergeCell ref="D211:I214"/>
    <mergeCell ref="J211:J212"/>
    <mergeCell ref="K211:L211"/>
    <mergeCell ref="M211:N211"/>
    <mergeCell ref="O211:P211"/>
    <mergeCell ref="Q211:R211"/>
    <mergeCell ref="S211:Y212"/>
    <mergeCell ref="Z211:AB212"/>
    <mergeCell ref="A232:C235"/>
    <mergeCell ref="D236:D239"/>
    <mergeCell ref="E236:F239"/>
    <mergeCell ref="G236:G237"/>
    <mergeCell ref="H236:H239"/>
    <mergeCell ref="G238:G239"/>
    <mergeCell ref="Q233:R233"/>
    <mergeCell ref="I234:I235"/>
    <mergeCell ref="J234:J235"/>
    <mergeCell ref="K236:L237"/>
    <mergeCell ref="N236:N237"/>
    <mergeCell ref="P236:P237"/>
    <mergeCell ref="R231:AB231"/>
    <mergeCell ref="A219:C222"/>
    <mergeCell ref="J221:J222"/>
    <mergeCell ref="K221:L221"/>
    <mergeCell ref="M221:N221"/>
    <mergeCell ref="O221:P221"/>
    <mergeCell ref="Q221:R221"/>
    <mergeCell ref="S221:Y222"/>
    <mergeCell ref="Z221:AB222"/>
    <mergeCell ref="K222:L222"/>
    <mergeCell ref="M222:N222"/>
    <mergeCell ref="O222:P222"/>
    <mergeCell ref="Q222:R222"/>
    <mergeCell ref="K228:L228"/>
    <mergeCell ref="M225:N225"/>
    <mergeCell ref="K225:L225"/>
    <mergeCell ref="O225:P225"/>
    <mergeCell ref="Q225:R225"/>
    <mergeCell ref="K223:L223"/>
    <mergeCell ref="Q228:R228"/>
    <mergeCell ref="A215:C218"/>
    <mergeCell ref="D215:I218"/>
    <mergeCell ref="J215:J216"/>
    <mergeCell ref="K215:L215"/>
    <mergeCell ref="M215:N215"/>
    <mergeCell ref="O215:P215"/>
    <mergeCell ref="Q215:R215"/>
    <mergeCell ref="K216:L216"/>
    <mergeCell ref="M216:N216"/>
    <mergeCell ref="O216:P216"/>
    <mergeCell ref="Q216:R216"/>
    <mergeCell ref="J217:J218"/>
    <mergeCell ref="K217:L217"/>
    <mergeCell ref="M217:N217"/>
    <mergeCell ref="O217:P217"/>
    <mergeCell ref="Q217:R217"/>
    <mergeCell ref="D219:I222"/>
    <mergeCell ref="J219:J220"/>
    <mergeCell ref="K219:L219"/>
    <mergeCell ref="M219:N219"/>
    <mergeCell ref="O219:P219"/>
    <mergeCell ref="Q219:R219"/>
    <mergeCell ref="K218:L218"/>
    <mergeCell ref="M218:N218"/>
    <mergeCell ref="O218:P218"/>
    <mergeCell ref="Q218:R218"/>
  </mergeCells>
  <phoneticPr fontId="50" type="noConversion"/>
  <printOptions horizontalCentered="1"/>
  <pageMargins left="0.70866141732283472" right="0.9055118110236221" top="0.74803149606299213" bottom="0.74803149606299213" header="0.31496062992125984" footer="0.31496062992125984"/>
  <pageSetup paperSize="8" scale="70" fitToHeight="10" orientation="landscape" r:id="rId4"/>
  <headerFooter alignWithMargins="0"/>
  <rowBreaks count="11" manualBreakCount="11">
    <brk id="36" max="27" man="1"/>
    <brk id="77" max="27" man="1"/>
    <brk id="95" max="27" man="1"/>
    <brk id="112" max="27" man="1"/>
    <brk id="128" max="27" man="1"/>
    <brk id="145" max="27" man="1"/>
    <brk id="167" max="27" man="1"/>
    <brk id="179" max="27" man="1"/>
    <brk id="206" max="27" man="1"/>
    <brk id="228" max="27" man="1"/>
    <brk id="247" max="27" man="1"/>
  </rowBreaks>
  <ignoredErrors>
    <ignoredError sqref="K193 K189" formula="1"/>
  </ignoredError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opLeftCell="L4" workbookViewId="0">
      <selection activeCell="O34" sqref="O34"/>
    </sheetView>
  </sheetViews>
  <sheetFormatPr defaultColWidth="8.7109375" defaultRowHeight="12.75" x14ac:dyDescent="0.2"/>
  <cols>
    <col min="1" max="1" width="8.7109375" hidden="1" customWidth="1"/>
    <col min="2" max="2" width="19.42578125" hidden="1" customWidth="1"/>
    <col min="3" max="6" width="8.7109375" style="187" hidden="1" customWidth="1"/>
    <col min="7" max="9" width="8.7109375" hidden="1" customWidth="1"/>
    <col min="10" max="10" width="76.7109375" customWidth="1"/>
    <col min="11" max="11" width="16" customWidth="1"/>
    <col min="12" max="12" width="11.42578125" customWidth="1"/>
    <col min="13" max="13" width="15.28515625" customWidth="1"/>
    <col min="14" max="14" width="8.7109375" customWidth="1"/>
    <col min="15" max="15" width="11.28515625" customWidth="1"/>
    <col min="16" max="16" width="6.42578125" customWidth="1"/>
    <col min="17" max="17" width="18" bestFit="1" customWidth="1"/>
  </cols>
  <sheetData>
    <row r="1" spans="1:16" s="198" customFormat="1" ht="30" customHeight="1" x14ac:dyDescent="0.25">
      <c r="C1" s="199"/>
      <c r="D1" s="199"/>
      <c r="E1" s="199"/>
      <c r="F1" s="199"/>
      <c r="J1" s="205" t="str">
        <f ca="1">Translations!$A$96</f>
        <v>Summary of requested 3 years of funding by module</v>
      </c>
      <c r="K1" s="206"/>
      <c r="L1" s="206"/>
      <c r="M1" s="206"/>
      <c r="N1" s="206"/>
      <c r="O1" s="206"/>
      <c r="P1" s="206"/>
    </row>
    <row r="2" spans="1:16" x14ac:dyDescent="0.2">
      <c r="J2" s="201"/>
      <c r="K2" s="201"/>
      <c r="L2" s="201"/>
      <c r="M2" s="201"/>
      <c r="N2" s="201"/>
      <c r="O2" s="201"/>
      <c r="P2" s="201"/>
    </row>
    <row r="3" spans="1:16" x14ac:dyDescent="0.2">
      <c r="A3" t="s">
        <v>1564</v>
      </c>
      <c r="B3" t="str">
        <f>Modules!D1</f>
        <v>Label</v>
      </c>
      <c r="C3" s="187" t="s">
        <v>981</v>
      </c>
      <c r="D3" s="187" t="s">
        <v>1907</v>
      </c>
      <c r="E3" s="187" t="s">
        <v>1551</v>
      </c>
      <c r="F3" s="187" t="s">
        <v>1908</v>
      </c>
      <c r="G3" t="s">
        <v>1911</v>
      </c>
      <c r="H3" s="187" t="s">
        <v>1909</v>
      </c>
      <c r="J3" s="876" t="str">
        <f ca="1">Translations!$A$97</f>
        <v>To refresh the pivot table with latest amounts entered in the Module budgets on the Concept Note sheet, click anywhere on the pivot table and then press Alt + F5.</v>
      </c>
      <c r="K3" s="876"/>
      <c r="L3" s="876"/>
      <c r="M3" s="876"/>
      <c r="N3" s="876"/>
      <c r="O3" s="876"/>
      <c r="P3" s="876"/>
    </row>
    <row r="4" spans="1:16" x14ac:dyDescent="0.2">
      <c r="A4">
        <f>Modules!C2</f>
        <v>1</v>
      </c>
      <c r="B4" t="str">
        <f ca="1">Modules!D2</f>
        <v>Prevention - General population</v>
      </c>
      <c r="C4" s="187">
        <f ca="1">SUMIF('Concept Note'!AM:AM,A4,'Concept Note'!AN:AN)</f>
        <v>0</v>
      </c>
      <c r="D4" s="200">
        <f t="shared" ref="D4:D11" ca="1" si="0">C4/SUM(C:C)</f>
        <v>0</v>
      </c>
      <c r="E4" s="187">
        <f ca="1">SUMIF('Concept Note'!$AM:$AM,A4,'Concept Note'!$AO:$AO)</f>
        <v>0</v>
      </c>
      <c r="F4" s="200">
        <f t="shared" ref="F4:F11" ca="1" si="1">E4/SUM(E:E)</f>
        <v>0</v>
      </c>
      <c r="G4" s="187">
        <f ca="1">SUM(C4,E4)</f>
        <v>0</v>
      </c>
      <c r="H4" s="200">
        <f t="shared" ref="H4:H11" ca="1" si="2">G4/SUM(G:G)</f>
        <v>0</v>
      </c>
      <c r="J4" s="876"/>
      <c r="K4" s="876"/>
      <c r="L4" s="876"/>
      <c r="M4" s="876"/>
      <c r="N4" s="876"/>
      <c r="O4" s="876"/>
      <c r="P4" s="876"/>
    </row>
    <row r="5" spans="1:16" x14ac:dyDescent="0.2">
      <c r="A5">
        <f>Modules!C8</f>
        <v>2</v>
      </c>
      <c r="B5" t="str">
        <f ca="1">Modules!D8</f>
        <v>PMTCT</v>
      </c>
      <c r="C5" s="187">
        <f ca="1">SUMIF('Concept Note'!AM:AM,A5,'Concept Note'!AN:AN)</f>
        <v>0</v>
      </c>
      <c r="D5" s="200">
        <f t="shared" ca="1" si="0"/>
        <v>0</v>
      </c>
      <c r="E5" s="187">
        <f ca="1">SUMIF('Concept Note'!$AM:$AM,A5,'Concept Note'!$AO:$AO)</f>
        <v>0</v>
      </c>
      <c r="F5" s="200">
        <f t="shared" ca="1" si="1"/>
        <v>0</v>
      </c>
      <c r="G5" s="187">
        <f t="shared" ref="G5:G11" ca="1" si="3">SUM(C5,E5)</f>
        <v>0</v>
      </c>
      <c r="H5" s="200">
        <f t="shared" ca="1" si="2"/>
        <v>0</v>
      </c>
      <c r="J5" s="201"/>
      <c r="K5" s="201"/>
      <c r="L5" s="201"/>
      <c r="M5" s="201"/>
      <c r="N5" s="201"/>
      <c r="O5" s="201"/>
      <c r="P5" s="201"/>
    </row>
    <row r="6" spans="1:16" x14ac:dyDescent="0.2">
      <c r="A6">
        <f>Modules!C9</f>
        <v>3</v>
      </c>
      <c r="B6" t="str">
        <f ca="1">Modules!D9</f>
        <v>Treatment, care and support</v>
      </c>
      <c r="C6" s="187">
        <f ca="1">SUMIF('Concept Note'!AM:AM,A6,'Concept Note'!AN:AN)</f>
        <v>0</v>
      </c>
      <c r="D6" s="200">
        <f t="shared" ca="1" si="0"/>
        <v>0</v>
      </c>
      <c r="E6" s="187">
        <f ca="1">SUMIF('Concept Note'!$AM:$AM,A6,'Concept Note'!$AO:$AO)</f>
        <v>0</v>
      </c>
      <c r="F6" s="200">
        <f t="shared" ca="1" si="1"/>
        <v>0</v>
      </c>
      <c r="G6" s="187">
        <f t="shared" ca="1" si="3"/>
        <v>0</v>
      </c>
      <c r="H6" s="200">
        <f t="shared" ca="1" si="2"/>
        <v>0</v>
      </c>
      <c r="J6" s="207" t="s">
        <v>1910</v>
      </c>
      <c r="K6" s="201" t="s">
        <v>1906</v>
      </c>
      <c r="L6" s="201" t="s">
        <v>1913</v>
      </c>
      <c r="M6" s="201" t="s">
        <v>982</v>
      </c>
      <c r="N6" s="201" t="s">
        <v>1912</v>
      </c>
      <c r="O6" s="201" t="s">
        <v>1915</v>
      </c>
      <c r="P6" s="201" t="s">
        <v>1914</v>
      </c>
    </row>
    <row r="7" spans="1:16" x14ac:dyDescent="0.2">
      <c r="A7">
        <f>Modules!C10</f>
        <v>4</v>
      </c>
      <c r="B7" t="str">
        <f ca="1">Modules!D10</f>
        <v>Monitoring and Evaluation</v>
      </c>
      <c r="C7" s="187">
        <f ca="1">SUMIF('Concept Note'!AM:AM,A7,'Concept Note'!AN:AN)</f>
        <v>0</v>
      </c>
      <c r="D7" s="200">
        <f t="shared" ca="1" si="0"/>
        <v>0</v>
      </c>
      <c r="E7" s="187">
        <f ca="1">SUMIF('Concept Note'!$AM:$AM,A7,'Concept Note'!$AO:$AO)</f>
        <v>0</v>
      </c>
      <c r="F7" s="200">
        <f t="shared" ca="1" si="1"/>
        <v>0</v>
      </c>
      <c r="G7" s="187">
        <f t="shared" ca="1" si="3"/>
        <v>0</v>
      </c>
      <c r="H7" s="200">
        <f t="shared" ca="1" si="2"/>
        <v>0</v>
      </c>
      <c r="J7" s="208" t="s">
        <v>1572</v>
      </c>
      <c r="K7" s="202">
        <v>7716197.0139024397</v>
      </c>
      <c r="L7" s="203">
        <v>0.1313640382782294</v>
      </c>
      <c r="M7" s="202">
        <v>1623120.2775609759</v>
      </c>
      <c r="N7" s="203">
        <v>7.2371265303307161E-2</v>
      </c>
      <c r="O7" s="202">
        <v>9339317.2914634161</v>
      </c>
      <c r="P7" s="203">
        <v>0.1150633733428373</v>
      </c>
    </row>
    <row r="8" spans="1:16" x14ac:dyDescent="0.2">
      <c r="A8">
        <f>Modules!C11</f>
        <v>5</v>
      </c>
      <c r="B8" t="str">
        <f ca="1">Modules!D11</f>
        <v>Program management</v>
      </c>
      <c r="C8" s="187">
        <f ca="1">SUMIF('Concept Note'!AM:AM,A8,'Concept Note'!AN:AN)</f>
        <v>0</v>
      </c>
      <c r="D8" s="200">
        <f t="shared" ca="1" si="0"/>
        <v>0</v>
      </c>
      <c r="E8" s="187">
        <f ca="1">SUMIF('Concept Note'!$AM:$AM,A8,'Concept Note'!$AO:$AO)</f>
        <v>0</v>
      </c>
      <c r="F8" s="200">
        <f t="shared" ca="1" si="1"/>
        <v>0</v>
      </c>
      <c r="G8" s="187">
        <f t="shared" ca="1" si="3"/>
        <v>0</v>
      </c>
      <c r="H8" s="200">
        <f t="shared" ca="1" si="2"/>
        <v>0</v>
      </c>
      <c r="J8" s="208" t="s">
        <v>1574</v>
      </c>
      <c r="K8" s="202">
        <v>50205087.753427833</v>
      </c>
      <c r="L8" s="203">
        <v>0.85471418854657899</v>
      </c>
      <c r="M8" s="202">
        <v>20804569.369130939</v>
      </c>
      <c r="N8" s="203">
        <v>0.92762873469669282</v>
      </c>
      <c r="O8" s="202">
        <v>71009657.122558773</v>
      </c>
      <c r="P8" s="203">
        <v>0.87486166637771001</v>
      </c>
    </row>
    <row r="9" spans="1:16" x14ac:dyDescent="0.2">
      <c r="A9">
        <f>Modules!C12</f>
        <v>6</v>
      </c>
      <c r="B9" t="str">
        <f ca="1">Modules!D12</f>
        <v>DOTS-based package</v>
      </c>
      <c r="C9" s="187">
        <f ca="1">SUMIF('Concept Note'!AM:AM,A9,'Concept Note'!AN:AN)</f>
        <v>5946700.3571428657</v>
      </c>
      <c r="D9" s="200">
        <f t="shared" ca="1" si="0"/>
        <v>0.10053747338423179</v>
      </c>
      <c r="E9" s="187">
        <f ca="1">SUMIF('Concept Note'!$AM:$AM,A9,'Concept Note'!$AO:$AO)</f>
        <v>1053571</v>
      </c>
      <c r="F9" s="200">
        <f t="shared" ca="1" si="1"/>
        <v>4.9318035163166185E-2</v>
      </c>
      <c r="G9" s="187">
        <f t="shared" ca="1" si="3"/>
        <v>7000271.3571428657</v>
      </c>
      <c r="H9" s="200">
        <f t="shared" ca="1" si="2"/>
        <v>8.6947054260909137E-2</v>
      </c>
      <c r="J9" s="208" t="s">
        <v>1573</v>
      </c>
      <c r="K9" s="202">
        <v>817751.54</v>
      </c>
      <c r="L9" s="203">
        <v>1.3921773175191669E-2</v>
      </c>
      <c r="M9" s="202">
        <v>0</v>
      </c>
      <c r="N9" s="203">
        <v>0</v>
      </c>
      <c r="O9" s="202">
        <v>817751.54</v>
      </c>
      <c r="P9" s="203">
        <v>1.0074960279452748E-2</v>
      </c>
    </row>
    <row r="10" spans="1:16" x14ac:dyDescent="0.2">
      <c r="A10">
        <f>Modules!C13</f>
        <v>7</v>
      </c>
      <c r="B10" t="str">
        <f ca="1">Modules!D13</f>
        <v>TB/HIV package (in high TB/HIV burden countries or for high risk groups in all countries)</v>
      </c>
      <c r="C10" s="187">
        <f ca="1">SUMIF('Concept Note'!AM:AM,A10,'Concept Note'!AN:AN)</f>
        <v>798281.26523809507</v>
      </c>
      <c r="D10" s="200">
        <f t="shared" ca="1" si="0"/>
        <v>1.3496086339814504E-2</v>
      </c>
      <c r="E10" s="187">
        <f ca="1">SUMIF('Concept Note'!$AM:$AM,A10,'Concept Note'!$AO:$AO)</f>
        <v>0</v>
      </c>
      <c r="F10" s="200">
        <f t="shared" ca="1" si="1"/>
        <v>0</v>
      </c>
      <c r="G10" s="187">
        <f t="shared" ca="1" si="3"/>
        <v>798281.26523809507</v>
      </c>
      <c r="H10" s="200">
        <f t="shared" ca="1" si="2"/>
        <v>9.9150734225897999E-3</v>
      </c>
      <c r="J10" s="208" t="s">
        <v>1955</v>
      </c>
      <c r="K10" s="202">
        <v>58739036.307330273</v>
      </c>
      <c r="L10" s="203">
        <v>1</v>
      </c>
      <c r="M10" s="202">
        <v>22427689.646691915</v>
      </c>
      <c r="N10" s="203">
        <v>1</v>
      </c>
      <c r="O10" s="202">
        <v>81166725.954022199</v>
      </c>
      <c r="P10" s="203">
        <v>1</v>
      </c>
    </row>
    <row r="11" spans="1:16" x14ac:dyDescent="0.2">
      <c r="A11">
        <f>Modules!C14</f>
        <v>8</v>
      </c>
      <c r="B11" t="str">
        <f ca="1">Modules!D14</f>
        <v>MDR-TB package (in high MDR-TB burden countries or for high risk groups in all countries)</v>
      </c>
      <c r="C11" s="187">
        <f ca="1">SUMIF('Concept Note'!AM:AM,A11,'Concept Note'!AN:AN)</f>
        <v>52404111.317481413</v>
      </c>
      <c r="D11" s="200">
        <f t="shared" ca="1" si="0"/>
        <v>0.88596644027595373</v>
      </c>
      <c r="E11" s="187">
        <f ca="1">SUMIF('Concept Note'!$AM:$AM,A11,'Concept Note'!$AO:$AO)</f>
        <v>20309222.479389731</v>
      </c>
      <c r="F11" s="200">
        <f t="shared" ca="1" si="1"/>
        <v>0.95068196483683387</v>
      </c>
      <c r="G11" s="187">
        <f t="shared" ca="1" si="3"/>
        <v>72713333.796871141</v>
      </c>
      <c r="H11" s="200">
        <f t="shared" ca="1" si="2"/>
        <v>0.90313787231650111</v>
      </c>
    </row>
    <row r="12" spans="1:16" x14ac:dyDescent="0.2">
      <c r="C12" s="258"/>
      <c r="D12" s="200"/>
      <c r="E12" s="258"/>
      <c r="F12" s="200"/>
      <c r="G12" s="258"/>
      <c r="H12" s="200"/>
    </row>
    <row r="13" spans="1:16" x14ac:dyDescent="0.2">
      <c r="A13">
        <f>Modules!C18</f>
        <v>12</v>
      </c>
      <c r="B13" t="str">
        <f ca="1">Modules!D18</f>
        <v>Vector Control (VC)</v>
      </c>
      <c r="C13" s="187">
        <f ca="1">SUMIF('Concept Note'!AM:AM,A13,'Concept Note'!AN:AN)</f>
        <v>0</v>
      </c>
      <c r="D13" s="200">
        <f t="shared" ref="D13:D37" ca="1" si="4">C13/SUM(C:C)</f>
        <v>0</v>
      </c>
      <c r="E13" s="187">
        <f ca="1">SUMIF('Concept Note'!$AM:$AM,A13,'Concept Note'!$AO:$AO)</f>
        <v>0</v>
      </c>
      <c r="F13" s="200">
        <f t="shared" ref="F13:F37" ca="1" si="5">E13/SUM(E:E)</f>
        <v>0</v>
      </c>
      <c r="G13" s="187">
        <f t="shared" ref="G13:G37" ca="1" si="6">SUM(C13,E13)</f>
        <v>0</v>
      </c>
      <c r="H13" s="200">
        <f t="shared" ref="H13:H37" ca="1" si="7">G13/SUM(G:G)</f>
        <v>0</v>
      </c>
    </row>
    <row r="14" spans="1:16" s="255" customFormat="1" x14ac:dyDescent="0.2">
      <c r="A14" s="255">
        <f>Modules!C19</f>
        <v>13</v>
      </c>
      <c r="B14" s="255" t="str">
        <f ca="1">Modules!D19</f>
        <v>Case Management (CM)</v>
      </c>
      <c r="C14" s="256">
        <f ca="1">SUMIF('Concept Note'!AM:AM,A14,'Concept Note'!AN:AN)</f>
        <v>0</v>
      </c>
      <c r="D14" s="257">
        <f t="shared" ca="1" si="4"/>
        <v>0</v>
      </c>
      <c r="E14" s="256">
        <f ca="1">SUMIF('Concept Note'!$AM:$AM,A14,'Concept Note'!$AO:$AO)</f>
        <v>0</v>
      </c>
      <c r="F14" s="257">
        <f t="shared" ca="1" si="5"/>
        <v>0</v>
      </c>
      <c r="G14" s="256">
        <f t="shared" ca="1" si="6"/>
        <v>0</v>
      </c>
      <c r="H14" s="257">
        <f t="shared" ca="1" si="7"/>
        <v>0</v>
      </c>
      <c r="J14" s="261" t="s">
        <v>1958</v>
      </c>
      <c r="K14" s="262">
        <f>72180000</f>
        <v>72180000</v>
      </c>
      <c r="L14" s="256"/>
      <c r="M14" s="256"/>
      <c r="N14" s="256"/>
      <c r="O14" s="256"/>
      <c r="P14" s="256"/>
    </row>
    <row r="15" spans="1:16" x14ac:dyDescent="0.2">
      <c r="A15">
        <f>Modules!C20</f>
        <v>14</v>
      </c>
      <c r="B15" t="str">
        <f ca="1">Modules!D20</f>
        <v>Specific Prevention Interventions (SPI)</v>
      </c>
      <c r="C15" s="187">
        <f ca="1">SUMIF('Concept Note'!AM:AM,A15,'Concept Note'!AN:AN)</f>
        <v>0</v>
      </c>
      <c r="D15" s="200">
        <f t="shared" ca="1" si="4"/>
        <v>0</v>
      </c>
      <c r="E15" s="187">
        <f ca="1">SUMIF('Concept Note'!$AM:$AM,A15,'Concept Note'!$AO:$AO)</f>
        <v>0</v>
      </c>
      <c r="F15" s="200">
        <f t="shared" ca="1" si="5"/>
        <v>0</v>
      </c>
      <c r="G15" s="187">
        <f t="shared" ca="1" si="6"/>
        <v>0</v>
      </c>
      <c r="H15" s="200">
        <f t="shared" ca="1" si="7"/>
        <v>0</v>
      </c>
      <c r="J15" s="261" t="s">
        <v>1954</v>
      </c>
      <c r="K15" s="263">
        <f>K14-GETPIVOTDATA("Indicative budget",$J$6)</f>
        <v>13440963.692669727</v>
      </c>
    </row>
    <row r="16" spans="1:16" x14ac:dyDescent="0.2">
      <c r="A16">
        <f>Modules!C21</f>
        <v>15</v>
      </c>
      <c r="B16" t="str">
        <f ca="1">Modules!D21</f>
        <v>Monitoring and Evaluation (ME)</v>
      </c>
      <c r="C16" s="187">
        <f ca="1">SUMIF('Concept Note'!AM:AM,A16,'Concept Note'!AN:AN)</f>
        <v>0</v>
      </c>
      <c r="D16" s="200">
        <f t="shared" ca="1" si="4"/>
        <v>0</v>
      </c>
      <c r="E16" s="187">
        <f ca="1">SUMIF('Concept Note'!$AM:$AM,A16,'Concept Note'!$AO:$AO)</f>
        <v>0</v>
      </c>
      <c r="F16" s="200">
        <f t="shared" ca="1" si="5"/>
        <v>0</v>
      </c>
      <c r="G16" s="187">
        <f t="shared" ca="1" si="6"/>
        <v>0</v>
      </c>
      <c r="H16" s="200">
        <f t="shared" ca="1" si="7"/>
        <v>0</v>
      </c>
    </row>
    <row r="17" spans="1:17" x14ac:dyDescent="0.2">
      <c r="A17">
        <f>Modules!C6</f>
        <v>29</v>
      </c>
      <c r="B17" t="str">
        <f ca="1">Modules!D6</f>
        <v>Prevention - Adolescents and youth -in and out of school</v>
      </c>
      <c r="C17" s="187">
        <f ca="1">SUMIF('Concept Note'!AM:AM,A17,'Concept Note'!AN:AN)</f>
        <v>0</v>
      </c>
      <c r="D17" s="200">
        <f t="shared" ca="1" si="4"/>
        <v>0</v>
      </c>
      <c r="E17" s="187">
        <f ca="1">SUMIF('Concept Note'!$AM:$AM,A17,'Concept Note'!$AO:$AO)</f>
        <v>0</v>
      </c>
      <c r="F17" s="200">
        <f t="shared" ca="1" si="5"/>
        <v>0</v>
      </c>
      <c r="G17" s="187">
        <f t="shared" ca="1" si="6"/>
        <v>0</v>
      </c>
      <c r="H17" s="200">
        <f t="shared" ca="1" si="7"/>
        <v>0</v>
      </c>
    </row>
    <row r="18" spans="1:17" x14ac:dyDescent="0.2">
      <c r="A18">
        <f>Modules!C31</f>
        <v>0</v>
      </c>
      <c r="B18">
        <f>Modules!D31</f>
        <v>0</v>
      </c>
      <c r="C18" s="187">
        <f ca="1">SUMIF('Concept Note'!AM:AM,A18,'Concept Note'!AN:AN)</f>
        <v>0</v>
      </c>
      <c r="D18" s="200">
        <f t="shared" ca="1" si="4"/>
        <v>0</v>
      </c>
      <c r="E18" s="187">
        <f ca="1">SUMIF('Concept Note'!$AM:$AM,A18,'Concept Note'!$AO:$AO)</f>
        <v>0</v>
      </c>
      <c r="F18" s="200">
        <f t="shared" ca="1" si="5"/>
        <v>0</v>
      </c>
      <c r="G18" s="187">
        <f t="shared" ca="1" si="6"/>
        <v>0</v>
      </c>
      <c r="H18" s="200">
        <f t="shared" ca="1" si="7"/>
        <v>0</v>
      </c>
    </row>
    <row r="19" spans="1:17" x14ac:dyDescent="0.2">
      <c r="A19">
        <f>Modules!C32</f>
        <v>0</v>
      </c>
      <c r="B19">
        <f>Modules!D32</f>
        <v>0</v>
      </c>
      <c r="C19" s="187">
        <f ca="1">SUMIF('Concept Note'!AM:AM,A19,'Concept Note'!AN:AN)</f>
        <v>0</v>
      </c>
      <c r="D19" s="200">
        <f t="shared" ca="1" si="4"/>
        <v>0</v>
      </c>
      <c r="E19" s="187">
        <f ca="1">SUMIF('Concept Note'!$AM:$AM,A19,'Concept Note'!$AO:$AO)</f>
        <v>0</v>
      </c>
      <c r="F19" s="200">
        <f t="shared" ca="1" si="5"/>
        <v>0</v>
      </c>
      <c r="G19" s="187">
        <f t="shared" ca="1" si="6"/>
        <v>0</v>
      </c>
      <c r="H19" s="200">
        <f t="shared" ca="1" si="7"/>
        <v>0</v>
      </c>
    </row>
    <row r="20" spans="1:17" x14ac:dyDescent="0.2">
      <c r="A20">
        <f>Modules!C33</f>
        <v>0</v>
      </c>
      <c r="B20">
        <f>Modules!D33</f>
        <v>0</v>
      </c>
      <c r="C20" s="187">
        <f ca="1">SUMIF('Concept Note'!AM:AM,A20,'Concept Note'!AN:AN)</f>
        <v>0</v>
      </c>
      <c r="D20" s="200">
        <f t="shared" ca="1" si="4"/>
        <v>0</v>
      </c>
      <c r="E20" s="187">
        <f ca="1">SUMIF('Concept Note'!$AM:$AM,A20,'Concept Note'!$AO:$AO)</f>
        <v>0</v>
      </c>
      <c r="F20" s="200">
        <f t="shared" ca="1" si="5"/>
        <v>0</v>
      </c>
      <c r="G20" s="187">
        <f t="shared" ca="1" si="6"/>
        <v>0</v>
      </c>
      <c r="H20" s="200">
        <f t="shared" ca="1" si="7"/>
        <v>0</v>
      </c>
    </row>
    <row r="21" spans="1:17" x14ac:dyDescent="0.2">
      <c r="A21">
        <f>Modules!C34</f>
        <v>0</v>
      </c>
      <c r="B21">
        <f>Modules!D34</f>
        <v>0</v>
      </c>
      <c r="C21" s="187">
        <f ca="1">SUMIF('Concept Note'!AM:AM,A21,'Concept Note'!AN:AN)</f>
        <v>0</v>
      </c>
      <c r="D21" s="200">
        <f t="shared" ca="1" si="4"/>
        <v>0</v>
      </c>
      <c r="E21" s="187">
        <f ca="1">SUMIF('Concept Note'!$AM:$AM,A21,'Concept Note'!$AO:$AO)</f>
        <v>0</v>
      </c>
      <c r="F21" s="200">
        <f t="shared" ca="1" si="5"/>
        <v>0</v>
      </c>
      <c r="G21" s="187">
        <f t="shared" ca="1" si="6"/>
        <v>0</v>
      </c>
      <c r="H21" s="200">
        <f t="shared" ca="1" si="7"/>
        <v>0</v>
      </c>
      <c r="J21" s="277" t="s">
        <v>1982</v>
      </c>
      <c r="K21" s="258"/>
    </row>
    <row r="22" spans="1:17" x14ac:dyDescent="0.2">
      <c r="A22">
        <f>Modules!C35</f>
        <v>0</v>
      </c>
      <c r="B22">
        <f>Modules!D35</f>
        <v>0</v>
      </c>
      <c r="C22" s="187">
        <f ca="1">SUMIF('Concept Note'!AM:AM,A22,'Concept Note'!AN:AN)</f>
        <v>0</v>
      </c>
      <c r="D22" s="200">
        <f t="shared" ca="1" si="4"/>
        <v>0</v>
      </c>
      <c r="E22" s="187">
        <f ca="1">SUMIF('Concept Note'!$AM:$AM,A22,'Concept Note'!$AO:$AO)</f>
        <v>0</v>
      </c>
      <c r="F22" s="200">
        <f t="shared" ca="1" si="5"/>
        <v>0</v>
      </c>
      <c r="G22" s="187">
        <f t="shared" ca="1" si="6"/>
        <v>0</v>
      </c>
      <c r="H22" s="200">
        <f t="shared" ca="1" si="7"/>
        <v>0</v>
      </c>
      <c r="J22" s="278" t="s">
        <v>1440</v>
      </c>
      <c r="K22" s="279">
        <f>'Concept Note'!F87</f>
        <v>5946700.3571428657</v>
      </c>
      <c r="L22" s="293">
        <f ca="1">K22/K28</f>
        <v>8.2387092618565749E-2</v>
      </c>
      <c r="M22" s="296">
        <v>1623120</v>
      </c>
      <c r="N22" s="293">
        <f>M22/M28</f>
        <v>7.1981886917764804E-2</v>
      </c>
      <c r="O22" s="279">
        <f>K22+M22</f>
        <v>7569820.3571428657</v>
      </c>
      <c r="P22" s="293">
        <f ca="1">O22/O28</f>
        <v>7.9910268936706413E-2</v>
      </c>
    </row>
    <row r="23" spans="1:17" x14ac:dyDescent="0.2">
      <c r="A23">
        <f>Modules!C36</f>
        <v>0</v>
      </c>
      <c r="B23">
        <f>Modules!D36</f>
        <v>0</v>
      </c>
      <c r="C23" s="187">
        <f ca="1">SUMIF('Concept Note'!AM:AM,A23,'Concept Note'!AN:AN)</f>
        <v>0</v>
      </c>
      <c r="D23" s="200">
        <f t="shared" ca="1" si="4"/>
        <v>0</v>
      </c>
      <c r="E23" s="187">
        <f ca="1">SUMIF('Concept Note'!$AM:$AM,A23,'Concept Note'!$AO:$AO)</f>
        <v>0</v>
      </c>
      <c r="F23" s="200">
        <f t="shared" ca="1" si="5"/>
        <v>0</v>
      </c>
      <c r="G23" s="187">
        <f t="shared" ca="1" si="6"/>
        <v>0</v>
      </c>
      <c r="H23" s="200">
        <f t="shared" ca="1" si="7"/>
        <v>0</v>
      </c>
      <c r="J23" s="278" t="s">
        <v>1981</v>
      </c>
      <c r="K23" s="279">
        <f>'Concept Note'!F122</f>
        <v>52404111.317481413</v>
      </c>
      <c r="L23" s="293">
        <f ca="1">K23/K28</f>
        <v>0.72601982837778412</v>
      </c>
      <c r="M23" s="296">
        <v>20804569</v>
      </c>
      <c r="N23" s="293">
        <f>M23/M28</f>
        <v>0.92263796461804126</v>
      </c>
      <c r="O23" s="279">
        <f t="shared" ref="O23:O26" si="8">K23+M23</f>
        <v>73208680.317481413</v>
      </c>
      <c r="P23" s="293">
        <f ca="1">O23/O28</f>
        <v>0.77282221461849343</v>
      </c>
    </row>
    <row r="24" spans="1:17" x14ac:dyDescent="0.2">
      <c r="A24">
        <f>Modules!C37</f>
        <v>0</v>
      </c>
      <c r="B24">
        <f>Modules!D37</f>
        <v>0</v>
      </c>
      <c r="C24" s="187">
        <f ca="1">SUMIF('Concept Note'!AM:AM,A24,'Concept Note'!AN:AN)</f>
        <v>0</v>
      </c>
      <c r="D24" s="200">
        <f t="shared" ca="1" si="4"/>
        <v>0</v>
      </c>
      <c r="E24" s="187">
        <f ca="1">SUMIF('Concept Note'!$AM:$AM,A24,'Concept Note'!$AO:$AO)</f>
        <v>0</v>
      </c>
      <c r="F24" s="200">
        <f t="shared" ca="1" si="5"/>
        <v>0</v>
      </c>
      <c r="G24" s="187">
        <f t="shared" ca="1" si="6"/>
        <v>0</v>
      </c>
      <c r="H24" s="200">
        <f t="shared" ca="1" si="7"/>
        <v>0</v>
      </c>
      <c r="J24" s="278" t="s">
        <v>1983</v>
      </c>
      <c r="K24" s="279">
        <f>'Concept Note'!F169</f>
        <v>798281.26523809507</v>
      </c>
      <c r="L24" s="293">
        <f ca="1">K24/K28</f>
        <v>1.1059590795732566E-2</v>
      </c>
      <c r="M24" s="296">
        <v>0</v>
      </c>
      <c r="N24" s="293">
        <f>M24/M28</f>
        <v>0</v>
      </c>
      <c r="O24" s="279">
        <f t="shared" si="8"/>
        <v>798281.26523809507</v>
      </c>
      <c r="P24" s="293">
        <f ca="1">O24/O28</f>
        <v>8.4269992658567543E-3</v>
      </c>
    </row>
    <row r="25" spans="1:17" x14ac:dyDescent="0.2">
      <c r="A25">
        <f>Modules!C38</f>
        <v>0</v>
      </c>
      <c r="B25">
        <f>Modules!D38</f>
        <v>0</v>
      </c>
      <c r="C25" s="187">
        <f ca="1">SUMIF('Concept Note'!AM:AM,A25,'Concept Note'!AN:AN)</f>
        <v>0</v>
      </c>
      <c r="D25" s="200">
        <f t="shared" ca="1" si="4"/>
        <v>0</v>
      </c>
      <c r="E25" s="187">
        <f ca="1">SUMIF('Concept Note'!$AM:$AM,A25,'Concept Note'!$AO:$AO)</f>
        <v>0</v>
      </c>
      <c r="F25" s="200">
        <f t="shared" ca="1" si="5"/>
        <v>0</v>
      </c>
      <c r="G25" s="187">
        <f t="shared" ca="1" si="6"/>
        <v>0</v>
      </c>
      <c r="H25" s="200">
        <f t="shared" ca="1" si="7"/>
        <v>0</v>
      </c>
      <c r="J25" s="278" t="s">
        <v>1984</v>
      </c>
      <c r="K25" s="279">
        <f ca="1">'Concept Note'!F196</f>
        <v>4212614.5145238098</v>
      </c>
      <c r="L25" s="293">
        <f ca="1">K25/K28</f>
        <v>5.8362628235927701E-2</v>
      </c>
      <c r="M25" s="296">
        <v>121317</v>
      </c>
      <c r="N25" s="294">
        <f>M25/M28</f>
        <v>5.3801484641939424E-3</v>
      </c>
      <c r="O25" s="279">
        <f t="shared" ca="1" si="8"/>
        <v>4333931.5145238098</v>
      </c>
      <c r="P25" s="293">
        <f ca="1">O25/O28</f>
        <v>4.5750839060807152E-2</v>
      </c>
    </row>
    <row r="26" spans="1:17" x14ac:dyDescent="0.2">
      <c r="A26">
        <f>Modules!C39</f>
        <v>0</v>
      </c>
      <c r="B26">
        <f>Modules!D39</f>
        <v>0</v>
      </c>
      <c r="C26" s="187">
        <f ca="1">SUMIF('Concept Note'!AM:AM,A26,'Concept Note'!AN:AN)</f>
        <v>0</v>
      </c>
      <c r="D26" s="200">
        <f t="shared" ca="1" si="4"/>
        <v>0</v>
      </c>
      <c r="E26" s="187">
        <f ca="1">SUMIF('Concept Note'!$AM:$AM,A26,'Concept Note'!$AO:$AO)</f>
        <v>0</v>
      </c>
      <c r="F26" s="200">
        <f t="shared" ca="1" si="5"/>
        <v>0</v>
      </c>
      <c r="G26" s="187">
        <f t="shared" ca="1" si="6"/>
        <v>0</v>
      </c>
      <c r="H26" s="200">
        <f t="shared" ca="1" si="7"/>
        <v>0</v>
      </c>
      <c r="J26" s="278" t="s">
        <v>2001</v>
      </c>
      <c r="K26" s="279">
        <f ca="1">'Concept Note'!F241</f>
        <v>8818292.6904761903</v>
      </c>
      <c r="L26" s="293">
        <f ca="1">K26/K28</f>
        <v>0.12217085997198988</v>
      </c>
      <c r="M26" s="296">
        <v>0</v>
      </c>
      <c r="N26" s="293">
        <f>M26/M28</f>
        <v>0</v>
      </c>
      <c r="O26" s="279">
        <f t="shared" ca="1" si="8"/>
        <v>8818292.6904761903</v>
      </c>
      <c r="P26" s="293">
        <f ca="1">O26/O28</f>
        <v>9.308967811813626E-2</v>
      </c>
    </row>
    <row r="27" spans="1:17" x14ac:dyDescent="0.2">
      <c r="A27">
        <f>Modules!C40</f>
        <v>0</v>
      </c>
      <c r="B27">
        <f>Modules!D40</f>
        <v>0</v>
      </c>
      <c r="C27" s="187">
        <f ca="1">SUMIF('Concept Note'!AM:AM,A27,'Concept Note'!AN:AN)</f>
        <v>0</v>
      </c>
      <c r="D27" s="200">
        <f t="shared" ca="1" si="4"/>
        <v>0</v>
      </c>
      <c r="E27" s="187">
        <f ca="1">SUMIF('Concept Note'!$AM:$AM,A27,'Concept Note'!$AO:$AO)</f>
        <v>0</v>
      </c>
      <c r="F27" s="200">
        <f t="shared" ca="1" si="5"/>
        <v>0</v>
      </c>
      <c r="G27" s="187">
        <f t="shared" ca="1" si="6"/>
        <v>0</v>
      </c>
      <c r="H27" s="200">
        <f t="shared" ca="1" si="7"/>
        <v>0</v>
      </c>
      <c r="J27" s="278"/>
      <c r="K27" s="278"/>
      <c r="L27" s="278"/>
      <c r="M27" s="296"/>
      <c r="N27" s="293"/>
      <c r="O27" s="278"/>
      <c r="P27" s="278"/>
    </row>
    <row r="28" spans="1:17" s="255" customFormat="1" x14ac:dyDescent="0.2">
      <c r="A28" s="255">
        <f>Modules!C41</f>
        <v>0</v>
      </c>
      <c r="B28" s="255">
        <f>Modules!D41</f>
        <v>0</v>
      </c>
      <c r="C28" s="256">
        <f ca="1">SUMIF('Concept Note'!AM:AM,A28,'Concept Note'!AN:AN)</f>
        <v>0</v>
      </c>
      <c r="D28" s="257">
        <f t="shared" ca="1" si="4"/>
        <v>0</v>
      </c>
      <c r="E28" s="256">
        <f ca="1">SUMIF('Concept Note'!$AM:$AM,A28,'Concept Note'!$AO:$AO)</f>
        <v>0</v>
      </c>
      <c r="F28" s="257">
        <f t="shared" ca="1" si="5"/>
        <v>0</v>
      </c>
      <c r="G28" s="256">
        <f t="shared" ca="1" si="6"/>
        <v>0</v>
      </c>
      <c r="H28" s="257">
        <f t="shared" ca="1" si="7"/>
        <v>0</v>
      </c>
      <c r="J28" s="295"/>
      <c r="K28" s="280">
        <f ca="1">SUM(K22:K27)</f>
        <v>72180000.144862369</v>
      </c>
      <c r="L28" s="295"/>
      <c r="M28" s="280">
        <f>SUM(M22:M27)</f>
        <v>22549006</v>
      </c>
      <c r="N28" s="295"/>
      <c r="O28" s="280">
        <f ca="1">SUM(O22:O27)</f>
        <v>94729006.144862369</v>
      </c>
      <c r="P28" s="295"/>
    </row>
    <row r="29" spans="1:17" x14ac:dyDescent="0.2">
      <c r="A29">
        <f>Modules!C42</f>
        <v>0</v>
      </c>
      <c r="B29">
        <f>Modules!D42</f>
        <v>0</v>
      </c>
      <c r="C29" s="187">
        <f ca="1">SUMIF('Concept Note'!AM:AM,A29,'Concept Note'!AN:AN)</f>
        <v>0</v>
      </c>
      <c r="D29" s="200">
        <f t="shared" ca="1" si="4"/>
        <v>0</v>
      </c>
      <c r="E29" s="187">
        <f ca="1">SUMIF('Concept Note'!$AM:$AM,A29,'Concept Note'!$AO:$AO)</f>
        <v>0</v>
      </c>
      <c r="F29" s="200">
        <f t="shared" ca="1" si="5"/>
        <v>0</v>
      </c>
      <c r="G29" s="187">
        <f t="shared" ca="1" si="6"/>
        <v>0</v>
      </c>
      <c r="H29" s="200">
        <f t="shared" ca="1" si="7"/>
        <v>0</v>
      </c>
    </row>
    <row r="30" spans="1:17" x14ac:dyDescent="0.2">
      <c r="A30">
        <f>Modules!C43</f>
        <v>0</v>
      </c>
      <c r="B30">
        <f>Modules!D43</f>
        <v>0</v>
      </c>
      <c r="C30" s="187">
        <f ca="1">SUMIF('Concept Note'!AM:AM,A30,'Concept Note'!AN:AN)</f>
        <v>0</v>
      </c>
      <c r="D30" s="200">
        <f t="shared" ca="1" si="4"/>
        <v>0</v>
      </c>
      <c r="E30" s="187">
        <f ca="1">SUMIF('Concept Note'!$AM:$AM,A30,'Concept Note'!$AO:$AO)</f>
        <v>0</v>
      </c>
      <c r="F30" s="200">
        <f t="shared" ca="1" si="5"/>
        <v>0</v>
      </c>
      <c r="G30" s="187">
        <f t="shared" ca="1" si="6"/>
        <v>0</v>
      </c>
      <c r="H30" s="200">
        <f t="shared" ca="1" si="7"/>
        <v>0</v>
      </c>
      <c r="J30" t="s">
        <v>981</v>
      </c>
      <c r="K30" s="297">
        <v>2014</v>
      </c>
      <c r="L30" s="297">
        <v>2015</v>
      </c>
      <c r="M30" s="297">
        <v>2016</v>
      </c>
      <c r="Q30" t="s">
        <v>2035</v>
      </c>
    </row>
    <row r="31" spans="1:17" x14ac:dyDescent="0.2">
      <c r="A31">
        <f>Modules!C44</f>
        <v>0</v>
      </c>
      <c r="B31">
        <f>Modules!D44</f>
        <v>0</v>
      </c>
      <c r="C31" s="187">
        <f ca="1">SUMIF('Concept Note'!AM:AM,A31,'Concept Note'!AN:AN)</f>
        <v>0</v>
      </c>
      <c r="D31" s="200">
        <f t="shared" ca="1" si="4"/>
        <v>0</v>
      </c>
      <c r="E31" s="187">
        <f ca="1">SUMIF('Concept Note'!$AM:$AM,A31,'Concept Note'!$AO:$AO)</f>
        <v>0</v>
      </c>
      <c r="F31" s="200">
        <f t="shared" ca="1" si="5"/>
        <v>0</v>
      </c>
      <c r="G31" s="187">
        <f t="shared" ca="1" si="6"/>
        <v>0</v>
      </c>
      <c r="H31" s="200">
        <f t="shared" ca="1" si="7"/>
        <v>0</v>
      </c>
      <c r="J31" t="s">
        <v>1440</v>
      </c>
      <c r="K31" s="314">
        <f>(529719+383807+954878)*41/42</f>
        <v>1823918.1904761905</v>
      </c>
      <c r="L31" s="315">
        <f>(367253+508606+1909756)*41/42</f>
        <v>2719290.8333333335</v>
      </c>
      <c r="M31" s="315">
        <f>(228816+1909756)*41/42</f>
        <v>2087653.6190476189</v>
      </c>
      <c r="Q31" s="258">
        <f>SUM(K31:M31)</f>
        <v>6630862.6428571437</v>
      </c>
    </row>
    <row r="32" spans="1:17" x14ac:dyDescent="0.2">
      <c r="A32">
        <f>Modules!C45</f>
        <v>0</v>
      </c>
      <c r="B32">
        <f>Modules!D45</f>
        <v>0</v>
      </c>
      <c r="C32" s="187">
        <f ca="1">SUMIF('Concept Note'!AM:AM,A32,'Concept Note'!AN:AN)</f>
        <v>0</v>
      </c>
      <c r="D32" s="200">
        <f t="shared" ca="1" si="4"/>
        <v>0</v>
      </c>
      <c r="E32" s="187">
        <f ca="1">SUMIF('Concept Note'!$AM:$AM,A32,'Concept Note'!$AO:$AO)</f>
        <v>0</v>
      </c>
      <c r="F32" s="200">
        <f t="shared" ca="1" si="5"/>
        <v>0</v>
      </c>
      <c r="G32" s="187">
        <f t="shared" ca="1" si="6"/>
        <v>0</v>
      </c>
      <c r="H32" s="200">
        <f t="shared" ca="1" si="7"/>
        <v>0</v>
      </c>
      <c r="J32" t="s">
        <v>1981</v>
      </c>
      <c r="K32" s="316">
        <f>(4427862+11768066.62+235407+4481.71)*41/42</f>
        <v>16044488.34595238</v>
      </c>
      <c r="L32" s="316">
        <f>4427862+11927298.91+235407+4482</f>
        <v>16595049.91</v>
      </c>
      <c r="M32" s="316">
        <f>4427862+14079391.77+235407+4482</f>
        <v>18747142.77</v>
      </c>
      <c r="Q32" s="258">
        <f t="shared" ref="Q32:Q36" si="9">SUM(K32:M32)</f>
        <v>51386681.025952384</v>
      </c>
    </row>
    <row r="33" spans="1:17" x14ac:dyDescent="0.2">
      <c r="A33">
        <f>Modules!C46</f>
        <v>0</v>
      </c>
      <c r="B33">
        <f>Modules!D46</f>
        <v>0</v>
      </c>
      <c r="C33" s="187">
        <f ca="1">SUMIF('Concept Note'!AM:AM,A33,'Concept Note'!AN:AN)</f>
        <v>0</v>
      </c>
      <c r="D33" s="200">
        <f t="shared" ca="1" si="4"/>
        <v>0</v>
      </c>
      <c r="E33" s="187">
        <f ca="1">SUMIF('Concept Note'!$AM:$AM,A33,'Concept Note'!$AO:$AO)</f>
        <v>0</v>
      </c>
      <c r="F33" s="200">
        <f t="shared" ca="1" si="5"/>
        <v>0</v>
      </c>
      <c r="G33" s="187">
        <f t="shared" ca="1" si="6"/>
        <v>0</v>
      </c>
      <c r="H33" s="200">
        <f t="shared" ca="1" si="7"/>
        <v>0</v>
      </c>
      <c r="J33" t="s">
        <v>1983</v>
      </c>
      <c r="K33">
        <f>225275+70480</f>
        <v>295755</v>
      </c>
      <c r="L33">
        <f>217094+55480</f>
        <v>272574</v>
      </c>
      <c r="M33">
        <f>224188+25407</f>
        <v>249595</v>
      </c>
      <c r="Q33" s="258">
        <f t="shared" si="9"/>
        <v>817924</v>
      </c>
    </row>
    <row r="34" spans="1:17" x14ac:dyDescent="0.2">
      <c r="A34">
        <f>Modules!C47</f>
        <v>0</v>
      </c>
      <c r="B34">
        <f>Modules!D47</f>
        <v>0</v>
      </c>
      <c r="C34" s="187">
        <f ca="1">SUMIF('Concept Note'!AM:AM,A34,'Concept Note'!AN:AN)</f>
        <v>0</v>
      </c>
      <c r="D34" s="200">
        <f t="shared" ca="1" si="4"/>
        <v>0</v>
      </c>
      <c r="E34" s="187">
        <f ca="1">SUMIF('Concept Note'!$AM:$AM,A34,'Concept Note'!$AO:$AO)</f>
        <v>0</v>
      </c>
      <c r="F34" s="200">
        <f t="shared" ca="1" si="5"/>
        <v>0</v>
      </c>
      <c r="G34" s="187">
        <f t="shared" ca="1" si="6"/>
        <v>0</v>
      </c>
      <c r="H34" s="200">
        <f t="shared" ca="1" si="7"/>
        <v>0</v>
      </c>
      <c r="J34" t="s">
        <v>1996</v>
      </c>
      <c r="K34" s="315">
        <f>239996+270000+95238+202738+356593+230693+12844+41268</f>
        <v>1449370</v>
      </c>
      <c r="L34" s="315">
        <f>239996+270000+202738+387178+278680+12844</f>
        <v>1391436</v>
      </c>
      <c r="M34" s="315">
        <f>239996+270000+202738+480119+268857+12844</f>
        <v>1474554</v>
      </c>
      <c r="Q34" s="258">
        <f t="shared" si="9"/>
        <v>4315360</v>
      </c>
    </row>
    <row r="35" spans="1:17" x14ac:dyDescent="0.2">
      <c r="A35">
        <f>Modules!C48</f>
        <v>0</v>
      </c>
      <c r="B35">
        <f>Modules!D48</f>
        <v>0</v>
      </c>
      <c r="C35" s="187">
        <f ca="1">SUMIF('Concept Note'!AM:AM,A35,'Concept Note'!AN:AN)</f>
        <v>0</v>
      </c>
      <c r="D35" s="200">
        <f t="shared" ca="1" si="4"/>
        <v>0</v>
      </c>
      <c r="E35" s="187">
        <f ca="1">SUMIF('Concept Note'!$AM:$AM,A35,'Concept Note'!$AO:$AO)</f>
        <v>0</v>
      </c>
      <c r="F35" s="200">
        <f t="shared" ca="1" si="5"/>
        <v>0</v>
      </c>
      <c r="G35" s="187">
        <f t="shared" ca="1" si="6"/>
        <v>0</v>
      </c>
      <c r="H35" s="200">
        <f t="shared" ca="1" si="7"/>
        <v>0</v>
      </c>
      <c r="J35" t="s">
        <v>2007</v>
      </c>
      <c r="K35">
        <f>542847+2290731+221421</f>
        <v>3054999</v>
      </c>
      <c r="L35">
        <f>507694+2364810+74341</f>
        <v>2946845</v>
      </c>
      <c r="M35">
        <f>520113+2441465+69951</f>
        <v>3031529</v>
      </c>
      <c r="Q35" s="258">
        <f t="shared" si="9"/>
        <v>9033373</v>
      </c>
    </row>
    <row r="36" spans="1:17" x14ac:dyDescent="0.2">
      <c r="A36">
        <f>Modules!C49</f>
        <v>0</v>
      </c>
      <c r="B36">
        <f>Modules!D49</f>
        <v>0</v>
      </c>
      <c r="C36" s="187">
        <f ca="1">SUMIF('Concept Note'!AM:AM,A36,'Concept Note'!AN:AN)</f>
        <v>0</v>
      </c>
      <c r="D36" s="200">
        <f t="shared" ca="1" si="4"/>
        <v>0</v>
      </c>
      <c r="E36" s="187">
        <f ca="1">SUMIF('Concept Note'!$AM:$AM,A36,'Concept Note'!$AO:$AO)</f>
        <v>0</v>
      </c>
      <c r="F36" s="200">
        <f t="shared" ca="1" si="5"/>
        <v>0</v>
      </c>
      <c r="G36" s="187">
        <f t="shared" ca="1" si="6"/>
        <v>0</v>
      </c>
      <c r="H36" s="200">
        <f t="shared" ca="1" si="7"/>
        <v>0</v>
      </c>
      <c r="K36" s="304">
        <f>SUM(K31:K35)</f>
        <v>22668530.536428571</v>
      </c>
      <c r="L36" s="304">
        <f t="shared" ref="L36:M36" si="10">SUM(L31:L35)</f>
        <v>23925195.743333332</v>
      </c>
      <c r="M36" s="304">
        <f t="shared" si="10"/>
        <v>25590474.389047619</v>
      </c>
      <c r="Q36" s="314">
        <f t="shared" si="9"/>
        <v>72184200.668809518</v>
      </c>
    </row>
    <row r="37" spans="1:17" x14ac:dyDescent="0.2">
      <c r="A37">
        <f>Modules!C50</f>
        <v>0</v>
      </c>
      <c r="B37">
        <f>Modules!D50</f>
        <v>0</v>
      </c>
      <c r="C37" s="187">
        <f ca="1">SUMIF('Concept Note'!AM:AM,A37,'Concept Note'!AN:AN)</f>
        <v>0</v>
      </c>
      <c r="D37" s="200">
        <f t="shared" ca="1" si="4"/>
        <v>0</v>
      </c>
      <c r="E37" s="187">
        <f ca="1">SUMIF('Concept Note'!$AM:$AM,A37,'Concept Note'!$AO:$AO)</f>
        <v>0</v>
      </c>
      <c r="F37" s="200">
        <f t="shared" ca="1" si="5"/>
        <v>0</v>
      </c>
      <c r="G37" s="187">
        <f t="shared" ca="1" si="6"/>
        <v>0</v>
      </c>
      <c r="H37" s="200">
        <f t="shared" ca="1" si="7"/>
        <v>0</v>
      </c>
      <c r="J37" t="s">
        <v>1997</v>
      </c>
      <c r="K37" s="297">
        <v>2014</v>
      </c>
      <c r="L37" s="297">
        <v>2015</v>
      </c>
      <c r="M37" s="297">
        <v>2016</v>
      </c>
      <c r="Q37" s="308"/>
    </row>
    <row r="38" spans="1:17" x14ac:dyDescent="0.2">
      <c r="J38" t="s">
        <v>1440</v>
      </c>
      <c r="K38" s="313">
        <v>148180</v>
      </c>
      <c r="L38" s="313">
        <v>86438</v>
      </c>
      <c r="M38" s="313">
        <v>44454</v>
      </c>
      <c r="Q38" s="308"/>
    </row>
    <row r="39" spans="1:17" x14ac:dyDescent="0.2">
      <c r="J39" t="s">
        <v>1981</v>
      </c>
      <c r="K39">
        <f>1157934+4717987+22171</f>
        <v>5898092</v>
      </c>
      <c r="L39">
        <f>1157934+5755234+22171</f>
        <v>6935339</v>
      </c>
      <c r="M39">
        <f>1157934+6791034+22171</f>
        <v>7971139</v>
      </c>
      <c r="Q39" s="308"/>
    </row>
    <row r="40" spans="1:17" x14ac:dyDescent="0.2">
      <c r="J40" t="s">
        <v>1983</v>
      </c>
      <c r="K40">
        <v>40439</v>
      </c>
      <c r="L40">
        <v>40439</v>
      </c>
      <c r="Q40" s="308"/>
    </row>
    <row r="41" spans="1:17" x14ac:dyDescent="0.2">
      <c r="J41" t="s">
        <v>1996</v>
      </c>
      <c r="Q41" s="308"/>
    </row>
    <row r="42" spans="1:17" x14ac:dyDescent="0.2">
      <c r="A42">
        <f ca="1">MATCH(TRUE,INDEX((Modules!I:I&lt;&gt;0),0),0)</f>
        <v>2</v>
      </c>
      <c r="J42" t="s">
        <v>2007</v>
      </c>
      <c r="Q42" s="308"/>
    </row>
    <row r="43" spans="1:17" x14ac:dyDescent="0.2">
      <c r="A43">
        <f ca="1">MATCH(TRUE,INDEX((INDIRECT(ADDRESS(A42+1,9,1,TRUE,"Modules")):'Modules'!$I$50&lt;&gt;0),0),0)</f>
        <v>6</v>
      </c>
      <c r="B43" t="str">
        <f ca="1">ADDRESS(A42+1,9,1,TRUE,"Modules")</f>
        <v>Modules!$I$3</v>
      </c>
      <c r="K43" s="305">
        <f>SUM(K38:K42)</f>
        <v>6086711</v>
      </c>
      <c r="L43" s="305">
        <f t="shared" ref="L43:M43" si="11">SUM(L38:L42)</f>
        <v>7062216</v>
      </c>
      <c r="M43" s="305">
        <f t="shared" si="11"/>
        <v>8015593</v>
      </c>
      <c r="Q43" s="308"/>
    </row>
    <row r="44" spans="1:17" x14ac:dyDescent="0.2">
      <c r="B44" t="e">
        <f ca="1">VLOOKUP(86,Modules!$I$8:'Modules'!$I$50,1,FALSE)</f>
        <v>#N/A</v>
      </c>
      <c r="Q44" s="308"/>
    </row>
    <row r="45" spans="1:17" x14ac:dyDescent="0.2">
      <c r="B45" t="e">
        <f ca="1">VLOOKUP(86,INDIRECT(ADDRESS(A42+1,9,1,TRUE,"Modules")):'Modules'!$I$50,1,FALSE)</f>
        <v>#N/A</v>
      </c>
      <c r="K45" s="306">
        <f>K36+K43</f>
        <v>28755241.536428571</v>
      </c>
      <c r="L45" s="307">
        <f t="shared" ref="L45:M45" si="12">L36+L43</f>
        <v>30987411.743333332</v>
      </c>
      <c r="M45" s="306">
        <f t="shared" si="12"/>
        <v>33606067.389047623</v>
      </c>
      <c r="Q45" s="309">
        <f>SUM(K45:P45)</f>
        <v>93348720.668809533</v>
      </c>
    </row>
    <row r="46" spans="1:17" x14ac:dyDescent="0.2">
      <c r="Q46" s="308"/>
    </row>
    <row r="47" spans="1:17" x14ac:dyDescent="0.2">
      <c r="B47">
        <f t="array" ref="B47">INDEX(Modules!I:I,0)</f>
        <v>0</v>
      </c>
      <c r="Q47" s="308"/>
    </row>
    <row r="48" spans="1:17" x14ac:dyDescent="0.2">
      <c r="B48" t="e">
        <f>VLOOKUP(86,B47,1,FALSE)</f>
        <v>#N/A</v>
      </c>
    </row>
    <row r="52" spans="1:1" x14ac:dyDescent="0.2">
      <c r="A52" t="str">
        <f>Modules!C1</f>
        <v>ModId</v>
      </c>
    </row>
    <row r="53" spans="1:1" x14ac:dyDescent="0.2">
      <c r="A53">
        <f>Modules!C2</f>
        <v>1</v>
      </c>
    </row>
    <row r="54" spans="1:1" x14ac:dyDescent="0.2">
      <c r="A54">
        <f>Modules!C8</f>
        <v>2</v>
      </c>
    </row>
  </sheetData>
  <customSheetViews>
    <customSheetView guid="{AB7DC012-E038-4AC4-B964-79EBEC1A7DBE}" hiddenColumns="1" state="hidden" topLeftCell="L4">
      <selection activeCell="O34" sqref="O34"/>
      <pageMargins left="0.7" right="0.7" top="0.75" bottom="0.75" header="0.3" footer="0.3"/>
      <pageSetup orientation="portrait"/>
    </customSheetView>
    <customSheetView guid="{8263CC96-2145-451B-AD8A-CC38FD628AC9}" hiddenColumns="1" state="hidden" topLeftCell="L4">
      <selection activeCell="O34" sqref="O34"/>
      <pageMargins left="0.7" right="0.7" top="0.75" bottom="0.75" header="0.3" footer="0.3"/>
      <pageSetup orientation="portrait"/>
    </customSheetView>
    <customSheetView guid="{721132AF-EF29-4C83-8A4A-F17ABB4BD7C0}" hiddenColumns="1" topLeftCell="L4">
      <selection activeCell="O34" sqref="O34"/>
      <pageMargins left="0.7" right="0.7" top="0.75" bottom="0.75" header="0.3" footer="0.3"/>
      <pageSetup orientation="portrait"/>
    </customSheetView>
    <customSheetView guid="{CE0E8020-2C9F-41F1-9136-031F56EB2C71}" hiddenColumns="1" topLeftCell="J1">
      <selection activeCell="S24" sqref="S24"/>
      <pageMargins left="0.7" right="0.7" top="0.75" bottom="0.75" header="0.3" footer="0.3"/>
    </customSheetView>
    <customSheetView guid="{E823EC26-EF2B-442F-BAF4-E4055CE48BD3}" hiddenColumns="1" topLeftCell="J4">
      <selection activeCell="L32" sqref="L32"/>
      <pageMargins left="0.7" right="0.7" top="0.75" bottom="0.75" header="0.3" footer="0.3"/>
    </customSheetView>
    <customSheetView guid="{86255A0E-17F2-0E4B-B055-7B9B2A71C25A}" hiddenColumns="1" state="hidden" topLeftCell="J4">
      <selection activeCell="L32" sqref="L32"/>
      <pageMargins left="0.7" right="0.7" top="0.75" bottom="0.75" header="0.3" footer="0.3"/>
      <pageSetup orientation="portrait"/>
    </customSheetView>
    <customSheetView guid="{D193A86F-CAEF-42FB-9ABB-073B57B81A50}" hiddenColumns="1" state="hidden" topLeftCell="L4">
      <selection activeCell="O34" sqref="O34"/>
      <pageMargins left="0.7" right="0.7" top="0.75" bottom="0.75" header="0.3" footer="0.3"/>
      <pageSetup orientation="portrait"/>
    </customSheetView>
  </customSheetViews>
  <mergeCells count="1">
    <mergeCell ref="J3:P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election activeCell="F30" sqref="F30"/>
    </sheetView>
  </sheetViews>
  <sheetFormatPr defaultColWidth="8.7109375" defaultRowHeight="12.75" x14ac:dyDescent="0.2"/>
  <cols>
    <col min="1" max="1" width="21.7109375" customWidth="1"/>
    <col min="2" max="2" width="16.42578125" customWidth="1"/>
    <col min="3" max="3" width="11.7109375" customWidth="1"/>
    <col min="4" max="4" width="15" customWidth="1"/>
    <col min="5" max="5" width="17.140625" customWidth="1"/>
    <col min="6" max="6" width="17" customWidth="1"/>
    <col min="7" max="7" width="17.28515625" customWidth="1"/>
  </cols>
  <sheetData>
    <row r="1" spans="1:15" s="198" customFormat="1" ht="30" customHeight="1" x14ac:dyDescent="0.25">
      <c r="A1" s="318" t="str">
        <f>[1]Translations!$A$96</f>
        <v>Summary of requested 3 years of funding by module</v>
      </c>
      <c r="B1" s="205"/>
      <c r="C1" s="205"/>
      <c r="D1" s="205"/>
      <c r="E1" s="205"/>
      <c r="I1"/>
      <c r="J1"/>
      <c r="K1"/>
      <c r="L1"/>
      <c r="M1"/>
      <c r="N1"/>
      <c r="O1"/>
    </row>
    <row r="3" spans="1:15" ht="22.5" customHeight="1" x14ac:dyDescent="0.2">
      <c r="A3" s="319"/>
      <c r="B3" s="320" t="s">
        <v>1906</v>
      </c>
      <c r="C3" s="320" t="s">
        <v>1913</v>
      </c>
      <c r="D3" s="320" t="s">
        <v>982</v>
      </c>
      <c r="E3" s="320" t="s">
        <v>2043</v>
      </c>
      <c r="F3" s="320" t="s">
        <v>2049</v>
      </c>
      <c r="G3" s="320" t="s">
        <v>2060</v>
      </c>
    </row>
    <row r="4" spans="1:15" ht="24.75" customHeight="1" x14ac:dyDescent="0.2">
      <c r="A4" s="321" t="s">
        <v>1572</v>
      </c>
      <c r="B4" s="322">
        <f>E16</f>
        <v>5946700.3571428657</v>
      </c>
      <c r="C4" s="323">
        <f>$B4/$B$9</f>
        <v>8.2387092618565749E-2</v>
      </c>
      <c r="D4" s="336">
        <f>E25</f>
        <v>1053571</v>
      </c>
      <c r="E4" s="323">
        <f>$D4/$D$9</f>
        <v>4.9046139042315834E-2</v>
      </c>
      <c r="F4" s="336">
        <f>B4+D4</f>
        <v>7000271.3571428657</v>
      </c>
      <c r="G4" s="338">
        <f>F4/$F$9</f>
        <v>7.4740337552463523E-2</v>
      </c>
    </row>
    <row r="5" spans="1:15" ht="24.75" customHeight="1" x14ac:dyDescent="0.2">
      <c r="A5" s="321" t="s">
        <v>2044</v>
      </c>
      <c r="B5" s="322">
        <f>E17</f>
        <v>52404111.317481399</v>
      </c>
      <c r="C5" s="323">
        <f t="shared" ref="C5:C7" si="0">$B5/$B$9</f>
        <v>0.726019828377784</v>
      </c>
      <c r="D5" s="336">
        <f>E26</f>
        <v>20309222.479389738</v>
      </c>
      <c r="E5" s="323">
        <f t="shared" ref="E5:E8" si="1">$D5/$D$9</f>
        <v>0.94544074349566887</v>
      </c>
      <c r="F5" s="336">
        <f t="shared" ref="F5:F8" si="2">B5+D5</f>
        <v>72713333.796871141</v>
      </c>
      <c r="G5" s="338">
        <f t="shared" ref="G5:G8" si="3">F5/$F$9</f>
        <v>0.77634406371944154</v>
      </c>
    </row>
    <row r="6" spans="1:15" ht="24.75" customHeight="1" x14ac:dyDescent="0.2">
      <c r="A6" s="321" t="s">
        <v>2045</v>
      </c>
      <c r="B6" s="322">
        <f>E18</f>
        <v>798281.26523809519</v>
      </c>
      <c r="C6" s="323">
        <f t="shared" si="0"/>
        <v>1.1059590795732566E-2</v>
      </c>
      <c r="D6" s="336">
        <f>E27</f>
        <v>0</v>
      </c>
      <c r="E6" s="323">
        <f t="shared" si="1"/>
        <v>0</v>
      </c>
      <c r="F6" s="336">
        <f t="shared" si="2"/>
        <v>798281.26523809519</v>
      </c>
      <c r="G6" s="338">
        <f t="shared" si="3"/>
        <v>8.5230712042074965E-3</v>
      </c>
    </row>
    <row r="7" spans="1:15" ht="24.75" customHeight="1" x14ac:dyDescent="0.2">
      <c r="A7" s="321" t="s">
        <v>1984</v>
      </c>
      <c r="B7" s="322">
        <f>E19</f>
        <v>4212614.5145238098</v>
      </c>
      <c r="C7" s="323">
        <f t="shared" si="0"/>
        <v>5.8362628235927701E-2</v>
      </c>
      <c r="D7" s="336">
        <f>E28</f>
        <v>118428.5</v>
      </c>
      <c r="E7" s="323">
        <f t="shared" si="1"/>
        <v>5.5131174620152799E-3</v>
      </c>
      <c r="F7" s="336">
        <f t="shared" si="2"/>
        <v>4331043.0145238098</v>
      </c>
      <c r="G7" s="338">
        <f t="shared" si="3"/>
        <v>4.6241581268053458E-2</v>
      </c>
    </row>
    <row r="8" spans="1:15" ht="24.75" customHeight="1" x14ac:dyDescent="0.2">
      <c r="A8" s="321" t="s">
        <v>1009</v>
      </c>
      <c r="B8" s="322">
        <f>E20</f>
        <v>8818292.6904761903</v>
      </c>
      <c r="C8" s="323">
        <v>0.12</v>
      </c>
      <c r="D8" s="336">
        <f>E29</f>
        <v>0</v>
      </c>
      <c r="E8" s="323">
        <f t="shared" si="1"/>
        <v>0</v>
      </c>
      <c r="F8" s="336">
        <f t="shared" si="2"/>
        <v>8818292.6904761903</v>
      </c>
      <c r="G8" s="338">
        <f t="shared" si="3"/>
        <v>9.4150946255834006E-2</v>
      </c>
    </row>
    <row r="9" spans="1:15" ht="24.75" customHeight="1" x14ac:dyDescent="0.2">
      <c r="A9" s="324" t="s">
        <v>2035</v>
      </c>
      <c r="B9" s="325">
        <f>SUM(B4:B8)</f>
        <v>72180000.144862369</v>
      </c>
      <c r="C9" s="326">
        <v>1</v>
      </c>
      <c r="D9" s="325">
        <f>SUM(D4:D8)</f>
        <v>21481221.979389738</v>
      </c>
      <c r="E9" s="326">
        <f>SUM(E4:E8)</f>
        <v>1</v>
      </c>
      <c r="F9" s="325">
        <f>SUM(F4:F8)</f>
        <v>93661222.124252096</v>
      </c>
      <c r="G9" s="326">
        <f>SUM(G4:G8)</f>
        <v>1</v>
      </c>
    </row>
    <row r="12" spans="1:15" s="198" customFormat="1" ht="30" customHeight="1" x14ac:dyDescent="0.25">
      <c r="A12" s="318" t="s">
        <v>2046</v>
      </c>
      <c r="B12" s="205"/>
      <c r="C12" s="205"/>
      <c r="D12" s="205"/>
      <c r="E12" s="205"/>
      <c r="I12"/>
      <c r="J12"/>
      <c r="K12"/>
      <c r="L12"/>
      <c r="M12"/>
      <c r="N12"/>
      <c r="O12"/>
    </row>
    <row r="14" spans="1:15" ht="20.25" customHeight="1" x14ac:dyDescent="0.3">
      <c r="A14" s="327" t="s">
        <v>981</v>
      </c>
    </row>
    <row r="15" spans="1:15" s="329" customFormat="1" ht="20.25" customHeight="1" x14ac:dyDescent="0.2">
      <c r="A15" s="321"/>
      <c r="B15" s="328">
        <v>2014</v>
      </c>
      <c r="C15" s="328">
        <v>2015</v>
      </c>
      <c r="D15" s="328">
        <v>2016</v>
      </c>
      <c r="E15" s="328" t="s">
        <v>2047</v>
      </c>
    </row>
    <row r="16" spans="1:15" ht="20.25" customHeight="1" x14ac:dyDescent="0.2">
      <c r="A16" s="321" t="s">
        <v>1440</v>
      </c>
      <c r="B16" s="330">
        <f>'Concept Note'!M90+'Concept Note'!M94+'Concept Note'!M98</f>
        <v>1527070.5952380954</v>
      </c>
      <c r="C16" s="330">
        <f>'Concept Note'!O90+'Concept Note'!O94+'Concept Note'!O98</f>
        <v>2489266.0476190518</v>
      </c>
      <c r="D16" s="330">
        <f>'Concept Note'!Q90+'Concept Note'!Q94+'Concept Note'!Q98</f>
        <v>1930363.7142857185</v>
      </c>
      <c r="E16" s="330">
        <f>SUM(B16:D16)</f>
        <v>5946700.3571428657</v>
      </c>
      <c r="F16" s="200">
        <f>E16/E21</f>
        <v>8.2387092618565749E-2</v>
      </c>
    </row>
    <row r="17" spans="1:9" ht="20.25" customHeight="1" x14ac:dyDescent="0.2">
      <c r="A17" s="321" t="s">
        <v>2048</v>
      </c>
      <c r="B17" s="330">
        <f>'Concept Note'!M125+'Concept Note'!M129+'Concept Note'!M137+'Concept Note'!M141</f>
        <v>16664125.558173038</v>
      </c>
      <c r="C17" s="330">
        <f>'Concept Note'!O125+'Concept Note'!O129+'Concept Note'!O137+'Concept Note'!O141</f>
        <v>16819566.605797231</v>
      </c>
      <c r="D17" s="330">
        <f>'Concept Note'!Q125+'Concept Note'!Q129+'Concept Note'!Q137+'Concept Note'!Q141</f>
        <v>18920419.153511129</v>
      </c>
      <c r="E17" s="330">
        <f t="shared" ref="E17:E20" si="4">SUM(B17:D17)</f>
        <v>52404111.317481399</v>
      </c>
      <c r="F17" s="200">
        <f>E17/E21</f>
        <v>0.726019828377784</v>
      </c>
    </row>
    <row r="18" spans="1:9" ht="20.25" customHeight="1" x14ac:dyDescent="0.2">
      <c r="A18" s="321" t="s">
        <v>1983</v>
      </c>
      <c r="B18" s="330">
        <f>'Concept Note'!M172+'Concept Note'!M176</f>
        <v>288712.42357142858</v>
      </c>
      <c r="C18" s="330">
        <f>'Concept Note'!O172+'Concept Note'!O176</f>
        <v>265917.2533333333</v>
      </c>
      <c r="D18" s="330">
        <f>'Concept Note'!Q172+'Concept Note'!Q176</f>
        <v>243651.58833333329</v>
      </c>
      <c r="E18" s="330">
        <f t="shared" si="4"/>
        <v>798281.26523809519</v>
      </c>
      <c r="F18" s="200">
        <f>E18/E21</f>
        <v>1.1059590795732566E-2</v>
      </c>
    </row>
    <row r="19" spans="1:9" ht="20.25" customHeight="1" x14ac:dyDescent="0.2">
      <c r="A19" s="321" t="s">
        <v>1984</v>
      </c>
      <c r="B19" s="330">
        <f>'Concept Note'!M199+'Concept Note'!M203+'Concept Note'!M207+'Concept Note'!M211+'Concept Note'!M215+'Concept Note'!M219+'Concept Note'!M223+'Concept Note'!M227</f>
        <v>1414861.7078571429</v>
      </c>
      <c r="C19" s="330">
        <f>'Concept Note'!O199+'Concept Note'!O203+'Concept Note'!O207+'Concept Note'!O211+'Concept Note'!O215+'Concept Note'!O219+'Concept Note'!O223+'Concept Note'!O227</f>
        <v>1358306.9033333333</v>
      </c>
      <c r="D19" s="330">
        <f>'Concept Note'!Q199+'Concept Note'!Q203+'Concept Note'!Q207+'Concept Note'!Q211+'Concept Note'!Q215+'Concept Note'!Q219+'Concept Note'!Q223+'Concept Note'!Q227</f>
        <v>1439445.9033333336</v>
      </c>
      <c r="E19" s="330">
        <f t="shared" si="4"/>
        <v>4212614.5145238098</v>
      </c>
      <c r="F19" s="200">
        <f>E19/E21</f>
        <v>5.8362628235927701E-2</v>
      </c>
    </row>
    <row r="20" spans="1:9" ht="20.25" customHeight="1" x14ac:dyDescent="0.2">
      <c r="A20" s="321" t="s">
        <v>1009</v>
      </c>
      <c r="B20" s="330">
        <f>'Concept Note'!M244+'Concept Note'!M248+'Concept Note'!M252</f>
        <v>2982260.9285714286</v>
      </c>
      <c r="C20" s="330">
        <f>'Concept Note'!O244+'Concept Note'!O248+'Concept Note'!O252</f>
        <v>2876682.0238095238</v>
      </c>
      <c r="D20" s="330">
        <f>'Concept Note'!Q244+'Concept Note'!Q248+'Concept Note'!Q252</f>
        <v>2959349.7380952383</v>
      </c>
      <c r="E20" s="330">
        <f t="shared" si="4"/>
        <v>8818292.6904761903</v>
      </c>
      <c r="F20" s="200">
        <f>E20/E21</f>
        <v>0.12217085997198988</v>
      </c>
    </row>
    <row r="21" spans="1:9" ht="20.25" customHeight="1" x14ac:dyDescent="0.2">
      <c r="A21" s="331" t="s">
        <v>2047</v>
      </c>
      <c r="B21" s="332">
        <f>SUM(B16:B20)</f>
        <v>22877031.213411137</v>
      </c>
      <c r="C21" s="332">
        <f t="shared" ref="C21:D21" si="5">SUM(C16:C20)</f>
        <v>23809738.833892472</v>
      </c>
      <c r="D21" s="332">
        <f t="shared" si="5"/>
        <v>25493230.097558755</v>
      </c>
      <c r="E21" s="332">
        <f>SUM(B21:D21)</f>
        <v>72180000.144862369</v>
      </c>
      <c r="H21" s="333"/>
    </row>
    <row r="23" spans="1:9" ht="20.25" x14ac:dyDescent="0.3">
      <c r="A23" s="327" t="s">
        <v>1997</v>
      </c>
    </row>
    <row r="24" spans="1:9" ht="21.75" customHeight="1" x14ac:dyDescent="0.2">
      <c r="A24" s="321"/>
      <c r="B24" s="328">
        <v>2014</v>
      </c>
      <c r="C24" s="328">
        <v>2015</v>
      </c>
      <c r="D24" s="328">
        <v>2016</v>
      </c>
      <c r="E24" s="328" t="s">
        <v>2047</v>
      </c>
    </row>
    <row r="25" spans="1:9" ht="21.75" customHeight="1" x14ac:dyDescent="0.2">
      <c r="A25" s="321" t="s">
        <v>1440</v>
      </c>
      <c r="B25" s="330">
        <f>'Concept Note'!M91+'Concept Note'!M95+'Concept Note'!M99</f>
        <v>513937</v>
      </c>
      <c r="C25" s="330">
        <f>'Concept Note'!O91+'Concept Note'!O95+'Concept Note'!O99</f>
        <v>238614</v>
      </c>
      <c r="D25" s="330">
        <f>'Concept Note'!Q91+'Concept Note'!Q95+'Concept Note'!Q99</f>
        <v>301020</v>
      </c>
      <c r="E25" s="330">
        <f>SUM(B25:D25)</f>
        <v>1053571</v>
      </c>
      <c r="F25" s="200">
        <f>E25/E30</f>
        <v>4.9046139042315834E-2</v>
      </c>
    </row>
    <row r="26" spans="1:9" ht="21.75" customHeight="1" x14ac:dyDescent="0.2">
      <c r="A26" s="321" t="s">
        <v>2048</v>
      </c>
      <c r="B26" s="330">
        <f>'Concept Note'!M126+'Concept Note'!M130+'Concept Note'!M138+'Concept Note'!M142</f>
        <v>5757661.0013038386</v>
      </c>
      <c r="C26" s="330">
        <f>'Concept Note'!O126+'Concept Note'!O130+'Concept Note'!O138+'Concept Note'!O142</f>
        <v>6770211.535260452</v>
      </c>
      <c r="D26" s="330">
        <f>'Concept Note'!Q126+'Concept Note'!Q130+'Concept Note'!Q138+'Concept Note'!Q142</f>
        <v>7781349.9428254468</v>
      </c>
      <c r="E26" s="330">
        <f t="shared" ref="E26:E29" si="6">SUM(B26:D26)</f>
        <v>20309222.479389738</v>
      </c>
      <c r="F26" s="200">
        <f>E26/E30</f>
        <v>0.94544074349566887</v>
      </c>
    </row>
    <row r="27" spans="1:9" ht="21.75" customHeight="1" x14ac:dyDescent="0.2">
      <c r="A27" s="321" t="s">
        <v>1983</v>
      </c>
      <c r="B27" s="330">
        <v>0</v>
      </c>
      <c r="C27" s="330">
        <v>0</v>
      </c>
      <c r="D27" s="330">
        <v>0</v>
      </c>
      <c r="E27" s="330">
        <f t="shared" si="6"/>
        <v>0</v>
      </c>
      <c r="F27" s="200"/>
    </row>
    <row r="28" spans="1:9" ht="21.75" customHeight="1" x14ac:dyDescent="0.2">
      <c r="A28" s="321" t="s">
        <v>1984</v>
      </c>
      <c r="B28" s="330">
        <f>'Concept Note'!M200+'Concept Note'!M204+'Concept Note'!M208+'Concept Note'!M212+'Concept Note'!M216+'Concept Note'!M220+'Concept Note'!M224+'Concept Note'!M228</f>
        <v>39476.166666666664</v>
      </c>
      <c r="C28" s="330">
        <f>'Concept Note'!O200+'Concept Note'!O204+'Concept Note'!O208+'Concept Note'!O212+'Concept Note'!O216+'Concept Note'!O220+'Concept Note'!O224+'Concept Note'!O228</f>
        <v>39476.166666666664</v>
      </c>
      <c r="D28" s="330">
        <f>'Concept Note'!Q200+'Concept Note'!Q204+'Concept Note'!Q208+'Concept Note'!Q212+'Concept Note'!Q216+'Concept Note'!Q220+'Concept Note'!Q224+'Concept Note'!Q228</f>
        <v>39476.166666666664</v>
      </c>
      <c r="E28" s="330">
        <f t="shared" si="6"/>
        <v>118428.5</v>
      </c>
      <c r="F28" s="200">
        <f>E28/E30</f>
        <v>5.5131174620152799E-3</v>
      </c>
    </row>
    <row r="29" spans="1:9" ht="21.75" customHeight="1" x14ac:dyDescent="0.2">
      <c r="A29" s="321" t="s">
        <v>2001</v>
      </c>
      <c r="B29" s="334">
        <v>0</v>
      </c>
      <c r="C29" s="334">
        <v>0</v>
      </c>
      <c r="D29" s="334">
        <v>0</v>
      </c>
      <c r="E29" s="330">
        <f t="shared" si="6"/>
        <v>0</v>
      </c>
    </row>
    <row r="30" spans="1:9" ht="21.75" customHeight="1" x14ac:dyDescent="0.2">
      <c r="A30" s="331" t="s">
        <v>2047</v>
      </c>
      <c r="B30" s="332">
        <f>SUM(B25:B29)</f>
        <v>6311074.1679705055</v>
      </c>
      <c r="C30" s="332">
        <f t="shared" ref="C30:D30" si="7">SUM(C25:C29)</f>
        <v>7048301.7019271189</v>
      </c>
      <c r="D30" s="332">
        <f t="shared" si="7"/>
        <v>8121846.1094921138</v>
      </c>
      <c r="E30" s="332">
        <f>SUM(B30:D30)</f>
        <v>21481221.979389738</v>
      </c>
      <c r="G30" s="333"/>
      <c r="H30" s="333"/>
      <c r="I30" s="333"/>
    </row>
    <row r="32" spans="1:9" ht="24" customHeight="1" x14ac:dyDescent="0.3">
      <c r="A32" s="327" t="s">
        <v>2049</v>
      </c>
    </row>
    <row r="33" spans="1:6" ht="24" customHeight="1" x14ac:dyDescent="0.2">
      <c r="A33" s="321"/>
      <c r="B33" s="328">
        <v>2014</v>
      </c>
      <c r="C33" s="328">
        <v>2015</v>
      </c>
      <c r="D33" s="328">
        <v>2016</v>
      </c>
      <c r="E33" s="328" t="s">
        <v>2047</v>
      </c>
    </row>
    <row r="34" spans="1:6" ht="19.5" customHeight="1" x14ac:dyDescent="0.2">
      <c r="A34" s="321" t="s">
        <v>1440</v>
      </c>
      <c r="B34" s="335">
        <f>B16+B25</f>
        <v>2041007.5952380954</v>
      </c>
      <c r="C34" s="335">
        <f t="shared" ref="C34:D34" si="8">C16+C25</f>
        <v>2727880.0476190518</v>
      </c>
      <c r="D34" s="335">
        <f t="shared" si="8"/>
        <v>2231383.7142857183</v>
      </c>
      <c r="E34" s="330">
        <f>SUM(B34:D34)</f>
        <v>7000271.3571428657</v>
      </c>
      <c r="F34" s="200">
        <f>E34/E39</f>
        <v>7.4740337552463523E-2</v>
      </c>
    </row>
    <row r="35" spans="1:6" ht="21" customHeight="1" x14ac:dyDescent="0.2">
      <c r="A35" s="321" t="s">
        <v>2048</v>
      </c>
      <c r="B35" s="335">
        <f t="shared" ref="B35:D38" si="9">B17+B26</f>
        <v>22421786.559476875</v>
      </c>
      <c r="C35" s="335">
        <f t="shared" si="9"/>
        <v>23589778.141057685</v>
      </c>
      <c r="D35" s="335">
        <f t="shared" si="9"/>
        <v>26701769.096336577</v>
      </c>
      <c r="E35" s="330">
        <f t="shared" ref="E35:E38" si="10">SUM(B35:D35)</f>
        <v>72713333.796871141</v>
      </c>
      <c r="F35" s="200">
        <f>E35/E39</f>
        <v>0.77634406371944154</v>
      </c>
    </row>
    <row r="36" spans="1:6" ht="21" customHeight="1" x14ac:dyDescent="0.2">
      <c r="A36" s="321" t="s">
        <v>1983</v>
      </c>
      <c r="B36" s="335">
        <f t="shared" si="9"/>
        <v>288712.42357142858</v>
      </c>
      <c r="C36" s="335">
        <f t="shared" si="9"/>
        <v>265917.2533333333</v>
      </c>
      <c r="D36" s="335">
        <f t="shared" si="9"/>
        <v>243651.58833333329</v>
      </c>
      <c r="E36" s="330">
        <f t="shared" si="10"/>
        <v>798281.26523809519</v>
      </c>
      <c r="F36" s="200">
        <f>E36/E39</f>
        <v>8.5230712042074965E-3</v>
      </c>
    </row>
    <row r="37" spans="1:6" ht="21" customHeight="1" x14ac:dyDescent="0.2">
      <c r="A37" s="321" t="s">
        <v>1984</v>
      </c>
      <c r="B37" s="335">
        <f t="shared" si="9"/>
        <v>1454337.8745238096</v>
      </c>
      <c r="C37" s="335">
        <f t="shared" si="9"/>
        <v>1397783.07</v>
      </c>
      <c r="D37" s="335">
        <f t="shared" si="9"/>
        <v>1478922.0700000003</v>
      </c>
      <c r="E37" s="330">
        <f t="shared" si="10"/>
        <v>4331043.0145238098</v>
      </c>
      <c r="F37" s="200">
        <f>E37/E39</f>
        <v>4.6241581268053458E-2</v>
      </c>
    </row>
    <row r="38" spans="1:6" ht="21" customHeight="1" x14ac:dyDescent="0.2">
      <c r="A38" s="321" t="s">
        <v>1009</v>
      </c>
      <c r="B38" s="335">
        <f t="shared" si="9"/>
        <v>2982260.9285714286</v>
      </c>
      <c r="C38" s="335">
        <f t="shared" si="9"/>
        <v>2876682.0238095238</v>
      </c>
      <c r="D38" s="335">
        <f t="shared" si="9"/>
        <v>2959349.7380952383</v>
      </c>
      <c r="E38" s="330">
        <f t="shared" si="10"/>
        <v>8818292.6904761903</v>
      </c>
      <c r="F38" s="200">
        <f>E38/E39</f>
        <v>9.4150946255834006E-2</v>
      </c>
    </row>
    <row r="39" spans="1:6" ht="21" customHeight="1" x14ac:dyDescent="0.2">
      <c r="A39" s="331" t="s">
        <v>2047</v>
      </c>
      <c r="B39" s="332">
        <f>SUM(B34:B38)</f>
        <v>29188105.381381642</v>
      </c>
      <c r="C39" s="332">
        <f t="shared" ref="C39:D39" si="11">SUM(C34:C38)</f>
        <v>30858040.535819594</v>
      </c>
      <c r="D39" s="332">
        <f t="shared" si="11"/>
        <v>33615076.207050867</v>
      </c>
      <c r="E39" s="332">
        <f>SUM(E34:E38)</f>
        <v>93661222.124252096</v>
      </c>
    </row>
  </sheetData>
  <customSheetViews>
    <customSheetView guid="{AB7DC012-E038-4AC4-B964-79EBEC1A7DBE}">
      <selection activeCell="F30" sqref="F30"/>
      <pageMargins left="0.75" right="0.75" top="1" bottom="1" header="0.5" footer="0.5"/>
    </customSheetView>
    <customSheetView guid="{8263CC96-2145-451B-AD8A-CC38FD628AC9}" topLeftCell="A14">
      <selection activeCell="A14" sqref="A14"/>
      <pageMargins left="0.75" right="0.75" top="1" bottom="1" header="0.5" footer="0.5"/>
    </customSheetView>
    <customSheetView guid="{CE0E8020-2C9F-41F1-9136-031F56EB2C71}" showPageBreaks="1">
      <selection activeCell="H30" sqref="H30"/>
      <pageMargins left="0.7" right="0.7" top="0.75" bottom="0.75" header="0.3" footer="0.3"/>
      <pageSetup paperSize="9" scale="85" orientation="portrait"/>
    </customSheetView>
    <customSheetView guid="{E823EC26-EF2B-442F-BAF4-E4055CE48BD3}" topLeftCell="A20">
      <selection activeCell="A20" sqref="A20"/>
      <pageMargins left="0.7" right="0.7" top="0.75" bottom="0.75" header="0.3" footer="0.3"/>
    </customSheetView>
    <customSheetView guid="{86255A0E-17F2-0E4B-B055-7B9B2A71C25A}" topLeftCell="A14">
      <selection activeCell="A14" sqref="A14"/>
      <pageMargins left="0.7" right="0.7" top="0.75" bottom="0.75" header="0.3" footer="0.3"/>
      <pageSetup paperSize="9" scale="85" orientation="portrait"/>
    </customSheetView>
    <customSheetView guid="{D193A86F-CAEF-42FB-9ABB-073B57B81A50}">
      <selection activeCell="F30" sqref="F30"/>
      <pageMargins left="0.75" right="0.75" top="1" bottom="1" header="0.5" footer="0.5"/>
    </customSheetView>
  </customSheetView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dimension ref="A1:V75"/>
  <sheetViews>
    <sheetView workbookViewId="0">
      <selection activeCell="K32" sqref="K32"/>
    </sheetView>
  </sheetViews>
  <sheetFormatPr defaultColWidth="8.7109375" defaultRowHeight="12.75" x14ac:dyDescent="0.2"/>
  <cols>
    <col min="1" max="22" width="8" customWidth="1"/>
  </cols>
  <sheetData>
    <row r="1" spans="1:22" ht="21.75" customHeight="1" x14ac:dyDescent="0.2">
      <c r="A1" s="877" t="str">
        <f ca="1">Translations!$A$69</f>
        <v>PLEASE PROVIDE TARGET ASSUMPTIONS FOR OUTPUT AND COVERAGE INDICATORS HERE</v>
      </c>
      <c r="B1" s="877"/>
      <c r="C1" s="877"/>
      <c r="D1" s="877"/>
      <c r="E1" s="877"/>
      <c r="F1" s="877"/>
      <c r="G1" s="877"/>
      <c r="H1" s="877"/>
      <c r="I1" s="877"/>
      <c r="J1" s="877"/>
      <c r="K1" s="877"/>
      <c r="L1" s="877"/>
      <c r="M1" s="877"/>
      <c r="N1" s="877"/>
      <c r="O1" s="877"/>
      <c r="P1" s="877"/>
      <c r="Q1" s="877"/>
      <c r="R1" s="877"/>
      <c r="S1" s="877"/>
      <c r="T1" s="877"/>
      <c r="U1" s="877"/>
      <c r="V1" s="877"/>
    </row>
    <row r="2" spans="1:22" ht="15" customHeight="1" x14ac:dyDescent="0.2">
      <c r="A2" s="878" t="str">
        <f ca="1">Translations!$A$70</f>
        <v>It is not compulsory to provide target assumptions for the indicators included in the performance framework, however providing additional information on how targets were set may help to reach a common understanding and agreement between the Principal Recipient and the Global Fund Secretariat and speed up the negotiation process.</v>
      </c>
      <c r="B2" s="878"/>
      <c r="C2" s="878"/>
      <c r="D2" s="878"/>
      <c r="E2" s="878"/>
      <c r="F2" s="878"/>
      <c r="G2" s="878"/>
      <c r="H2" s="878"/>
      <c r="I2" s="878"/>
      <c r="J2" s="878"/>
      <c r="K2" s="878"/>
      <c r="L2" s="878"/>
      <c r="M2" s="878"/>
      <c r="N2" s="878"/>
      <c r="O2" s="878"/>
      <c r="P2" s="878"/>
      <c r="Q2" s="878"/>
      <c r="R2" s="878"/>
      <c r="S2" s="878"/>
      <c r="T2" s="878"/>
      <c r="U2" s="878"/>
      <c r="V2" s="878"/>
    </row>
    <row r="3" spans="1:22" ht="15" customHeight="1" x14ac:dyDescent="0.2">
      <c r="A3" s="878"/>
      <c r="B3" s="878"/>
      <c r="C3" s="878"/>
      <c r="D3" s="878"/>
      <c r="E3" s="878"/>
      <c r="F3" s="878"/>
      <c r="G3" s="878"/>
      <c r="H3" s="878"/>
      <c r="I3" s="878"/>
      <c r="J3" s="878"/>
      <c r="K3" s="878"/>
      <c r="L3" s="878"/>
      <c r="M3" s="878"/>
      <c r="N3" s="878"/>
      <c r="O3" s="878"/>
      <c r="P3" s="878"/>
      <c r="Q3" s="878"/>
      <c r="R3" s="878"/>
      <c r="S3" s="878"/>
      <c r="T3" s="878"/>
      <c r="U3" s="878"/>
      <c r="V3" s="878"/>
    </row>
    <row r="4" spans="1:22" ht="15" customHeight="1" x14ac:dyDescent="0.2">
      <c r="A4" s="878"/>
      <c r="B4" s="878"/>
      <c r="C4" s="878"/>
      <c r="D4" s="878"/>
      <c r="E4" s="878"/>
      <c r="F4" s="878"/>
      <c r="G4" s="878"/>
      <c r="H4" s="878"/>
      <c r="I4" s="878"/>
      <c r="J4" s="878"/>
      <c r="K4" s="878"/>
      <c r="L4" s="878"/>
      <c r="M4" s="878"/>
      <c r="N4" s="878"/>
      <c r="O4" s="878"/>
      <c r="P4" s="878"/>
      <c r="Q4" s="878"/>
      <c r="R4" s="878"/>
      <c r="S4" s="878"/>
      <c r="T4" s="878"/>
      <c r="U4" s="878"/>
      <c r="V4" s="878"/>
    </row>
    <row r="5" spans="1:22" ht="15" customHeight="1" x14ac:dyDescent="0.2">
      <c r="A5" s="878"/>
      <c r="B5" s="878"/>
      <c r="C5" s="878"/>
      <c r="D5" s="878"/>
      <c r="E5" s="878"/>
      <c r="F5" s="878"/>
      <c r="G5" s="878"/>
      <c r="H5" s="878"/>
      <c r="I5" s="878"/>
      <c r="J5" s="878"/>
      <c r="K5" s="878"/>
      <c r="L5" s="878"/>
      <c r="M5" s="878"/>
      <c r="N5" s="878"/>
      <c r="O5" s="878"/>
      <c r="P5" s="878"/>
      <c r="Q5" s="878"/>
      <c r="R5" s="878"/>
      <c r="S5" s="878"/>
      <c r="T5" s="878"/>
      <c r="U5" s="878"/>
      <c r="V5" s="878"/>
    </row>
    <row r="6" spans="1:22" ht="12.75" customHeight="1" x14ac:dyDescent="0.2">
      <c r="A6" s="20"/>
      <c r="B6" s="20"/>
      <c r="C6" s="20"/>
      <c r="D6" s="20"/>
      <c r="E6" s="20"/>
      <c r="F6" s="20"/>
      <c r="G6" s="20"/>
      <c r="H6" s="20"/>
      <c r="I6" s="20"/>
      <c r="J6" s="20"/>
      <c r="K6" s="20"/>
      <c r="L6" s="20"/>
      <c r="M6" s="20"/>
      <c r="N6" s="20"/>
      <c r="O6" s="20"/>
      <c r="P6" s="20"/>
      <c r="Q6" s="20"/>
      <c r="R6" s="20"/>
    </row>
    <row r="7" spans="1:22" ht="12.75" customHeight="1" x14ac:dyDescent="0.2"/>
    <row r="8" spans="1:22" ht="12.75" customHeight="1" x14ac:dyDescent="0.2"/>
    <row r="9" spans="1:22" ht="12.75" customHeight="1" x14ac:dyDescent="0.2"/>
    <row r="10" spans="1:22" ht="12.75" customHeight="1" x14ac:dyDescent="0.2"/>
    <row r="11" spans="1:22" ht="12.75" customHeight="1" x14ac:dyDescent="0.2"/>
    <row r="12" spans="1:22" ht="12.75" customHeight="1" x14ac:dyDescent="0.2"/>
    <row r="13" spans="1:22" ht="12.75" customHeight="1" x14ac:dyDescent="0.2"/>
    <row r="14" spans="1:22" ht="12.75" customHeight="1" x14ac:dyDescent="0.2"/>
    <row r="15" spans="1:22" ht="12.75" customHeight="1" x14ac:dyDescent="0.2"/>
    <row r="16" spans="1:2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sheetData>
  <sheetProtection insertRows="0" deleteRows="0" sort="0" autoFilter="0"/>
  <customSheetViews>
    <customSheetView guid="{AB7DC012-E038-4AC4-B964-79EBEC1A7DBE}" state="hidden">
      <selection activeCell="K32" sqref="K32"/>
      <pageMargins left="0.7" right="0.7" top="0.75" bottom="0.75" header="0.3" footer="0.3"/>
      <pageSetup paperSize="9" scale="75" orientation="landscape"/>
    </customSheetView>
    <customSheetView guid="{8263CC96-2145-451B-AD8A-CC38FD628AC9}" state="hidden">
      <selection activeCell="K32" sqref="K32"/>
      <pageMargins left="0.7" right="0.7" top="0.75" bottom="0.75" header="0.3" footer="0.3"/>
      <pageSetup paperSize="9" scale="75" orientation="landscape"/>
    </customSheetView>
    <customSheetView guid="{721132AF-EF29-4C83-8A4A-F17ABB4BD7C0}">
      <selection activeCell="K32" sqref="K32"/>
      <pageMargins left="0.7" right="0.7" top="0.75" bottom="0.75" header="0.3" footer="0.3"/>
      <pageSetup paperSize="9" scale="75" orientation="landscape"/>
    </customSheetView>
    <customSheetView guid="{CE0E8020-2C9F-41F1-9136-031F56EB2C71}">
      <selection activeCell="K32" sqref="K32"/>
      <pageMargins left="0.7" right="0.7" top="0.75" bottom="0.75" header="0.3" footer="0.3"/>
    </customSheetView>
    <customSheetView guid="{E823EC26-EF2B-442F-BAF4-E4055CE48BD3}">
      <selection activeCell="K32" sqref="K32"/>
      <pageMargins left="0.7" right="0.7" top="0.75" bottom="0.75" header="0.3" footer="0.3"/>
    </customSheetView>
    <customSheetView guid="{86255A0E-17F2-0E4B-B055-7B9B2A71C25A}">
      <selection activeCell="K32" sqref="K32"/>
      <pageMargins left="0.7" right="0.7" top="0.75" bottom="0.75" header="0.3" footer="0.3"/>
      <pageSetup paperSize="9" scale="75" orientation="landscape"/>
    </customSheetView>
    <customSheetView guid="{D193A86F-CAEF-42FB-9ABB-073B57B81A50}" state="hidden">
      <selection activeCell="K32" sqref="K32"/>
      <pageMargins left="0.7" right="0.7" top="0.75" bottom="0.75" header="0.3" footer="0.3"/>
      <pageSetup paperSize="9" scale="75" orientation="landscape"/>
    </customSheetView>
  </customSheetViews>
  <mergeCells count="2">
    <mergeCell ref="A1:V1"/>
    <mergeCell ref="A2:V5"/>
  </mergeCells>
  <pageMargins left="0.7" right="0.7" top="0.75" bottom="0.75" header="0.3" footer="0.3"/>
  <pageSetup paperSize="9" scale="75"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workbookViewId="0">
      <selection activeCell="A6" sqref="A6"/>
    </sheetView>
  </sheetViews>
  <sheetFormatPr defaultColWidth="8.7109375" defaultRowHeight="12.75" x14ac:dyDescent="0.2"/>
  <cols>
    <col min="1" max="22" width="8" customWidth="1"/>
  </cols>
  <sheetData>
    <row r="1" spans="1:22" ht="21.75" customHeight="1" x14ac:dyDescent="0.2">
      <c r="A1" s="877" t="str">
        <f ca="1">Translations!A94</f>
        <v>PLEASE PROVIDE COST ASSUMPTIONS FOR BUDGET HERE</v>
      </c>
      <c r="B1" s="877"/>
      <c r="C1" s="877"/>
      <c r="D1" s="877"/>
      <c r="E1" s="877"/>
      <c r="F1" s="877"/>
      <c r="G1" s="877"/>
      <c r="H1" s="877"/>
      <c r="I1" s="877"/>
      <c r="J1" s="877"/>
      <c r="K1" s="877"/>
      <c r="L1" s="877"/>
      <c r="M1" s="877"/>
      <c r="N1" s="877"/>
      <c r="O1" s="877"/>
      <c r="P1" s="877"/>
      <c r="Q1" s="877"/>
      <c r="R1" s="877"/>
      <c r="S1" s="877"/>
      <c r="T1" s="877"/>
      <c r="U1" s="877"/>
      <c r="V1" s="877"/>
    </row>
    <row r="2" spans="1:22" ht="15" customHeight="1" x14ac:dyDescent="0.2">
      <c r="A2" s="878" t="str">
        <f ca="1">Translations!A95</f>
        <v>It is not compulsory to provide detailed cost assumptions for the budget, however providing additional information may help to reach a common understanding and agreement between the Principal Recipient and the Global Fund Secretariat and speed up the negotiation process.</v>
      </c>
      <c r="B2" s="878"/>
      <c r="C2" s="878"/>
      <c r="D2" s="878"/>
      <c r="E2" s="878"/>
      <c r="F2" s="878"/>
      <c r="G2" s="878"/>
      <c r="H2" s="878"/>
      <c r="I2" s="878"/>
      <c r="J2" s="878"/>
      <c r="K2" s="878"/>
      <c r="L2" s="878"/>
      <c r="M2" s="878"/>
      <c r="N2" s="878"/>
      <c r="O2" s="878"/>
      <c r="P2" s="878"/>
      <c r="Q2" s="878"/>
      <c r="R2" s="878"/>
      <c r="S2" s="878"/>
      <c r="T2" s="878"/>
      <c r="U2" s="878"/>
      <c r="V2" s="878"/>
    </row>
    <row r="3" spans="1:22" ht="15" customHeight="1" x14ac:dyDescent="0.2">
      <c r="A3" s="878"/>
      <c r="B3" s="878"/>
      <c r="C3" s="878"/>
      <c r="D3" s="878"/>
      <c r="E3" s="878"/>
      <c r="F3" s="878"/>
      <c r="G3" s="878"/>
      <c r="H3" s="878"/>
      <c r="I3" s="878"/>
      <c r="J3" s="878"/>
      <c r="K3" s="878"/>
      <c r="L3" s="878"/>
      <c r="M3" s="878"/>
      <c r="N3" s="878"/>
      <c r="O3" s="878"/>
      <c r="P3" s="878"/>
      <c r="Q3" s="878"/>
      <c r="R3" s="878"/>
      <c r="S3" s="878"/>
      <c r="T3" s="878"/>
      <c r="U3" s="878"/>
      <c r="V3" s="878"/>
    </row>
    <row r="4" spans="1:22" ht="15" customHeight="1" x14ac:dyDescent="0.2">
      <c r="A4" s="878"/>
      <c r="B4" s="878"/>
      <c r="C4" s="878"/>
      <c r="D4" s="878"/>
      <c r="E4" s="878"/>
      <c r="F4" s="878"/>
      <c r="G4" s="878"/>
      <c r="H4" s="878"/>
      <c r="I4" s="878"/>
      <c r="J4" s="878"/>
      <c r="K4" s="878"/>
      <c r="L4" s="878"/>
      <c r="M4" s="878"/>
      <c r="N4" s="878"/>
      <c r="O4" s="878"/>
      <c r="P4" s="878"/>
      <c r="Q4" s="878"/>
      <c r="R4" s="878"/>
      <c r="S4" s="878"/>
      <c r="T4" s="878"/>
      <c r="U4" s="878"/>
      <c r="V4" s="878"/>
    </row>
    <row r="5" spans="1:22" ht="15" customHeight="1" x14ac:dyDescent="0.2">
      <c r="A5" s="878"/>
      <c r="B5" s="878"/>
      <c r="C5" s="878"/>
      <c r="D5" s="878"/>
      <c r="E5" s="878"/>
      <c r="F5" s="878"/>
      <c r="G5" s="878"/>
      <c r="H5" s="878"/>
      <c r="I5" s="878"/>
      <c r="J5" s="878"/>
      <c r="K5" s="878"/>
      <c r="L5" s="878"/>
      <c r="M5" s="878"/>
      <c r="N5" s="878"/>
      <c r="O5" s="878"/>
      <c r="P5" s="878"/>
      <c r="Q5" s="878"/>
      <c r="R5" s="878"/>
      <c r="S5" s="878"/>
      <c r="T5" s="878"/>
      <c r="U5" s="878"/>
      <c r="V5" s="878"/>
    </row>
    <row r="6" spans="1:22" ht="12.75" customHeight="1" x14ac:dyDescent="0.2">
      <c r="A6" s="20"/>
      <c r="B6" s="20"/>
      <c r="C6" s="20"/>
      <c r="D6" s="20"/>
      <c r="E6" s="20"/>
      <c r="F6" s="20"/>
      <c r="G6" s="20"/>
      <c r="H6" s="20"/>
      <c r="I6" s="20"/>
      <c r="J6" s="20"/>
      <c r="K6" s="20"/>
      <c r="L6" s="20"/>
      <c r="M6" s="20"/>
      <c r="N6" s="20"/>
      <c r="O6" s="20"/>
      <c r="P6" s="20"/>
      <c r="Q6" s="20"/>
      <c r="R6" s="20"/>
    </row>
    <row r="7" spans="1:22" ht="12.75" customHeight="1" x14ac:dyDescent="0.2"/>
    <row r="8" spans="1:22" ht="12.75" customHeight="1" x14ac:dyDescent="0.2"/>
    <row r="9" spans="1:22" ht="12.75" customHeight="1" x14ac:dyDescent="0.2"/>
    <row r="10" spans="1:22" ht="12.75" customHeight="1" x14ac:dyDescent="0.2"/>
    <row r="11" spans="1:22" ht="12.75" customHeight="1" x14ac:dyDescent="0.2"/>
    <row r="12" spans="1:22" ht="12.75" customHeight="1" x14ac:dyDescent="0.2"/>
    <row r="13" spans="1:22" ht="12.75" customHeight="1" x14ac:dyDescent="0.2"/>
    <row r="14" spans="1:22" ht="12.75" customHeight="1" x14ac:dyDescent="0.2"/>
    <row r="15" spans="1:22" ht="12.75" customHeight="1" x14ac:dyDescent="0.2"/>
    <row r="16" spans="1:2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sheetData>
  <sheetProtection insertRows="0" deleteRows="0" sort="0" autoFilter="0"/>
  <customSheetViews>
    <customSheetView guid="{AB7DC012-E038-4AC4-B964-79EBEC1A7DBE}" state="hidden">
      <selection activeCell="A6" sqref="A6"/>
      <pageMargins left="0.7" right="0.7" top="0.75" bottom="0.75" header="0.3" footer="0.3"/>
      <pageSetup paperSize="9" scale="75" orientation="landscape"/>
    </customSheetView>
    <customSheetView guid="{8263CC96-2145-451B-AD8A-CC38FD628AC9}" state="hidden">
      <selection activeCell="A6" sqref="A6"/>
      <pageMargins left="0.7" right="0.7" top="0.75" bottom="0.75" header="0.3" footer="0.3"/>
      <pageSetup paperSize="9" scale="75" orientation="landscape"/>
    </customSheetView>
    <customSheetView guid="{721132AF-EF29-4C83-8A4A-F17ABB4BD7C0}">
      <selection activeCell="D39" sqref="D39"/>
      <pageMargins left="0.7" right="0.7" top="0.75" bottom="0.75" header="0.3" footer="0.3"/>
      <pageSetup paperSize="9" scale="75" orientation="landscape"/>
    </customSheetView>
    <customSheetView guid="{CE0E8020-2C9F-41F1-9136-031F56EB2C71}">
      <selection activeCell="D39" sqref="D39"/>
      <pageMargins left="0.7" right="0.7" top="0.75" bottom="0.75" header="0.3" footer="0.3"/>
    </customSheetView>
    <customSheetView guid="{E823EC26-EF2B-442F-BAF4-E4055CE48BD3}">
      <selection activeCell="D39" sqref="D39"/>
      <pageMargins left="0.7" right="0.7" top="0.75" bottom="0.75" header="0.3" footer="0.3"/>
    </customSheetView>
    <customSheetView guid="{86255A0E-17F2-0E4B-B055-7B9B2A71C25A}">
      <selection activeCell="D39" sqref="D39"/>
      <pageMargins left="0.7" right="0.7" top="0.75" bottom="0.75" header="0.3" footer="0.3"/>
      <pageSetup paperSize="9" scale="75" orientation="landscape"/>
    </customSheetView>
    <customSheetView guid="{D193A86F-CAEF-42FB-9ABB-073B57B81A50}" state="hidden">
      <selection activeCell="A6" sqref="A6"/>
      <pageMargins left="0.7" right="0.7" top="0.75" bottom="0.75" header="0.3" footer="0.3"/>
      <pageSetup paperSize="9" scale="75" orientation="landscape"/>
    </customSheetView>
  </customSheetViews>
  <mergeCells count="2">
    <mergeCell ref="A1:V1"/>
    <mergeCell ref="A2:V5"/>
  </mergeCells>
  <pageMargins left="0.7" right="0.7" top="0.75" bottom="0.75" header="0.3" footer="0.3"/>
  <pageSetup paperSize="9" scale="75"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6" zoomScale="90" zoomScaleNormal="90" zoomScalePageLayoutView="90" workbookViewId="0">
      <selection activeCell="F7" sqref="F7:G7"/>
    </sheetView>
  </sheetViews>
  <sheetFormatPr defaultColWidth="9.140625" defaultRowHeight="15" x14ac:dyDescent="0.25"/>
  <cols>
    <col min="1" max="1" width="9.140625" style="298"/>
    <col min="2" max="2" width="14.28515625" style="298" bestFit="1" customWidth="1"/>
    <col min="3" max="3" width="15" style="298" customWidth="1"/>
    <col min="4" max="4" width="14.28515625" style="298" bestFit="1" customWidth="1"/>
    <col min="5" max="5" width="19" style="298" customWidth="1"/>
    <col min="6" max="6" width="15.28515625" style="298" bestFit="1" customWidth="1"/>
    <col min="7" max="7" width="20.42578125" style="298" customWidth="1"/>
    <col min="8" max="8" width="47" style="298" customWidth="1"/>
    <col min="9" max="16384" width="9.140625" style="298"/>
  </cols>
  <sheetData>
    <row r="1" spans="1:8" x14ac:dyDescent="0.25">
      <c r="A1" s="298" t="s">
        <v>1998</v>
      </c>
    </row>
    <row r="3" spans="1:8" x14ac:dyDescent="0.25">
      <c r="A3" s="298" t="s">
        <v>1440</v>
      </c>
      <c r="B3" s="879">
        <v>1802453.0146341464</v>
      </c>
      <c r="C3" s="879"/>
      <c r="D3" s="880">
        <v>1925486.7585365854</v>
      </c>
      <c r="E3" s="880"/>
      <c r="F3" s="880">
        <v>1785440.5043902439</v>
      </c>
      <c r="G3" s="880"/>
    </row>
    <row r="4" spans="1:8" x14ac:dyDescent="0.25">
      <c r="B4" s="879">
        <v>383807</v>
      </c>
      <c r="C4" s="879"/>
      <c r="D4" s="880">
        <f>254303*2</f>
        <v>508606</v>
      </c>
      <c r="E4" s="880"/>
      <c r="F4" s="880">
        <v>0</v>
      </c>
      <c r="G4" s="880"/>
    </row>
    <row r="5" spans="1:8" x14ac:dyDescent="0.25">
      <c r="B5" s="879">
        <v>954878.04878048785</v>
      </c>
      <c r="C5" s="879"/>
      <c r="D5" s="880">
        <v>1909756.0975609757</v>
      </c>
      <c r="E5" s="880"/>
      <c r="F5" s="880">
        <v>1909756.0975609757</v>
      </c>
      <c r="G5" s="880"/>
    </row>
    <row r="6" spans="1:8" x14ac:dyDescent="0.25">
      <c r="C6" s="299">
        <f>B3+B4+B5</f>
        <v>3141138.0634146342</v>
      </c>
      <c r="E6" s="299">
        <f>SUM(D3:E5)</f>
        <v>4343848.8560975613</v>
      </c>
      <c r="G6" s="299">
        <f>SUM(F3:G5)</f>
        <v>3695196.6019512196</v>
      </c>
      <c r="H6" s="299">
        <f>SUM(C6:G6)</f>
        <v>11180183.521463415</v>
      </c>
    </row>
    <row r="7" spans="1:8" x14ac:dyDescent="0.25">
      <c r="A7" s="298" t="s">
        <v>1999</v>
      </c>
      <c r="B7" s="881">
        <v>321483.0146341463</v>
      </c>
      <c r="C7" s="882"/>
      <c r="D7" s="883">
        <v>444516.75853658537</v>
      </c>
      <c r="E7" s="883"/>
      <c r="F7" s="884">
        <v>857120.50439024402</v>
      </c>
      <c r="G7" s="884"/>
      <c r="H7" s="299">
        <f>SUM(B7:G7)</f>
        <v>1623120.2775609759</v>
      </c>
    </row>
    <row r="10" spans="1:8" x14ac:dyDescent="0.25">
      <c r="A10" s="298" t="s">
        <v>1981</v>
      </c>
      <c r="B10" s="885">
        <v>3708065.14</v>
      </c>
      <c r="C10" s="886"/>
      <c r="D10" s="887">
        <v>2761991.94</v>
      </c>
      <c r="E10" s="888"/>
      <c r="F10" s="887">
        <f>D10</f>
        <v>2761991.94</v>
      </c>
      <c r="G10" s="888"/>
    </row>
    <row r="11" spans="1:8" x14ac:dyDescent="0.25">
      <c r="B11" s="889">
        <v>12297294.83</v>
      </c>
      <c r="C11" s="889"/>
      <c r="D11" s="890">
        <v>11710472.140000001</v>
      </c>
      <c r="E11" s="890"/>
      <c r="F11" s="890">
        <v>12860018.77</v>
      </c>
      <c r="G11" s="890"/>
    </row>
    <row r="12" spans="1:8" x14ac:dyDescent="0.25">
      <c r="B12" s="889">
        <v>235406.5</v>
      </c>
      <c r="C12" s="889"/>
      <c r="D12" s="880">
        <f>B12</f>
        <v>235406.5</v>
      </c>
      <c r="E12" s="880"/>
      <c r="F12" s="880">
        <f>D12</f>
        <v>235406.5</v>
      </c>
      <c r="G12" s="880"/>
    </row>
    <row r="13" spans="1:8" x14ac:dyDescent="0.25">
      <c r="B13" s="889">
        <v>4481.71</v>
      </c>
      <c r="C13" s="889"/>
      <c r="D13" s="880">
        <f>B13</f>
        <v>4481.71</v>
      </c>
      <c r="E13" s="880"/>
      <c r="F13" s="880">
        <f>D13</f>
        <v>4481.71</v>
      </c>
      <c r="G13" s="880"/>
    </row>
    <row r="14" spans="1:8" x14ac:dyDescent="0.25">
      <c r="C14" s="300">
        <f>SUM(B10:C13)</f>
        <v>16245248.180000002</v>
      </c>
      <c r="E14" s="300">
        <f>SUM(D10:E13)</f>
        <v>14712352.290000001</v>
      </c>
      <c r="G14" s="300">
        <f>SUM(F10:G13)</f>
        <v>15861898.92</v>
      </c>
      <c r="H14" s="299">
        <f>C14+E14+G14</f>
        <v>46819499.390000001</v>
      </c>
    </row>
    <row r="15" spans="1:8" x14ac:dyDescent="0.25">
      <c r="B15" s="882">
        <v>1509819.16</v>
      </c>
      <c r="C15" s="882"/>
      <c r="D15" s="883">
        <v>1509819.16</v>
      </c>
      <c r="E15" s="883"/>
      <c r="F15" s="884">
        <f>D15</f>
        <v>1509819.16</v>
      </c>
      <c r="G15" s="884"/>
    </row>
    <row r="16" spans="1:8" x14ac:dyDescent="0.25">
      <c r="B16" s="882">
        <v>5127380</v>
      </c>
      <c r="C16" s="882"/>
      <c r="D16" s="883">
        <v>7363318.04</v>
      </c>
      <c r="E16" s="883"/>
      <c r="F16" s="884">
        <v>9993446.1899999995</v>
      </c>
      <c r="G16" s="884"/>
    </row>
    <row r="17" spans="1:8" x14ac:dyDescent="0.25">
      <c r="B17" s="882">
        <v>22170.73</v>
      </c>
      <c r="C17" s="882"/>
      <c r="D17" s="883">
        <f>B17</f>
        <v>22170.73</v>
      </c>
      <c r="E17" s="883"/>
      <c r="F17" s="884">
        <f>D17</f>
        <v>22170.73</v>
      </c>
      <c r="G17" s="884"/>
    </row>
    <row r="18" spans="1:8" x14ac:dyDescent="0.25">
      <c r="C18" s="301">
        <f>SUM(B15:C17)</f>
        <v>6659369.8900000006</v>
      </c>
      <c r="D18" s="301"/>
      <c r="E18" s="301">
        <f>SUM(D15:E17)</f>
        <v>8895307.9299999997</v>
      </c>
      <c r="F18" s="301"/>
      <c r="G18" s="301">
        <f>SUM(F15:G17)</f>
        <v>11525436.08</v>
      </c>
      <c r="H18" s="301">
        <f>SUM(B18:G18)</f>
        <v>27080113.899999999</v>
      </c>
    </row>
    <row r="20" spans="1:8" x14ac:dyDescent="0.25">
      <c r="A20" s="298" t="s">
        <v>2000</v>
      </c>
      <c r="B20" s="879">
        <v>225274.51</v>
      </c>
      <c r="C20" s="879"/>
      <c r="D20" s="880">
        <v>217094.09</v>
      </c>
      <c r="E20" s="880"/>
      <c r="F20" s="880">
        <v>224187.8</v>
      </c>
      <c r="G20" s="880"/>
    </row>
    <row r="21" spans="1:8" x14ac:dyDescent="0.25">
      <c r="B21" s="879">
        <v>70479.679999999993</v>
      </c>
      <c r="C21" s="879"/>
      <c r="D21" s="880">
        <v>55308.95</v>
      </c>
      <c r="E21" s="880"/>
      <c r="F21" s="880">
        <v>25406.51</v>
      </c>
      <c r="G21" s="880"/>
    </row>
    <row r="22" spans="1:8" x14ac:dyDescent="0.25">
      <c r="C22" s="299">
        <f>SUM(B20:C21)</f>
        <v>295754.19</v>
      </c>
      <c r="E22" s="299">
        <f>SUM(D20:E21)</f>
        <v>272403.03999999998</v>
      </c>
      <c r="G22" s="299">
        <f>SUM(F20:G21)</f>
        <v>249594.31</v>
      </c>
      <c r="H22" s="298">
        <f>SUM(B22:G22)</f>
        <v>817751.54</v>
      </c>
    </row>
    <row r="24" spans="1:8" x14ac:dyDescent="0.25">
      <c r="A24" s="298" t="s">
        <v>1984</v>
      </c>
      <c r="B24" s="879">
        <v>239996.34</v>
      </c>
      <c r="C24" s="879"/>
      <c r="D24" s="880">
        <f>B24</f>
        <v>239996.34</v>
      </c>
      <c r="E24" s="880"/>
      <c r="F24" s="880">
        <f>D24</f>
        <v>239996.34</v>
      </c>
      <c r="G24" s="880"/>
    </row>
    <row r="25" spans="1:8" x14ac:dyDescent="0.25">
      <c r="B25" s="879">
        <v>270000</v>
      </c>
      <c r="C25" s="879"/>
      <c r="D25" s="880">
        <f>B25</f>
        <v>270000</v>
      </c>
      <c r="E25" s="880"/>
      <c r="F25" s="880">
        <f>D25</f>
        <v>270000</v>
      </c>
      <c r="G25" s="880"/>
    </row>
    <row r="26" spans="1:8" x14ac:dyDescent="0.25">
      <c r="B26" s="891">
        <v>97561</v>
      </c>
      <c r="C26" s="892"/>
      <c r="D26" s="893">
        <v>0</v>
      </c>
      <c r="E26" s="894"/>
      <c r="F26" s="893">
        <v>0</v>
      </c>
      <c r="G26" s="894"/>
    </row>
    <row r="27" spans="1:8" x14ac:dyDescent="0.25">
      <c r="B27" s="891">
        <v>206463.41</v>
      </c>
      <c r="C27" s="892"/>
      <c r="D27" s="893">
        <f>B27</f>
        <v>206463.41</v>
      </c>
      <c r="E27" s="894"/>
      <c r="F27" s="893">
        <f>D27</f>
        <v>206463.41</v>
      </c>
      <c r="G27" s="894"/>
    </row>
    <row r="28" spans="1:8" x14ac:dyDescent="0.25">
      <c r="B28" s="891">
        <v>356593</v>
      </c>
      <c r="C28" s="892"/>
      <c r="D28" s="893">
        <v>387178</v>
      </c>
      <c r="E28" s="894"/>
      <c r="F28" s="893">
        <v>480119</v>
      </c>
      <c r="G28" s="894"/>
    </row>
    <row r="29" spans="1:8" x14ac:dyDescent="0.25">
      <c r="B29" s="891">
        <v>230693</v>
      </c>
      <c r="C29" s="892"/>
      <c r="D29" s="893">
        <v>278680</v>
      </c>
      <c r="E29" s="894"/>
      <c r="F29" s="893">
        <v>268857</v>
      </c>
      <c r="G29" s="894"/>
    </row>
    <row r="30" spans="1:8" x14ac:dyDescent="0.25">
      <c r="B30" s="879">
        <v>12843.9</v>
      </c>
      <c r="C30" s="879"/>
      <c r="D30" s="880">
        <v>12844</v>
      </c>
      <c r="E30" s="880"/>
      <c r="F30" s="880">
        <v>12844</v>
      </c>
      <c r="G30" s="880"/>
    </row>
    <row r="31" spans="1:8" x14ac:dyDescent="0.25">
      <c r="B31" s="891">
        <v>41268.29</v>
      </c>
      <c r="C31" s="892"/>
      <c r="D31" s="893">
        <v>0</v>
      </c>
      <c r="E31" s="894"/>
      <c r="F31" s="893">
        <v>0</v>
      </c>
      <c r="G31" s="894"/>
    </row>
    <row r="32" spans="1:8" x14ac:dyDescent="0.25">
      <c r="C32" s="299">
        <f>SUM(B24:C31)</f>
        <v>1455418.94</v>
      </c>
      <c r="E32" s="299">
        <f>SUM(D24:E31)</f>
        <v>1395161.75</v>
      </c>
      <c r="G32" s="299">
        <f>SUM(F24:G31)</f>
        <v>1478279.75</v>
      </c>
      <c r="H32" s="301">
        <f>SUM(B32:G32)</f>
        <v>4328860.4399999995</v>
      </c>
    </row>
    <row r="33" spans="1:8" x14ac:dyDescent="0.25">
      <c r="B33" s="882">
        <v>40439</v>
      </c>
      <c r="C33" s="882"/>
      <c r="D33" s="883">
        <f>B33</f>
        <v>40439</v>
      </c>
      <c r="E33" s="883"/>
      <c r="F33" s="884">
        <f>D33</f>
        <v>40439</v>
      </c>
      <c r="G33" s="884"/>
      <c r="H33" s="299">
        <f>SUM(B33:G33)</f>
        <v>121317</v>
      </c>
    </row>
    <row r="36" spans="1:8" x14ac:dyDescent="0.25">
      <c r="A36" s="298" t="s">
        <v>2001</v>
      </c>
      <c r="B36" s="879">
        <v>542847</v>
      </c>
      <c r="C36" s="879"/>
      <c r="D36" s="880">
        <v>507694</v>
      </c>
      <c r="E36" s="880"/>
      <c r="F36" s="880">
        <v>520113</v>
      </c>
      <c r="G36" s="880"/>
    </row>
    <row r="37" spans="1:8" x14ac:dyDescent="0.25">
      <c r="B37" s="879">
        <v>2290731</v>
      </c>
      <c r="C37" s="879"/>
      <c r="D37" s="880">
        <v>2364810</v>
      </c>
      <c r="E37" s="880"/>
      <c r="F37" s="880">
        <v>2441465</v>
      </c>
      <c r="G37" s="880"/>
    </row>
    <row r="38" spans="1:8" x14ac:dyDescent="0.25">
      <c r="B38" s="879">
        <v>221421</v>
      </c>
      <c r="C38" s="879"/>
      <c r="D38" s="880">
        <v>74341</v>
      </c>
      <c r="E38" s="880"/>
      <c r="F38" s="880">
        <v>69951</v>
      </c>
      <c r="G38" s="880"/>
    </row>
    <row r="39" spans="1:8" x14ac:dyDescent="0.25">
      <c r="C39" s="299">
        <f>SUM(B36:C38)</f>
        <v>3054999</v>
      </c>
      <c r="E39" s="299">
        <f>SUM(D36:E38)</f>
        <v>2946845</v>
      </c>
      <c r="G39" s="299">
        <f>SUM(F36:G38)</f>
        <v>3031529</v>
      </c>
      <c r="H39" s="302">
        <f>C39+E39+G39</f>
        <v>9033373</v>
      </c>
    </row>
    <row r="44" spans="1:8" x14ac:dyDescent="0.25">
      <c r="A44" s="303" t="s">
        <v>1440</v>
      </c>
      <c r="B44" s="303">
        <v>11180183.521463415</v>
      </c>
      <c r="C44" s="303">
        <v>0.15489380663644864</v>
      </c>
      <c r="D44" s="303">
        <f>'Summary budget'!$M$22</f>
        <v>1623120</v>
      </c>
      <c r="E44" s="303">
        <v>0.51358991367301032</v>
      </c>
      <c r="F44" s="303">
        <v>39901587.521463417</v>
      </c>
      <c r="G44" s="303">
        <v>0.31148171675670211</v>
      </c>
    </row>
    <row r="45" spans="1:8" x14ac:dyDescent="0.25">
      <c r="A45" s="303" t="s">
        <v>1981</v>
      </c>
      <c r="B45" s="303">
        <v>46819499.390000001</v>
      </c>
      <c r="C45" s="303">
        <v>0.64865218638027666</v>
      </c>
      <c r="D45" s="303">
        <v>27080114</v>
      </c>
      <c r="E45" s="303">
        <v>0.48424072205924468</v>
      </c>
      <c r="F45" s="303">
        <v>73899613.390000001</v>
      </c>
      <c r="G45" s="303">
        <v>0.5768787628811004</v>
      </c>
    </row>
    <row r="46" spans="1:8" x14ac:dyDescent="0.25">
      <c r="A46" s="303" t="s">
        <v>1983</v>
      </c>
      <c r="B46" s="303">
        <v>817751.54</v>
      </c>
      <c r="C46" s="303">
        <v>1.1329389063269912E-2</v>
      </c>
      <c r="D46" s="303">
        <v>0</v>
      </c>
      <c r="E46" s="303">
        <v>0</v>
      </c>
      <c r="F46" s="303">
        <v>817751.54</v>
      </c>
      <c r="G46" s="303">
        <v>6.3835719173484934E-3</v>
      </c>
    </row>
    <row r="47" spans="1:8" x14ac:dyDescent="0.25">
      <c r="A47" s="303" t="s">
        <v>1984</v>
      </c>
      <c r="B47" s="303">
        <v>4328860.4399999995</v>
      </c>
      <c r="C47" s="303">
        <v>5.9973404789134085E-2</v>
      </c>
      <c r="D47" s="303">
        <v>121317</v>
      </c>
      <c r="E47" s="303">
        <v>2.1693642677450098E-3</v>
      </c>
      <c r="F47" s="303">
        <v>4450177.4399999995</v>
      </c>
      <c r="G47" s="303">
        <v>3.4739191971685929E-2</v>
      </c>
    </row>
    <row r="48" spans="1:8" x14ac:dyDescent="0.25">
      <c r="A48" s="303" t="s">
        <v>1981</v>
      </c>
      <c r="B48" s="303">
        <v>9033373</v>
      </c>
      <c r="C48" s="303">
        <v>0.12515121313087066</v>
      </c>
      <c r="D48" s="303">
        <v>0</v>
      </c>
      <c r="E48" s="303">
        <v>0</v>
      </c>
      <c r="F48" s="303">
        <v>9033373</v>
      </c>
      <c r="G48" s="303">
        <v>7.051675647316312E-2</v>
      </c>
    </row>
    <row r="49" spans="1:7" x14ac:dyDescent="0.25">
      <c r="A49" s="303"/>
      <c r="B49" s="303"/>
      <c r="C49" s="303"/>
      <c r="D49" s="303"/>
      <c r="E49" s="303"/>
      <c r="F49" s="303"/>
      <c r="G49" s="303"/>
    </row>
    <row r="50" spans="1:7" x14ac:dyDescent="0.25">
      <c r="A50" s="303"/>
      <c r="B50" s="303">
        <v>72179667.891463414</v>
      </c>
      <c r="C50" s="303"/>
      <c r="D50" s="303">
        <v>55922835</v>
      </c>
      <c r="E50" s="303"/>
      <c r="F50" s="303">
        <v>128102502.89146341</v>
      </c>
      <c r="G50" s="303"/>
    </row>
  </sheetData>
  <customSheetViews>
    <customSheetView guid="{AB7DC012-E038-4AC4-B964-79EBEC1A7DBE}" scale="90" state="hidden" topLeftCell="A16">
      <selection activeCell="F7" sqref="F7:G7"/>
      <pageMargins left="0.7" right="0.7" top="0.75" bottom="0.75" header="0.3" footer="0.3"/>
    </customSheetView>
    <customSheetView guid="{8263CC96-2145-451B-AD8A-CC38FD628AC9}" scale="90" state="hidden" topLeftCell="A16">
      <selection activeCell="F7" sqref="F7:G7"/>
      <pageMargins left="0.7" right="0.7" top="0.75" bottom="0.75" header="0.3" footer="0.3"/>
    </customSheetView>
    <customSheetView guid="{721132AF-EF29-4C83-8A4A-F17ABB4BD7C0}" scale="90" topLeftCell="A16">
      <selection activeCell="F7" sqref="F7:G7"/>
      <pageMargins left="0.7" right="0.7" top="0.75" bottom="0.75" header="0.3" footer="0.3"/>
    </customSheetView>
    <customSheetView guid="{CE0E8020-2C9F-41F1-9136-031F56EB2C71}" scale="90" topLeftCell="A13">
      <selection activeCell="H41" sqref="H41"/>
      <pageMargins left="0.7" right="0.7" top="0.75" bottom="0.75" header="0.3" footer="0.3"/>
    </customSheetView>
    <customSheetView guid="{E823EC26-EF2B-442F-BAF4-E4055CE48BD3}" scale="90" topLeftCell="A16">
      <selection activeCell="F7" sqref="F7:G7"/>
      <pageMargins left="0.7" right="0.7" top="0.75" bottom="0.75" header="0.3" footer="0.3"/>
    </customSheetView>
    <customSheetView guid="{86255A0E-17F2-0E4B-B055-7B9B2A71C25A}" scale="90" topLeftCell="A16">
      <selection activeCell="F7" sqref="F7:G7"/>
      <pageMargins left="0.7" right="0.7" top="0.75" bottom="0.75" header="0.3" footer="0.3"/>
    </customSheetView>
    <customSheetView guid="{D193A86F-CAEF-42FB-9ABB-073B57B81A50}" scale="90" state="hidden" topLeftCell="A16">
      <selection activeCell="F7" sqref="F7:G7"/>
      <pageMargins left="0.7" right="0.7" top="0.75" bottom="0.75" header="0.3" footer="0.3"/>
    </customSheetView>
  </customSheetViews>
  <mergeCells count="75">
    <mergeCell ref="B38:C38"/>
    <mergeCell ref="D38:E38"/>
    <mergeCell ref="F38:G38"/>
    <mergeCell ref="B36:C36"/>
    <mergeCell ref="D36:E36"/>
    <mergeCell ref="F36:G36"/>
    <mergeCell ref="B37:C37"/>
    <mergeCell ref="D37:E37"/>
    <mergeCell ref="F37:G37"/>
    <mergeCell ref="B31:C31"/>
    <mergeCell ref="D31:E31"/>
    <mergeCell ref="F31:G31"/>
    <mergeCell ref="B33:C33"/>
    <mergeCell ref="D33:E33"/>
    <mergeCell ref="F33:G33"/>
    <mergeCell ref="B29:C29"/>
    <mergeCell ref="D29:E29"/>
    <mergeCell ref="F29:G29"/>
    <mergeCell ref="B30:C30"/>
    <mergeCell ref="D30:E30"/>
    <mergeCell ref="F30:G30"/>
    <mergeCell ref="B27:C27"/>
    <mergeCell ref="D27:E27"/>
    <mergeCell ref="F27:G27"/>
    <mergeCell ref="B28:C28"/>
    <mergeCell ref="D28:E28"/>
    <mergeCell ref="F28:G28"/>
    <mergeCell ref="B25:C25"/>
    <mergeCell ref="D25:E25"/>
    <mergeCell ref="F25:G25"/>
    <mergeCell ref="B26:C26"/>
    <mergeCell ref="D26:E26"/>
    <mergeCell ref="F26:G26"/>
    <mergeCell ref="B21:C21"/>
    <mergeCell ref="D21:E21"/>
    <mergeCell ref="F21:G21"/>
    <mergeCell ref="B24:C24"/>
    <mergeCell ref="D24:E24"/>
    <mergeCell ref="F24:G24"/>
    <mergeCell ref="B17:C17"/>
    <mergeCell ref="D17:E17"/>
    <mergeCell ref="F17:G17"/>
    <mergeCell ref="B20:C20"/>
    <mergeCell ref="D20:E20"/>
    <mergeCell ref="F20:G20"/>
    <mergeCell ref="B15:C15"/>
    <mergeCell ref="D15:E15"/>
    <mergeCell ref="F15:G15"/>
    <mergeCell ref="B16:C16"/>
    <mergeCell ref="D16:E16"/>
    <mergeCell ref="F16:G16"/>
    <mergeCell ref="B12:C12"/>
    <mergeCell ref="D12:E12"/>
    <mergeCell ref="F12:G12"/>
    <mergeCell ref="B13:C13"/>
    <mergeCell ref="D13:E13"/>
    <mergeCell ref="F13:G13"/>
    <mergeCell ref="B10:C10"/>
    <mergeCell ref="D10:E10"/>
    <mergeCell ref="F10:G10"/>
    <mergeCell ref="B11:C11"/>
    <mergeCell ref="D11:E11"/>
    <mergeCell ref="F11:G11"/>
    <mergeCell ref="B5:C5"/>
    <mergeCell ref="D5:E5"/>
    <mergeCell ref="F5:G5"/>
    <mergeCell ref="B7:C7"/>
    <mergeCell ref="D7:E7"/>
    <mergeCell ref="F7:G7"/>
    <mergeCell ref="B3:C3"/>
    <mergeCell ref="D3:E3"/>
    <mergeCell ref="F3:G3"/>
    <mergeCell ref="B4:C4"/>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1" topLeftCell="A2" activePane="bottomLeft" state="frozenSplit"/>
      <selection pane="bottomLeft"/>
    </sheetView>
  </sheetViews>
  <sheetFormatPr defaultColWidth="9.140625" defaultRowHeight="14.25" x14ac:dyDescent="0.2"/>
  <cols>
    <col min="1" max="1" width="7.140625" style="189" bestFit="1" customWidth="1"/>
    <col min="2" max="2" width="9.140625" style="189"/>
    <col min="3" max="3" width="13.140625" style="189" bestFit="1" customWidth="1"/>
    <col min="4" max="4" width="18.28515625" style="189" customWidth="1"/>
    <col min="5" max="5" width="15" style="189" bestFit="1" customWidth="1"/>
    <col min="6" max="6" width="15.7109375" style="189" bestFit="1" customWidth="1"/>
    <col min="7" max="7" width="15.42578125" style="189" bestFit="1" customWidth="1"/>
    <col min="8" max="10" width="9.140625" style="189"/>
    <col min="11" max="11" width="9.42578125" style="189" bestFit="1" customWidth="1"/>
    <col min="12" max="16384" width="9.140625" style="189"/>
  </cols>
  <sheetData>
    <row r="1" spans="1:7" s="188" customFormat="1" ht="15" x14ac:dyDescent="0.25">
      <c r="A1" s="188" t="s">
        <v>1552</v>
      </c>
      <c r="B1" s="188" t="s">
        <v>1553</v>
      </c>
      <c r="C1" s="188" t="s">
        <v>625</v>
      </c>
      <c r="D1" s="188" t="s">
        <v>1554</v>
      </c>
      <c r="E1" s="188" t="s">
        <v>1555</v>
      </c>
      <c r="F1" s="188" t="s">
        <v>1556</v>
      </c>
      <c r="G1" s="188" t="s">
        <v>1557</v>
      </c>
    </row>
    <row r="2" spans="1:7" x14ac:dyDescent="0.2">
      <c r="A2" s="189">
        <v>1</v>
      </c>
      <c r="B2" s="189" t="s">
        <v>1558</v>
      </c>
      <c r="C2" s="189" t="str">
        <f ca="1">OFFSET(D2,0,LangOffset,1,1)</f>
        <v>HIV/AIDS</v>
      </c>
      <c r="D2" s="189" t="s">
        <v>1559</v>
      </c>
      <c r="E2" s="189" t="s">
        <v>1560</v>
      </c>
      <c r="F2" s="190"/>
      <c r="G2" s="190"/>
    </row>
    <row r="3" spans="1:7" x14ac:dyDescent="0.2">
      <c r="A3" s="189">
        <v>2</v>
      </c>
      <c r="B3" s="189" t="s">
        <v>1561</v>
      </c>
      <c r="C3" s="189" t="str">
        <f ca="1">OFFSET(D3,0,LangOffset,1,1)</f>
        <v>Tuberculosis</v>
      </c>
      <c r="D3" s="189" t="s">
        <v>78</v>
      </c>
      <c r="E3" s="189" t="s">
        <v>661</v>
      </c>
      <c r="F3" s="190"/>
      <c r="G3" s="190"/>
    </row>
    <row r="4" spans="1:7" x14ac:dyDescent="0.2">
      <c r="A4" s="189">
        <v>3</v>
      </c>
      <c r="B4" s="189" t="s">
        <v>1562</v>
      </c>
      <c r="C4" s="189" t="str">
        <f ca="1">OFFSET(D4,0,LangOffset,1,1)</f>
        <v>Malaria</v>
      </c>
      <c r="D4" s="189" t="s">
        <v>77</v>
      </c>
      <c r="E4" s="189" t="s">
        <v>660</v>
      </c>
      <c r="F4" s="190"/>
      <c r="G4" s="190"/>
    </row>
    <row r="5" spans="1:7" x14ac:dyDescent="0.2">
      <c r="A5" s="189">
        <v>6</v>
      </c>
      <c r="B5" s="189" t="s">
        <v>1563</v>
      </c>
      <c r="C5" s="189" t="str">
        <f ca="1">OFFSET(D5,0,LangOffset,1,1)</f>
        <v>HSS</v>
      </c>
      <c r="D5" s="189" t="s">
        <v>969</v>
      </c>
      <c r="E5" s="189" t="s">
        <v>970</v>
      </c>
      <c r="F5" s="191" t="s">
        <v>971</v>
      </c>
      <c r="G5" s="190"/>
    </row>
  </sheetData>
  <customSheetViews>
    <customSheetView guid="{AB7DC012-E038-4AC4-B964-79EBEC1A7DBE}" state="hidden">
      <pane ySplit="1" topLeftCell="A2" activePane="bottomLeft" state="frozenSplit"/>
      <selection pane="bottomLeft"/>
      <pageMargins left="0.7" right="0.7" top="0.75" bottom="0.75" header="0.3" footer="0.3"/>
    </customSheetView>
    <customSheetView guid="{8263CC96-2145-451B-AD8A-CC38FD628AC9}" state="hidden">
      <pane ySplit="1" topLeftCell="A2" activePane="bottomLeft" state="frozenSplit"/>
      <selection pane="bottomLeft"/>
      <pageMargins left="0.7" right="0.7" top="0.75" bottom="0.75" header="0.3" footer="0.3"/>
    </customSheetView>
    <customSheetView guid="{721132AF-EF29-4C83-8A4A-F17ABB4BD7C0}" state="hidden">
      <pane ySplit="1" topLeftCell="A2" activePane="bottomLeft" state="frozenSplit"/>
      <selection pane="bottomLeft"/>
      <pageMargins left="0.7" right="0.7" top="0.75" bottom="0.75" header="0.3" footer="0.3"/>
    </customSheetView>
    <customSheetView guid="{CE0E8020-2C9F-41F1-9136-031F56EB2C71}" state="hidden">
      <pane ySplit="1" topLeftCell="A2" activePane="bottomLeft" state="frozenSplit"/>
      <selection pane="bottomLeft"/>
      <pageMargins left="0.7" right="0.7" top="0.75" bottom="0.75" header="0.3" footer="0.3"/>
    </customSheetView>
    <customSheetView guid="{E823EC26-EF2B-442F-BAF4-E4055CE48BD3}" state="hidden">
      <pane ySplit="1" topLeftCell="A2" activePane="bottomLeft" state="frozenSplit"/>
      <selection pane="bottomLeft"/>
      <pageMargins left="0.7" right="0.7" top="0.75" bottom="0.75" header="0.3" footer="0.3"/>
    </customSheetView>
    <customSheetView guid="{86255A0E-17F2-0E4B-B055-7B9B2A71C25A}" state="hidden">
      <pane ySplit="1.0769230769230769" topLeftCell="A2" activePane="bottomLeft" state="frozenSplit"/>
      <selection pane="bottomLeft"/>
      <pageMargins left="0.7" right="0.7" top="0.75" bottom="0.75" header="0.3" footer="0.3"/>
    </customSheetView>
    <customSheetView guid="{D193A86F-CAEF-42FB-9ABB-073B57B81A50}" state="hidden">
      <pane ySplit="1" topLeftCell="A2" activePane="bottomLeft" state="frozenSplit"/>
      <selection pane="bottomLeft"/>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pane ySplit="1" topLeftCell="A2" activePane="bottomLeft" state="frozenSplit"/>
      <selection pane="bottomLeft" activeCell="E11" sqref="E11"/>
    </sheetView>
  </sheetViews>
  <sheetFormatPr defaultColWidth="9.140625" defaultRowHeight="14.25" x14ac:dyDescent="0.2"/>
  <cols>
    <col min="1" max="1" width="7.42578125" style="189" bestFit="1" customWidth="1"/>
    <col min="2" max="2" width="10.140625" style="189" bestFit="1" customWidth="1"/>
    <col min="3" max="3" width="7.28515625" style="189" bestFit="1" customWidth="1"/>
    <col min="4" max="4" width="20.7109375" style="189" customWidth="1"/>
    <col min="5" max="5" width="87.28515625" style="189" bestFit="1" customWidth="1"/>
    <col min="6" max="6" width="10.7109375" style="189" bestFit="1" customWidth="1"/>
    <col min="7" max="7" width="11.42578125" style="189" bestFit="1" customWidth="1"/>
    <col min="8" max="8" width="11.28515625" style="189" bestFit="1" customWidth="1"/>
    <col min="9" max="16384" width="9.140625" style="189"/>
  </cols>
  <sheetData>
    <row r="1" spans="1:9" s="188" customFormat="1" ht="15" x14ac:dyDescent="0.25">
      <c r="A1" s="188" t="s">
        <v>1552</v>
      </c>
      <c r="B1" s="188" t="s">
        <v>1553</v>
      </c>
      <c r="C1" s="188" t="s">
        <v>1564</v>
      </c>
      <c r="D1" s="188" t="s">
        <v>625</v>
      </c>
      <c r="E1" s="188" t="s">
        <v>1565</v>
      </c>
      <c r="F1" s="188" t="s">
        <v>1566</v>
      </c>
      <c r="G1" s="188" t="s">
        <v>1567</v>
      </c>
      <c r="H1" s="188" t="s">
        <v>1568</v>
      </c>
    </row>
    <row r="2" spans="1:9" x14ac:dyDescent="0.2">
      <c r="A2" s="189">
        <v>1</v>
      </c>
      <c r="B2" s="189" t="s">
        <v>1558</v>
      </c>
      <c r="C2" s="189">
        <v>1</v>
      </c>
      <c r="D2" s="189" t="str">
        <f t="shared" ref="D2:D7" ca="1" si="0">OFFSET(E2,0,LangOffset,1,1)</f>
        <v>Prevention - General population</v>
      </c>
      <c r="E2" s="231" t="s">
        <v>1922</v>
      </c>
      <c r="F2" s="195"/>
      <c r="G2" s="195"/>
      <c r="H2" s="195"/>
      <c r="I2" s="189" t="str">
        <f ca="1">IFERROR(MATCH(C2,'Concept Note'!AM:AM,0),"")</f>
        <v/>
      </c>
    </row>
    <row r="3" spans="1:9" x14ac:dyDescent="0.2">
      <c r="A3" s="189">
        <v>1</v>
      </c>
      <c r="B3" s="231" t="s">
        <v>1558</v>
      </c>
      <c r="C3" s="189">
        <v>25</v>
      </c>
      <c r="D3" s="189" t="str">
        <f t="shared" ca="1" si="0"/>
        <v>Prevention - MSM and TGs</v>
      </c>
      <c r="E3" s="231" t="s">
        <v>1923</v>
      </c>
      <c r="F3" s="195"/>
      <c r="G3" s="195"/>
      <c r="H3" s="195"/>
    </row>
    <row r="4" spans="1:9" x14ac:dyDescent="0.2">
      <c r="A4" s="189">
        <v>1</v>
      </c>
      <c r="B4" s="231" t="s">
        <v>1558</v>
      </c>
      <c r="C4" s="189">
        <v>26</v>
      </c>
      <c r="D4" s="189" t="str">
        <f t="shared" ca="1" si="0"/>
        <v>Prevention - Sex Workers and their clients</v>
      </c>
      <c r="E4" s="231" t="s">
        <v>1927</v>
      </c>
      <c r="F4" s="195"/>
      <c r="G4" s="195"/>
      <c r="H4" s="195"/>
    </row>
    <row r="5" spans="1:9" x14ac:dyDescent="0.2">
      <c r="A5" s="189">
        <v>1</v>
      </c>
      <c r="B5" s="231" t="s">
        <v>1558</v>
      </c>
      <c r="C5" s="189">
        <v>27</v>
      </c>
      <c r="D5" s="189" t="str">
        <f t="shared" ca="1" si="0"/>
        <v>Prevention - Harm-reduction programmes for injecting drug users (IDUs) and their partners</v>
      </c>
      <c r="E5" s="231" t="s">
        <v>1924</v>
      </c>
      <c r="F5" s="195"/>
      <c r="G5" s="195"/>
      <c r="H5" s="195"/>
    </row>
    <row r="6" spans="1:9" x14ac:dyDescent="0.2">
      <c r="A6" s="189">
        <v>1</v>
      </c>
      <c r="B6" s="231" t="s">
        <v>1558</v>
      </c>
      <c r="C6" s="189">
        <v>29</v>
      </c>
      <c r="D6" s="189" t="str">
        <f t="shared" ca="1" si="0"/>
        <v>Prevention - Adolescents and youth -in and out of school</v>
      </c>
      <c r="E6" s="231" t="s">
        <v>1926</v>
      </c>
      <c r="F6" s="195"/>
      <c r="G6" s="195"/>
      <c r="H6" s="195"/>
    </row>
    <row r="7" spans="1:9" x14ac:dyDescent="0.2">
      <c r="A7" s="189">
        <v>1</v>
      </c>
      <c r="B7" s="231" t="s">
        <v>1558</v>
      </c>
      <c r="C7" s="189">
        <v>28</v>
      </c>
      <c r="D7" s="189" t="str">
        <f t="shared" ca="1" si="0"/>
        <v>Prevention - Other vulnerable populations (please specify)</v>
      </c>
      <c r="E7" s="231" t="s">
        <v>1925</v>
      </c>
      <c r="F7" s="195"/>
      <c r="G7" s="195"/>
      <c r="H7" s="195"/>
    </row>
    <row r="8" spans="1:9" x14ac:dyDescent="0.2">
      <c r="A8" s="189">
        <v>1</v>
      </c>
      <c r="B8" s="189" t="s">
        <v>1558</v>
      </c>
      <c r="C8" s="189">
        <v>2</v>
      </c>
      <c r="D8" s="189" t="str">
        <f t="shared" ref="D8:D30" ca="1" si="1">OFFSET(E8,0,LangOffset,1,1)</f>
        <v>PMTCT</v>
      </c>
      <c r="E8" s="189" t="s">
        <v>985</v>
      </c>
      <c r="F8" s="190"/>
      <c r="G8" s="190"/>
      <c r="H8" s="190"/>
      <c r="I8" s="189" t="str">
        <f ca="1">IFERROR(MATCH(C8,'Concept Note'!AM:AM,0),"")</f>
        <v/>
      </c>
    </row>
    <row r="9" spans="1:9" x14ac:dyDescent="0.2">
      <c r="A9" s="189">
        <v>1</v>
      </c>
      <c r="B9" s="189" t="s">
        <v>1558</v>
      </c>
      <c r="C9" s="189">
        <v>3</v>
      </c>
      <c r="D9" s="189" t="str">
        <f t="shared" ca="1" si="1"/>
        <v>Treatment, care and support</v>
      </c>
      <c r="E9" s="235" t="s">
        <v>1937</v>
      </c>
      <c r="F9" s="190"/>
      <c r="G9" s="190"/>
      <c r="H9" s="190"/>
      <c r="I9" s="189" t="str">
        <f ca="1">IFERROR(MATCH(C9,'Concept Note'!AM:AM,0),"")</f>
        <v/>
      </c>
    </row>
    <row r="10" spans="1:9" x14ac:dyDescent="0.2">
      <c r="A10" s="189">
        <v>1</v>
      </c>
      <c r="B10" s="189" t="s">
        <v>1558</v>
      </c>
      <c r="C10" s="189">
        <v>4</v>
      </c>
      <c r="D10" s="189" t="str">
        <f t="shared" ca="1" si="1"/>
        <v>Monitoring and Evaluation</v>
      </c>
      <c r="E10" s="189" t="s">
        <v>1570</v>
      </c>
      <c r="F10" s="190"/>
      <c r="G10" s="190"/>
      <c r="H10" s="190"/>
      <c r="I10" s="189" t="str">
        <f ca="1">IFERROR(MATCH(C10,'Concept Note'!AM:AM,0),"")</f>
        <v/>
      </c>
    </row>
    <row r="11" spans="1:9" x14ac:dyDescent="0.2">
      <c r="A11" s="189">
        <v>1</v>
      </c>
      <c r="B11" s="189" t="s">
        <v>1558</v>
      </c>
      <c r="C11" s="189">
        <v>5</v>
      </c>
      <c r="D11" s="189" t="str">
        <f t="shared" ca="1" si="1"/>
        <v>Program management</v>
      </c>
      <c r="E11" s="189" t="s">
        <v>1571</v>
      </c>
      <c r="F11" s="190"/>
      <c r="G11" s="190"/>
      <c r="H11" s="190"/>
      <c r="I11" s="189" t="str">
        <f ca="1">IFERROR(MATCH(C11,'Concept Note'!AM:AM,0),"")</f>
        <v/>
      </c>
    </row>
    <row r="12" spans="1:9" x14ac:dyDescent="0.2">
      <c r="A12" s="189">
        <v>2</v>
      </c>
      <c r="B12" s="189" t="s">
        <v>1561</v>
      </c>
      <c r="C12" s="189">
        <v>6</v>
      </c>
      <c r="D12" s="189" t="str">
        <f t="shared" ca="1" si="1"/>
        <v>DOTS-based package</v>
      </c>
      <c r="E12" s="189" t="s">
        <v>1572</v>
      </c>
      <c r="F12" s="190"/>
      <c r="G12" s="190"/>
      <c r="H12" s="190"/>
      <c r="I12" s="189">
        <f>IFERROR(MATCH(C12,'Concept Note'!AM:AM,0),"")</f>
        <v>44</v>
      </c>
    </row>
    <row r="13" spans="1:9" x14ac:dyDescent="0.2">
      <c r="A13" s="189">
        <v>2</v>
      </c>
      <c r="B13" s="189" t="s">
        <v>1561</v>
      </c>
      <c r="C13" s="189">
        <v>7</v>
      </c>
      <c r="D13" s="189" t="str">
        <f t="shared" ca="1" si="1"/>
        <v>TB/HIV package (in high TB/HIV burden countries or for high risk groups in all countries)</v>
      </c>
      <c r="E13" s="189" t="s">
        <v>1573</v>
      </c>
      <c r="F13" s="190"/>
      <c r="G13" s="190"/>
      <c r="H13" s="190"/>
      <c r="I13" s="189">
        <f ca="1">IFERROR(MATCH(C13,'Concept Note'!AM:AM,0),"")</f>
        <v>146</v>
      </c>
    </row>
    <row r="14" spans="1:9" x14ac:dyDescent="0.2">
      <c r="A14" s="189">
        <v>2</v>
      </c>
      <c r="B14" s="189" t="s">
        <v>1561</v>
      </c>
      <c r="C14" s="189">
        <v>8</v>
      </c>
      <c r="D14" s="189" t="str">
        <f t="shared" ca="1" si="1"/>
        <v>MDR-TB package (in high MDR-TB burden countries or for high risk groups in all countries)</v>
      </c>
      <c r="E14" s="189" t="s">
        <v>1574</v>
      </c>
      <c r="F14" s="190"/>
      <c r="G14" s="190"/>
      <c r="H14" s="190"/>
      <c r="I14" s="189">
        <f ca="1">IFERROR(MATCH(C14,'Concept Note'!AM:AM,0),"")</f>
        <v>103</v>
      </c>
    </row>
    <row r="15" spans="1:9" x14ac:dyDescent="0.2">
      <c r="A15" s="189">
        <v>2</v>
      </c>
      <c r="B15" s="189" t="s">
        <v>1561</v>
      </c>
      <c r="C15" s="189">
        <v>9</v>
      </c>
      <c r="D15" s="189" t="str">
        <f t="shared" ca="1" si="1"/>
        <v>Human Rights</v>
      </c>
      <c r="E15" s="189" t="s">
        <v>1575</v>
      </c>
      <c r="F15" s="190"/>
      <c r="G15" s="190"/>
      <c r="H15" s="190"/>
      <c r="I15" s="189" t="str">
        <f ca="1">IFERROR(MATCH(C15,'Concept Note'!AM:AM,0),"")</f>
        <v/>
      </c>
    </row>
    <row r="16" spans="1:9" x14ac:dyDescent="0.2">
      <c r="A16" s="189">
        <v>2</v>
      </c>
      <c r="B16" s="189" t="s">
        <v>1561</v>
      </c>
      <c r="C16" s="189">
        <v>10</v>
      </c>
      <c r="D16" s="189" t="str">
        <f t="shared" ca="1" si="1"/>
        <v>Monitoring and Evaluation</v>
      </c>
      <c r="E16" s="189" t="s">
        <v>1570</v>
      </c>
      <c r="F16" s="190"/>
      <c r="G16" s="190"/>
      <c r="H16" s="190"/>
      <c r="I16" s="189">
        <f ca="1">IFERROR(MATCH(C16,'Concept Note'!AM:AM,0),"")</f>
        <v>181</v>
      </c>
    </row>
    <row r="17" spans="1:9" x14ac:dyDescent="0.2">
      <c r="A17" s="189">
        <v>2</v>
      </c>
      <c r="B17" s="189" t="s">
        <v>1561</v>
      </c>
      <c r="C17" s="189">
        <v>11</v>
      </c>
      <c r="D17" s="189" t="str">
        <f t="shared" ca="1" si="1"/>
        <v>Program Management</v>
      </c>
      <c r="E17" s="189" t="s">
        <v>1009</v>
      </c>
      <c r="F17" s="190"/>
      <c r="G17" s="190"/>
      <c r="H17" s="190"/>
      <c r="I17" s="189">
        <f ca="1">IFERROR(MATCH(C17,'Concept Note'!AM:AM,0),"")</f>
        <v>230</v>
      </c>
    </row>
    <row r="18" spans="1:9" x14ac:dyDescent="0.2">
      <c r="A18" s="189">
        <v>3</v>
      </c>
      <c r="B18" s="189" t="s">
        <v>1562</v>
      </c>
      <c r="C18" s="189">
        <v>12</v>
      </c>
      <c r="D18" s="189" t="str">
        <f t="shared" ca="1" si="1"/>
        <v>Vector Control (VC)</v>
      </c>
      <c r="E18" s="189" t="s">
        <v>1576</v>
      </c>
      <c r="F18" s="190"/>
      <c r="G18" s="190"/>
      <c r="H18" s="190"/>
      <c r="I18" s="189" t="str">
        <f ca="1">IFERROR(MATCH(C18,'Concept Note'!AM:AM,0),"")</f>
        <v/>
      </c>
    </row>
    <row r="19" spans="1:9" x14ac:dyDescent="0.2">
      <c r="A19" s="189">
        <v>3</v>
      </c>
      <c r="B19" s="189" t="s">
        <v>1562</v>
      </c>
      <c r="C19" s="189">
        <v>13</v>
      </c>
      <c r="D19" s="189" t="str">
        <f t="shared" ca="1" si="1"/>
        <v>Case Management (CM)</v>
      </c>
      <c r="E19" s="189" t="s">
        <v>1577</v>
      </c>
      <c r="F19" s="190"/>
      <c r="G19" s="190"/>
      <c r="H19" s="190"/>
      <c r="I19" s="189" t="str">
        <f ca="1">IFERROR(MATCH(C19,'Concept Note'!AM:AM,0),"")</f>
        <v/>
      </c>
    </row>
    <row r="20" spans="1:9" x14ac:dyDescent="0.2">
      <c r="A20" s="189">
        <v>3</v>
      </c>
      <c r="B20" s="189" t="s">
        <v>1562</v>
      </c>
      <c r="C20" s="189">
        <v>14</v>
      </c>
      <c r="D20" s="189" t="str">
        <f t="shared" ca="1" si="1"/>
        <v>Specific Prevention Interventions (SPI)</v>
      </c>
      <c r="E20" s="189" t="s">
        <v>1578</v>
      </c>
      <c r="F20" s="190"/>
      <c r="G20" s="190"/>
      <c r="H20" s="190"/>
      <c r="I20" s="189" t="str">
        <f ca="1">IFERROR(MATCH(C20,'Concept Note'!AM:AM,0),"")</f>
        <v/>
      </c>
    </row>
    <row r="21" spans="1:9" x14ac:dyDescent="0.2">
      <c r="A21" s="189">
        <v>3</v>
      </c>
      <c r="B21" s="189" t="s">
        <v>1562</v>
      </c>
      <c r="C21" s="189">
        <v>15</v>
      </c>
      <c r="D21" s="189" t="str">
        <f t="shared" ca="1" si="1"/>
        <v>Monitoring and Evaluation (ME)</v>
      </c>
      <c r="E21" s="189" t="s">
        <v>1579</v>
      </c>
      <c r="F21" s="190"/>
      <c r="G21" s="190"/>
      <c r="H21" s="190"/>
      <c r="I21" s="189" t="str">
        <f ca="1">IFERROR(MATCH(C21,'Concept Note'!AM:AM,0),"")</f>
        <v/>
      </c>
    </row>
    <row r="22" spans="1:9" x14ac:dyDescent="0.2">
      <c r="A22" s="189">
        <v>3</v>
      </c>
      <c r="B22" s="189" t="s">
        <v>1562</v>
      </c>
      <c r="C22" s="189">
        <v>16</v>
      </c>
      <c r="D22" s="189" t="str">
        <f t="shared" ca="1" si="1"/>
        <v>Program Management (PM)</v>
      </c>
      <c r="E22" s="189" t="s">
        <v>1580</v>
      </c>
      <c r="F22" s="190"/>
      <c r="G22" s="190"/>
      <c r="H22" s="190"/>
      <c r="I22" s="189" t="str">
        <f ca="1">IFERROR(MATCH(C22,'Concept Note'!AM:AM,0),"")</f>
        <v/>
      </c>
    </row>
    <row r="23" spans="1:9" x14ac:dyDescent="0.2">
      <c r="A23" s="189">
        <v>6</v>
      </c>
      <c r="B23" s="189" t="s">
        <v>1563</v>
      </c>
      <c r="C23" s="189">
        <v>17</v>
      </c>
      <c r="D23" s="189" t="str">
        <f t="shared" ca="1" si="1"/>
        <v>Service Delivery</v>
      </c>
      <c r="E23" s="189" t="s">
        <v>1581</v>
      </c>
      <c r="F23" s="190"/>
      <c r="G23" s="190"/>
      <c r="H23" s="190"/>
      <c r="I23" s="189" t="str">
        <f ca="1">IFERROR(MATCH(C23,'Concept Note'!AM:AM,0),"")</f>
        <v/>
      </c>
    </row>
    <row r="24" spans="1:9" x14ac:dyDescent="0.2">
      <c r="A24" s="189">
        <v>6</v>
      </c>
      <c r="B24" s="189" t="s">
        <v>1563</v>
      </c>
      <c r="C24" s="189">
        <v>18</v>
      </c>
      <c r="D24" s="189" t="str">
        <f t="shared" ca="1" si="1"/>
        <v>Health  Workforce</v>
      </c>
      <c r="E24" s="189" t="s">
        <v>1582</v>
      </c>
      <c r="F24" s="190"/>
      <c r="G24" s="190"/>
      <c r="H24" s="190"/>
      <c r="I24" s="189" t="str">
        <f ca="1">IFERROR(MATCH(C24,'Concept Note'!AM:AM,0),"")</f>
        <v/>
      </c>
    </row>
    <row r="25" spans="1:9" x14ac:dyDescent="0.2">
      <c r="A25" s="189">
        <v>6</v>
      </c>
      <c r="B25" s="189" t="s">
        <v>1563</v>
      </c>
      <c r="C25" s="189">
        <v>19</v>
      </c>
      <c r="D25" s="189" t="str">
        <f t="shared" ca="1" si="1"/>
        <v>Procurement and Supply Chain Management</v>
      </c>
      <c r="E25" s="189" t="s">
        <v>1583</v>
      </c>
      <c r="F25" s="190"/>
      <c r="G25" s="190"/>
      <c r="H25" s="190"/>
      <c r="I25" s="189" t="str">
        <f ca="1">IFERROR(MATCH(C25,'Concept Note'!AM:AM,0),"")</f>
        <v/>
      </c>
    </row>
    <row r="26" spans="1:9" x14ac:dyDescent="0.2">
      <c r="A26" s="189">
        <v>6</v>
      </c>
      <c r="B26" s="189" t="s">
        <v>1563</v>
      </c>
      <c r="C26" s="189">
        <v>20</v>
      </c>
      <c r="D26" s="189" t="str">
        <f t="shared" ca="1" si="1"/>
        <v>Information systems and M&amp;E</v>
      </c>
      <c r="E26" s="189" t="s">
        <v>1584</v>
      </c>
      <c r="F26" s="190"/>
      <c r="G26" s="190"/>
      <c r="H26" s="190"/>
      <c r="I26" s="189" t="str">
        <f ca="1">IFERROR(MATCH(C26,'Concept Note'!AM:AM,0),"")</f>
        <v/>
      </c>
    </row>
    <row r="27" spans="1:9" x14ac:dyDescent="0.2">
      <c r="A27" s="189">
        <v>6</v>
      </c>
      <c r="B27" s="189" t="s">
        <v>1563</v>
      </c>
      <c r="C27" s="189">
        <v>21</v>
      </c>
      <c r="D27" s="189" t="str">
        <f t="shared" ca="1" si="1"/>
        <v>Legal, policy, strategy and regulatory environment</v>
      </c>
      <c r="E27" s="189" t="s">
        <v>1585</v>
      </c>
      <c r="F27" s="190"/>
      <c r="G27" s="190"/>
      <c r="H27" s="190"/>
      <c r="I27" s="189" t="str">
        <f ca="1">IFERROR(MATCH(C27,'Concept Note'!AM:AM,0),"")</f>
        <v/>
      </c>
    </row>
    <row r="28" spans="1:9" x14ac:dyDescent="0.2">
      <c r="A28" s="189">
        <v>6</v>
      </c>
      <c r="B28" s="189" t="s">
        <v>1563</v>
      </c>
      <c r="C28" s="189">
        <v>22</v>
      </c>
      <c r="D28" s="189" t="str">
        <f t="shared" ca="1" si="1"/>
        <v xml:space="preserve">Healthcare financing </v>
      </c>
      <c r="E28" s="189" t="s">
        <v>1586</v>
      </c>
      <c r="F28" s="190"/>
      <c r="G28" s="190"/>
      <c r="H28" s="190"/>
      <c r="I28" s="189" t="str">
        <f ca="1">IFERROR(MATCH(C28,'Concept Note'!AM:AM,0),"")</f>
        <v/>
      </c>
    </row>
    <row r="29" spans="1:9" x14ac:dyDescent="0.2">
      <c r="A29" s="189">
        <v>6</v>
      </c>
      <c r="B29" s="189" t="s">
        <v>1563</v>
      </c>
      <c r="C29" s="189">
        <v>23</v>
      </c>
      <c r="D29" s="189" t="str">
        <f t="shared" ca="1" si="1"/>
        <v>Human Rights</v>
      </c>
      <c r="E29" s="189" t="s">
        <v>1575</v>
      </c>
      <c r="F29" s="190"/>
      <c r="G29" s="190"/>
      <c r="H29" s="190"/>
      <c r="I29" s="189" t="str">
        <f ca="1">IFERROR(MATCH(C29,'Concept Note'!AM:AM,0),"")</f>
        <v/>
      </c>
    </row>
    <row r="30" spans="1:9" x14ac:dyDescent="0.2">
      <c r="A30" s="189">
        <v>6</v>
      </c>
      <c r="B30" s="189" t="s">
        <v>1563</v>
      </c>
      <c r="C30" s="189">
        <v>24</v>
      </c>
      <c r="D30" s="189" t="str">
        <f t="shared" ca="1" si="1"/>
        <v>Program management 
(applicable for standalone HSS grants)</v>
      </c>
      <c r="E30" s="189" t="s">
        <v>1587</v>
      </c>
      <c r="F30" s="190"/>
      <c r="G30" s="190"/>
      <c r="H30" s="190"/>
      <c r="I30" s="189" t="str">
        <f ca="1">IFERROR(MATCH(C30,'Concept Note'!AM:AM,0),"")</f>
        <v/>
      </c>
    </row>
  </sheetData>
  <customSheetViews>
    <customSheetView guid="{AB7DC012-E038-4AC4-B964-79EBEC1A7DBE}" state="hidden">
      <pane ySplit="1" topLeftCell="A2" activePane="bottomLeft" state="frozenSplit"/>
      <selection pane="bottomLeft" activeCell="E11" sqref="E11"/>
      <pageMargins left="0.7" right="0.7" top="0.75" bottom="0.75" header="0.3" footer="0.3"/>
    </customSheetView>
    <customSheetView guid="{8263CC96-2145-451B-AD8A-CC38FD628AC9}" state="hidden">
      <pane ySplit="1" topLeftCell="A2" activePane="bottomLeft" state="frozenSplit"/>
      <selection pane="bottomLeft" activeCell="E11" sqref="E11"/>
      <pageMargins left="0.7" right="0.7" top="0.75" bottom="0.75" header="0.3" footer="0.3"/>
    </customSheetView>
    <customSheetView guid="{721132AF-EF29-4C83-8A4A-F17ABB4BD7C0}" state="hidden">
      <pane ySplit="1" topLeftCell="A2" activePane="bottomLeft" state="frozenSplit"/>
      <selection pane="bottomLeft" activeCell="E11" sqref="E11"/>
      <pageMargins left="0.7" right="0.7" top="0.75" bottom="0.75" header="0.3" footer="0.3"/>
    </customSheetView>
    <customSheetView guid="{CE0E8020-2C9F-41F1-9136-031F56EB2C71}" state="hidden">
      <pane ySplit="1" topLeftCell="A2" activePane="bottomLeft" state="frozenSplit"/>
      <selection pane="bottomLeft" activeCell="E11" sqref="E11"/>
      <pageMargins left="0.7" right="0.7" top="0.75" bottom="0.75" header="0.3" footer="0.3"/>
    </customSheetView>
    <customSheetView guid="{E823EC26-EF2B-442F-BAF4-E4055CE48BD3}" state="hidden">
      <pane ySplit="1" topLeftCell="A2" activePane="bottomLeft" state="frozenSplit"/>
      <selection pane="bottomLeft" activeCell="E11" sqref="E11"/>
      <pageMargins left="0.7" right="0.7" top="0.75" bottom="0.75" header="0.3" footer="0.3"/>
    </customSheetView>
    <customSheetView guid="{86255A0E-17F2-0E4B-B055-7B9B2A71C25A}" state="hidden">
      <pane ySplit="1.0769230769230769" topLeftCell="A2" activePane="bottomLeft" state="frozenSplit"/>
      <selection pane="bottomLeft" activeCell="E11" sqref="E11"/>
      <pageMargins left="0.7" right="0.7" top="0.75" bottom="0.75" header="0.3" footer="0.3"/>
    </customSheetView>
    <customSheetView guid="{D193A86F-CAEF-42FB-9ABB-073B57B81A50}" state="hidden">
      <pane ySplit="1" topLeftCell="A2" activePane="bottomLeft" state="frozenSplit"/>
      <selection pane="bottomLeft" activeCell="E11" sqref="E1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pane xSplit="3" ySplit="1" topLeftCell="D118" activePane="bottomRight" state="frozenSplit"/>
      <selection pane="topRight" activeCell="D1" sqref="D1"/>
      <selection pane="bottomLeft" activeCell="A2" sqref="A2"/>
      <selection pane="bottomRight" activeCell="F130" sqref="F130"/>
    </sheetView>
  </sheetViews>
  <sheetFormatPr defaultColWidth="9.140625" defaultRowHeight="14.25" x14ac:dyDescent="0.2"/>
  <cols>
    <col min="1" max="1" width="7.28515625" style="192" bestFit="1" customWidth="1"/>
    <col min="2" max="2" width="10.140625" style="192" bestFit="1" customWidth="1"/>
    <col min="3" max="3" width="34.28515625" style="192" customWidth="1"/>
    <col min="4" max="4" width="5.42578125" style="192" bestFit="1" customWidth="1"/>
    <col min="5" max="5" width="13.140625" style="189" bestFit="1" customWidth="1"/>
    <col min="6" max="6" width="67.140625" style="192" customWidth="1"/>
    <col min="7" max="7" width="15.7109375" style="192" bestFit="1" customWidth="1"/>
    <col min="8" max="8" width="16.42578125" style="192" bestFit="1" customWidth="1"/>
    <col min="9" max="9" width="16.28515625" style="192" bestFit="1" customWidth="1"/>
    <col min="10" max="10" width="72.140625" style="192" customWidth="1"/>
    <col min="11" max="16384" width="9.140625" style="192"/>
  </cols>
  <sheetData>
    <row r="1" spans="1:10" s="194" customFormat="1" ht="15" x14ac:dyDescent="0.25">
      <c r="A1" s="194" t="s">
        <v>1564</v>
      </c>
      <c r="B1" s="194" t="s">
        <v>1553</v>
      </c>
      <c r="C1" s="194" t="s">
        <v>986</v>
      </c>
      <c r="D1" s="194" t="s">
        <v>1753</v>
      </c>
      <c r="E1" s="188" t="s">
        <v>625</v>
      </c>
      <c r="F1" s="194" t="s">
        <v>1752</v>
      </c>
      <c r="G1" s="194" t="s">
        <v>1751</v>
      </c>
      <c r="H1" s="194" t="s">
        <v>1750</v>
      </c>
      <c r="I1" s="194" t="s">
        <v>1749</v>
      </c>
      <c r="J1" s="194" t="s">
        <v>1748</v>
      </c>
    </row>
    <row r="2" spans="1:10" x14ac:dyDescent="0.2">
      <c r="A2" s="192">
        <v>1</v>
      </c>
      <c r="B2" s="192" t="s">
        <v>1558</v>
      </c>
      <c r="D2" s="192">
        <v>1</v>
      </c>
      <c r="E2" s="189" t="str">
        <f t="shared" ref="E2:E33" ca="1" si="0">OFFSET(F2,0,LangOffset,1,1)</f>
        <v xml:space="preserve">Behavioural Change as part of programs for General population </v>
      </c>
      <c r="F2" s="192" t="s">
        <v>987</v>
      </c>
      <c r="G2" s="193"/>
      <c r="H2" s="193"/>
      <c r="I2" s="193"/>
    </row>
    <row r="3" spans="1:10" x14ac:dyDescent="0.2">
      <c r="A3" s="192">
        <v>1</v>
      </c>
      <c r="B3" s="192" t="s">
        <v>1558</v>
      </c>
      <c r="D3" s="192">
        <v>2</v>
      </c>
      <c r="E3" s="189" t="str">
        <f t="shared" ca="1" si="0"/>
        <v xml:space="preserve">Condoms as part of programs for General population </v>
      </c>
      <c r="F3" s="192" t="s">
        <v>988</v>
      </c>
      <c r="G3" s="193"/>
      <c r="H3" s="193"/>
      <c r="I3" s="193"/>
    </row>
    <row r="4" spans="1:10" x14ac:dyDescent="0.2">
      <c r="A4" s="192">
        <v>1</v>
      </c>
      <c r="B4" s="192" t="s">
        <v>1558</v>
      </c>
      <c r="D4" s="192">
        <v>3</v>
      </c>
      <c r="E4" s="189" t="str">
        <f t="shared" ca="1" si="0"/>
        <v xml:space="preserve">Male Circumcision </v>
      </c>
      <c r="F4" s="192" t="s">
        <v>989</v>
      </c>
      <c r="G4" s="193"/>
      <c r="H4" s="193"/>
      <c r="I4" s="193"/>
    </row>
    <row r="5" spans="1:10" x14ac:dyDescent="0.2">
      <c r="A5" s="192">
        <v>1</v>
      </c>
      <c r="B5" s="192" t="s">
        <v>1558</v>
      </c>
      <c r="D5" s="192">
        <v>4</v>
      </c>
      <c r="E5" s="189" t="str">
        <f t="shared" ca="1" si="0"/>
        <v xml:space="preserve">HIV testing and Counselling as part of programs for General population </v>
      </c>
      <c r="F5" s="192" t="s">
        <v>1550</v>
      </c>
      <c r="G5" s="193"/>
      <c r="H5" s="193"/>
      <c r="I5" s="193"/>
    </row>
    <row r="6" spans="1:10" x14ac:dyDescent="0.2">
      <c r="A6" s="192">
        <v>1</v>
      </c>
      <c r="B6" s="192" t="s">
        <v>1558</v>
      </c>
      <c r="D6" s="192">
        <v>5</v>
      </c>
      <c r="E6" s="189" t="str">
        <f t="shared" ca="1" si="0"/>
        <v xml:space="preserve">Diagnosis and treatment of STIs as part of programs for General population </v>
      </c>
      <c r="F6" s="192" t="s">
        <v>1747</v>
      </c>
      <c r="G6" s="193"/>
      <c r="H6" s="193"/>
      <c r="I6" s="193"/>
    </row>
    <row r="7" spans="1:10" x14ac:dyDescent="0.2">
      <c r="A7" s="192">
        <v>1</v>
      </c>
      <c r="B7" s="192" t="s">
        <v>1558</v>
      </c>
      <c r="D7" s="192">
        <v>6</v>
      </c>
      <c r="E7" s="189" t="str">
        <f t="shared" ca="1" si="0"/>
        <v xml:space="preserve">Blood Safety </v>
      </c>
      <c r="F7" s="192" t="s">
        <v>990</v>
      </c>
      <c r="G7" s="193"/>
      <c r="H7" s="193"/>
      <c r="I7" s="193"/>
    </row>
    <row r="8" spans="1:10" x14ac:dyDescent="0.2">
      <c r="A8" s="192">
        <v>1</v>
      </c>
      <c r="B8" s="192" t="s">
        <v>1558</v>
      </c>
      <c r="D8" s="192">
        <v>7</v>
      </c>
      <c r="E8" s="189" t="str">
        <f t="shared" ca="1" si="0"/>
        <v xml:space="preserve">Orphan and Vulnerable Children (OVC) Package </v>
      </c>
      <c r="F8" s="192" t="s">
        <v>991</v>
      </c>
      <c r="G8" s="193"/>
      <c r="H8" s="193"/>
      <c r="I8" s="193"/>
    </row>
    <row r="9" spans="1:10" x14ac:dyDescent="0.2">
      <c r="A9" s="192">
        <v>1</v>
      </c>
      <c r="B9" s="192" t="s">
        <v>1558</v>
      </c>
      <c r="D9" s="192">
        <v>8</v>
      </c>
      <c r="E9" s="189" t="str">
        <f t="shared" ca="1" si="0"/>
        <v xml:space="preserve">Community Systems Strengthening -Prevention General Population </v>
      </c>
      <c r="F9" s="192" t="s">
        <v>992</v>
      </c>
      <c r="G9" s="193"/>
      <c r="H9" s="193"/>
      <c r="I9" s="193"/>
    </row>
    <row r="10" spans="1:10" x14ac:dyDescent="0.2">
      <c r="A10" s="192">
        <v>1</v>
      </c>
      <c r="B10" s="192" t="s">
        <v>1558</v>
      </c>
      <c r="D10" s="192">
        <v>9</v>
      </c>
      <c r="E10" s="189" t="str">
        <f t="shared" ca="1" si="0"/>
        <v xml:space="preserve">Removing human rights barriers to accessing services - Prevention General Population </v>
      </c>
      <c r="F10" s="192" t="s">
        <v>1746</v>
      </c>
      <c r="G10" s="193"/>
      <c r="H10" s="193"/>
      <c r="I10" s="193"/>
    </row>
    <row r="11" spans="1:10" x14ac:dyDescent="0.2">
      <c r="A11" s="192">
        <v>1</v>
      </c>
      <c r="B11" s="192" t="s">
        <v>1558</v>
      </c>
      <c r="D11" s="192">
        <v>10</v>
      </c>
      <c r="E11" s="189" t="str">
        <f t="shared" ca="1" si="0"/>
        <v>RMNCH linkages and Gender Based Violence (GBV)</v>
      </c>
      <c r="F11" s="192" t="s">
        <v>993</v>
      </c>
      <c r="G11" s="193"/>
      <c r="H11" s="193"/>
      <c r="I11" s="193"/>
    </row>
    <row r="12" spans="1:10" x14ac:dyDescent="0.2">
      <c r="A12" s="192">
        <v>1</v>
      </c>
      <c r="B12" s="192" t="s">
        <v>1558</v>
      </c>
      <c r="D12" s="192">
        <v>11</v>
      </c>
      <c r="E12" s="189" t="str">
        <f t="shared" ca="1" si="0"/>
        <v xml:space="preserve">Other interventions for General Populations - please specify </v>
      </c>
      <c r="F12" s="192" t="s">
        <v>1745</v>
      </c>
      <c r="G12" s="193"/>
      <c r="H12" s="193"/>
      <c r="I12" s="193"/>
    </row>
    <row r="13" spans="1:10" x14ac:dyDescent="0.2">
      <c r="A13" s="192">
        <v>25</v>
      </c>
      <c r="B13" s="192" t="s">
        <v>1558</v>
      </c>
      <c r="D13" s="192">
        <v>12</v>
      </c>
      <c r="E13" s="189" t="str">
        <f t="shared" ca="1" si="0"/>
        <v>Behavioural Change as part of Programs for MSM and TGs</v>
      </c>
      <c r="F13" s="192" t="s">
        <v>1744</v>
      </c>
      <c r="G13" s="193"/>
      <c r="H13" s="193"/>
      <c r="I13" s="193"/>
    </row>
    <row r="14" spans="1:10" x14ac:dyDescent="0.2">
      <c r="A14" s="192">
        <v>25</v>
      </c>
      <c r="B14" s="192" t="s">
        <v>1558</v>
      </c>
      <c r="D14" s="192">
        <v>13</v>
      </c>
      <c r="E14" s="189" t="str">
        <f t="shared" ca="1" si="0"/>
        <v>Condoms as part of Programs for MSM and TGs</v>
      </c>
      <c r="F14" s="192" t="s">
        <v>994</v>
      </c>
      <c r="G14" s="193"/>
      <c r="H14" s="193"/>
      <c r="I14" s="193"/>
    </row>
    <row r="15" spans="1:10" x14ac:dyDescent="0.2">
      <c r="A15" s="192">
        <v>25</v>
      </c>
      <c r="B15" s="192" t="s">
        <v>1558</v>
      </c>
      <c r="D15" s="192">
        <v>14</v>
      </c>
      <c r="E15" s="189" t="str">
        <f t="shared" ca="1" si="0"/>
        <v>HIV testing and Counselling as part of Programs for MSM and TGs</v>
      </c>
      <c r="F15" s="192" t="s">
        <v>995</v>
      </c>
      <c r="G15" s="193"/>
      <c r="H15" s="193"/>
      <c r="I15" s="193"/>
    </row>
    <row r="16" spans="1:10" x14ac:dyDescent="0.2">
      <c r="A16" s="192">
        <v>25</v>
      </c>
      <c r="B16" s="192" t="s">
        <v>1558</v>
      </c>
      <c r="D16" s="192">
        <v>15</v>
      </c>
      <c r="E16" s="189" t="str">
        <f t="shared" ca="1" si="0"/>
        <v>Diagnosis and treatment of STIs as part of Programs for MSM and TGs</v>
      </c>
      <c r="F16" s="192" t="s">
        <v>1743</v>
      </c>
      <c r="G16" s="193"/>
      <c r="H16" s="193"/>
      <c r="I16" s="193"/>
    </row>
    <row r="17" spans="1:9" x14ac:dyDescent="0.2">
      <c r="A17" s="192">
        <v>25</v>
      </c>
      <c r="B17" s="192" t="s">
        <v>1558</v>
      </c>
      <c r="D17" s="192">
        <v>16</v>
      </c>
      <c r="E17" s="189" t="str">
        <f t="shared" ca="1" si="0"/>
        <v>Diagnosis and treatment of viral hepatitis as part of Programs for MSM and TGs</v>
      </c>
      <c r="F17" s="192" t="s">
        <v>996</v>
      </c>
      <c r="G17" s="193"/>
      <c r="H17" s="193"/>
      <c r="I17" s="193"/>
    </row>
    <row r="18" spans="1:9" x14ac:dyDescent="0.2">
      <c r="A18" s="192">
        <v>25</v>
      </c>
      <c r="B18" s="192" t="s">
        <v>1558</v>
      </c>
      <c r="D18" s="192">
        <v>17</v>
      </c>
      <c r="E18" s="189" t="str">
        <f t="shared" ca="1" si="0"/>
        <v xml:space="preserve">Community Systems Strengthening -Prevention MSM and TGs </v>
      </c>
      <c r="F18" s="192" t="s">
        <v>997</v>
      </c>
      <c r="G18" s="193"/>
      <c r="H18" s="193"/>
      <c r="I18" s="193"/>
    </row>
    <row r="19" spans="1:9" x14ac:dyDescent="0.2">
      <c r="A19" s="192">
        <v>25</v>
      </c>
      <c r="B19" s="192" t="s">
        <v>1558</v>
      </c>
      <c r="D19" s="192">
        <v>18</v>
      </c>
      <c r="E19" s="189" t="str">
        <f t="shared" ca="1" si="0"/>
        <v xml:space="preserve">Removing human rights barriers to accessing services - Prevention MSM and TGs </v>
      </c>
      <c r="F19" s="192" t="s">
        <v>1742</v>
      </c>
      <c r="G19" s="193"/>
      <c r="H19" s="193"/>
      <c r="I19" s="193"/>
    </row>
    <row r="20" spans="1:9" x14ac:dyDescent="0.2">
      <c r="A20" s="192">
        <v>25</v>
      </c>
      <c r="B20" s="192" t="s">
        <v>1558</v>
      </c>
      <c r="D20" s="192">
        <v>19</v>
      </c>
      <c r="E20" s="189" t="str">
        <f t="shared" ca="1" si="0"/>
        <v xml:space="preserve">Other interventions for MSM and TGs -Please specify </v>
      </c>
      <c r="F20" s="192" t="s">
        <v>998</v>
      </c>
      <c r="G20" s="193"/>
      <c r="H20" s="193"/>
      <c r="I20" s="193"/>
    </row>
    <row r="21" spans="1:9" x14ac:dyDescent="0.2">
      <c r="A21" s="192">
        <v>26</v>
      </c>
      <c r="B21" s="192" t="s">
        <v>1558</v>
      </c>
      <c r="D21" s="192">
        <v>20</v>
      </c>
      <c r="E21" s="189" t="str">
        <f t="shared" ca="1" si="0"/>
        <v>Behavioural Change as part of programmes for sex workers and their clients</v>
      </c>
      <c r="F21" s="192" t="s">
        <v>999</v>
      </c>
      <c r="G21" s="193"/>
      <c r="H21" s="193"/>
      <c r="I21" s="193"/>
    </row>
    <row r="22" spans="1:9" x14ac:dyDescent="0.2">
      <c r="A22" s="192">
        <v>26</v>
      </c>
      <c r="B22" s="192" t="s">
        <v>1558</v>
      </c>
      <c r="D22" s="192">
        <v>21</v>
      </c>
      <c r="E22" s="189" t="str">
        <f t="shared" ca="1" si="0"/>
        <v>Condoms as part of programmes for sex workers and their clients</v>
      </c>
      <c r="F22" s="192" t="s">
        <v>1000</v>
      </c>
      <c r="G22" s="193"/>
      <c r="H22" s="193"/>
      <c r="I22" s="193"/>
    </row>
    <row r="23" spans="1:9" x14ac:dyDescent="0.2">
      <c r="A23" s="192">
        <v>26</v>
      </c>
      <c r="B23" s="192" t="s">
        <v>1558</v>
      </c>
      <c r="D23" s="192">
        <v>22</v>
      </c>
      <c r="E23" s="189" t="str">
        <f t="shared" ca="1" si="0"/>
        <v>HIV testing and Counselling as part of programmes for sex workers and their clients</v>
      </c>
      <c r="F23" s="192" t="s">
        <v>1735</v>
      </c>
      <c r="G23" s="193"/>
      <c r="H23" s="193"/>
      <c r="I23" s="193"/>
    </row>
    <row r="24" spans="1:9" x14ac:dyDescent="0.2">
      <c r="A24" s="192">
        <v>26</v>
      </c>
      <c r="B24" s="192" t="s">
        <v>1558</v>
      </c>
      <c r="D24" s="192">
        <v>23</v>
      </c>
      <c r="E24" s="189" t="str">
        <f t="shared" ca="1" si="0"/>
        <v>Diagnosis and treatment of STIs as part of programmes for sex workers and their clients</v>
      </c>
      <c r="F24" s="192" t="s">
        <v>1741</v>
      </c>
      <c r="G24" s="193"/>
      <c r="H24" s="193"/>
      <c r="I24" s="193"/>
    </row>
    <row r="25" spans="1:9" x14ac:dyDescent="0.2">
      <c r="A25" s="192">
        <v>26</v>
      </c>
      <c r="B25" s="192" t="s">
        <v>1558</v>
      </c>
      <c r="D25" s="192">
        <v>24</v>
      </c>
      <c r="E25" s="189" t="str">
        <f t="shared" ca="1" si="0"/>
        <v>Harm reduction as part of programmes for sex workers and their clients</v>
      </c>
      <c r="F25" s="192" t="s">
        <v>1001</v>
      </c>
      <c r="G25" s="193"/>
      <c r="H25" s="193"/>
      <c r="I25" s="193"/>
    </row>
    <row r="26" spans="1:9" x14ac:dyDescent="0.2">
      <c r="A26" s="192">
        <v>26</v>
      </c>
      <c r="B26" s="192" t="s">
        <v>1558</v>
      </c>
      <c r="D26" s="192">
        <v>25</v>
      </c>
      <c r="E26" s="189" t="str">
        <f t="shared" ca="1" si="0"/>
        <v>Community Systems Strengthening - Prevention sex workers and their clients</v>
      </c>
      <c r="F26" s="192" t="s">
        <v>1740</v>
      </c>
      <c r="G26" s="193"/>
      <c r="H26" s="193"/>
      <c r="I26" s="193"/>
    </row>
    <row r="27" spans="1:9" x14ac:dyDescent="0.2">
      <c r="A27" s="192">
        <v>26</v>
      </c>
      <c r="B27" s="192" t="s">
        <v>1558</v>
      </c>
      <c r="D27" s="192">
        <v>26</v>
      </c>
      <c r="E27" s="189" t="str">
        <f t="shared" ca="1" si="0"/>
        <v>Removing human rights barriers to accessing services - Prevention sex workers and their clients</v>
      </c>
      <c r="F27" s="192" t="s">
        <v>1739</v>
      </c>
      <c r="G27" s="193"/>
      <c r="H27" s="193"/>
      <c r="I27" s="193"/>
    </row>
    <row r="28" spans="1:9" x14ac:dyDescent="0.2">
      <c r="A28" s="192">
        <v>26</v>
      </c>
      <c r="B28" s="192" t="s">
        <v>1558</v>
      </c>
      <c r="D28" s="192">
        <v>27</v>
      </c>
      <c r="E28" s="189" t="str">
        <f t="shared" ca="1" si="0"/>
        <v xml:space="preserve">Other interventions for sex workers and their clients - Please specify </v>
      </c>
      <c r="F28" s="192" t="s">
        <v>1738</v>
      </c>
      <c r="G28" s="193"/>
      <c r="H28" s="193"/>
      <c r="I28" s="193"/>
    </row>
    <row r="29" spans="1:9" x14ac:dyDescent="0.2">
      <c r="A29" s="192">
        <v>27</v>
      </c>
      <c r="B29" s="192" t="s">
        <v>1558</v>
      </c>
      <c r="D29" s="192">
        <v>28</v>
      </c>
      <c r="E29" s="189" t="str">
        <f t="shared" ca="1" si="0"/>
        <v xml:space="preserve">Behavioural Change as part of programmes for IDUs and their partners </v>
      </c>
      <c r="F29" s="192" t="s">
        <v>1737</v>
      </c>
      <c r="G29" s="193"/>
      <c r="H29" s="193"/>
      <c r="I29" s="193"/>
    </row>
    <row r="30" spans="1:9" x14ac:dyDescent="0.2">
      <c r="A30" s="192">
        <v>27</v>
      </c>
      <c r="B30" s="192" t="s">
        <v>1558</v>
      </c>
      <c r="D30" s="192">
        <v>29</v>
      </c>
      <c r="E30" s="189" t="str">
        <f t="shared" ca="1" si="0"/>
        <v>Condoms as part of programmes for IDUs and their partners</v>
      </c>
      <c r="F30" s="192" t="s">
        <v>1736</v>
      </c>
      <c r="G30" s="193"/>
      <c r="H30" s="193"/>
      <c r="I30" s="193"/>
    </row>
    <row r="31" spans="1:9" x14ac:dyDescent="0.2">
      <c r="A31" s="192">
        <v>27</v>
      </c>
      <c r="B31" s="192" t="s">
        <v>1558</v>
      </c>
      <c r="D31" s="192">
        <v>30</v>
      </c>
      <c r="E31" s="189" t="str">
        <f t="shared" ca="1" si="0"/>
        <v>HIV testing and Counselling as part of programmes for sex workers and their clients</v>
      </c>
      <c r="F31" s="192" t="s">
        <v>1735</v>
      </c>
      <c r="G31" s="193"/>
      <c r="H31" s="193"/>
      <c r="I31" s="193"/>
    </row>
    <row r="32" spans="1:9" x14ac:dyDescent="0.2">
      <c r="A32" s="192">
        <v>27</v>
      </c>
      <c r="B32" s="192" t="s">
        <v>1558</v>
      </c>
      <c r="D32" s="192">
        <v>31</v>
      </c>
      <c r="E32" s="189" t="str">
        <f t="shared" ca="1" si="0"/>
        <v>Diagnosis and treatment of STIs as part of programmes for IDUs and their partners</v>
      </c>
      <c r="F32" s="192" t="s">
        <v>1734</v>
      </c>
      <c r="G32" s="193"/>
      <c r="H32" s="193"/>
      <c r="I32" s="193"/>
    </row>
    <row r="33" spans="1:9" x14ac:dyDescent="0.2">
      <c r="A33" s="192">
        <v>27</v>
      </c>
      <c r="B33" s="192" t="s">
        <v>1558</v>
      </c>
      <c r="D33" s="192">
        <v>32</v>
      </c>
      <c r="E33" s="189" t="str">
        <f t="shared" ca="1" si="0"/>
        <v>Needle and Syringe exchange as part of programmes for IDUs and their partners</v>
      </c>
      <c r="F33" s="192" t="s">
        <v>1733</v>
      </c>
      <c r="G33" s="193"/>
      <c r="H33" s="193"/>
      <c r="I33" s="193"/>
    </row>
    <row r="34" spans="1:9" x14ac:dyDescent="0.2">
      <c r="A34" s="192">
        <v>27</v>
      </c>
      <c r="B34" s="192" t="s">
        <v>1558</v>
      </c>
      <c r="D34" s="192">
        <v>33</v>
      </c>
      <c r="E34" s="189" t="str">
        <f t="shared" ref="E34:E65" ca="1" si="1">OFFSET(F34,0,LangOffset,1,1)</f>
        <v>Opioid Substitution Therapy and other drug dependence treatment as part of programmes for IDUs and their partners</v>
      </c>
      <c r="F34" s="192" t="s">
        <v>1732</v>
      </c>
      <c r="G34" s="193"/>
      <c r="H34" s="193"/>
      <c r="I34" s="193"/>
    </row>
    <row r="35" spans="1:9" x14ac:dyDescent="0.2">
      <c r="A35" s="192">
        <v>27</v>
      </c>
      <c r="B35" s="192" t="s">
        <v>1558</v>
      </c>
      <c r="D35" s="192">
        <v>34</v>
      </c>
      <c r="E35" s="189" t="str">
        <f t="shared" ca="1" si="1"/>
        <v>Diagnosis and treatment of viral hepatitis as part of programmes for IDUs and their partners</v>
      </c>
      <c r="F35" s="192" t="s">
        <v>1731</v>
      </c>
      <c r="G35" s="193"/>
      <c r="H35" s="193"/>
      <c r="I35" s="193"/>
    </row>
    <row r="36" spans="1:9" x14ac:dyDescent="0.2">
      <c r="A36" s="192">
        <v>27</v>
      </c>
      <c r="B36" s="192" t="s">
        <v>1558</v>
      </c>
      <c r="D36" s="192">
        <v>35</v>
      </c>
      <c r="E36" s="189" t="str">
        <f t="shared" ca="1" si="1"/>
        <v>Community Systems Strengthening - Prevention IDUs and their partners</v>
      </c>
      <c r="F36" s="192" t="s">
        <v>1730</v>
      </c>
      <c r="G36" s="193"/>
      <c r="H36" s="193"/>
      <c r="I36" s="193"/>
    </row>
    <row r="37" spans="1:9" x14ac:dyDescent="0.2">
      <c r="A37" s="192">
        <v>27</v>
      </c>
      <c r="B37" s="192" t="s">
        <v>1558</v>
      </c>
      <c r="D37" s="192">
        <v>36</v>
      </c>
      <c r="E37" s="189" t="str">
        <f t="shared" ca="1" si="1"/>
        <v>Removing human rights barriers to accessing services - Prevention IDUs and their partners</v>
      </c>
      <c r="F37" s="192" t="s">
        <v>1729</v>
      </c>
      <c r="G37" s="193"/>
      <c r="H37" s="193"/>
      <c r="I37" s="193"/>
    </row>
    <row r="38" spans="1:9" x14ac:dyDescent="0.2">
      <c r="A38" s="192">
        <v>27</v>
      </c>
      <c r="B38" s="192" t="s">
        <v>1558</v>
      </c>
      <c r="D38" s="192">
        <v>37</v>
      </c>
      <c r="E38" s="189" t="str">
        <f t="shared" ca="1" si="1"/>
        <v xml:space="preserve">Other interventions for IDUs and their partners - Please specify </v>
      </c>
      <c r="F38" s="192" t="s">
        <v>1728</v>
      </c>
      <c r="G38" s="193"/>
      <c r="H38" s="193"/>
      <c r="I38" s="193"/>
    </row>
    <row r="39" spans="1:9" x14ac:dyDescent="0.2">
      <c r="A39" s="192">
        <v>28</v>
      </c>
      <c r="B39" s="192" t="s">
        <v>1558</v>
      </c>
      <c r="D39" s="192">
        <v>38</v>
      </c>
      <c r="E39" s="189" t="str">
        <f t="shared" ca="1" si="1"/>
        <v>Behavioural Change as part of programmes for other vulnerable populations</v>
      </c>
      <c r="F39" s="192" t="s">
        <v>1002</v>
      </c>
      <c r="G39" s="193"/>
      <c r="H39" s="193"/>
      <c r="I39" s="193"/>
    </row>
    <row r="40" spans="1:9" x14ac:dyDescent="0.2">
      <c r="A40" s="192">
        <v>28</v>
      </c>
      <c r="B40" s="192" t="s">
        <v>1558</v>
      </c>
      <c r="D40" s="192">
        <v>39</v>
      </c>
      <c r="E40" s="189" t="str">
        <f t="shared" ca="1" si="1"/>
        <v>Condoms as part of programmes for other vulnerable populations</v>
      </c>
      <c r="F40" s="192" t="s">
        <v>1003</v>
      </c>
      <c r="G40" s="193"/>
      <c r="H40" s="193"/>
      <c r="I40" s="193"/>
    </row>
    <row r="41" spans="1:9" x14ac:dyDescent="0.2">
      <c r="A41" s="192">
        <v>28</v>
      </c>
      <c r="B41" s="192" t="s">
        <v>1558</v>
      </c>
      <c r="D41" s="192">
        <v>40</v>
      </c>
      <c r="E41" s="189" t="str">
        <f t="shared" ca="1" si="1"/>
        <v>HIV testing and Counselling as part of programmes for other vulnerable populations</v>
      </c>
      <c r="F41" s="192" t="s">
        <v>1727</v>
      </c>
      <c r="G41" s="193"/>
      <c r="H41" s="193"/>
      <c r="I41" s="193"/>
    </row>
    <row r="42" spans="1:9" x14ac:dyDescent="0.2">
      <c r="A42" s="192">
        <v>28</v>
      </c>
      <c r="B42" s="192" t="s">
        <v>1558</v>
      </c>
      <c r="D42" s="192">
        <v>41</v>
      </c>
      <c r="E42" s="189" t="str">
        <f t="shared" ca="1" si="1"/>
        <v>Diagnosis and treatment of STIs as part of programmes for other vulnerable populations</v>
      </c>
      <c r="F42" s="192" t="s">
        <v>1726</v>
      </c>
      <c r="G42" s="193"/>
      <c r="H42" s="193"/>
      <c r="I42" s="193"/>
    </row>
    <row r="43" spans="1:9" x14ac:dyDescent="0.2">
      <c r="A43" s="192">
        <v>28</v>
      </c>
      <c r="B43" s="192" t="s">
        <v>1558</v>
      </c>
      <c r="D43" s="192">
        <v>42</v>
      </c>
      <c r="E43" s="189" t="str">
        <f t="shared" ca="1" si="1"/>
        <v>Community Systems Strengthening - Prevention other vulnerable populations</v>
      </c>
      <c r="F43" s="192" t="s">
        <v>1725</v>
      </c>
      <c r="G43" s="193"/>
      <c r="H43" s="193"/>
      <c r="I43" s="193"/>
    </row>
    <row r="44" spans="1:9" x14ac:dyDescent="0.2">
      <c r="A44" s="192">
        <v>28</v>
      </c>
      <c r="B44" s="192" t="s">
        <v>1558</v>
      </c>
      <c r="D44" s="192">
        <v>43</v>
      </c>
      <c r="E44" s="189" t="str">
        <f t="shared" ca="1" si="1"/>
        <v>Removing human rights barriers to accessing services - Prevention other vulnerable populations</v>
      </c>
      <c r="F44" s="192" t="s">
        <v>1724</v>
      </c>
      <c r="G44" s="193"/>
      <c r="H44" s="193"/>
      <c r="I44" s="193"/>
    </row>
    <row r="45" spans="1:9" x14ac:dyDescent="0.2">
      <c r="A45" s="192">
        <v>28</v>
      </c>
      <c r="B45" s="192" t="s">
        <v>1558</v>
      </c>
      <c r="D45" s="192">
        <v>44</v>
      </c>
      <c r="E45" s="189" t="str">
        <f t="shared" ca="1" si="1"/>
        <v xml:space="preserve">Other interventions for other vulnerable populations - Please specify </v>
      </c>
      <c r="F45" s="192" t="s">
        <v>1723</v>
      </c>
      <c r="G45" s="193"/>
      <c r="H45" s="193"/>
      <c r="I45" s="193"/>
    </row>
    <row r="46" spans="1:9" x14ac:dyDescent="0.2">
      <c r="A46" s="192">
        <v>29</v>
      </c>
      <c r="B46" s="192" t="s">
        <v>1558</v>
      </c>
      <c r="D46" s="192">
        <v>45</v>
      </c>
      <c r="E46" s="189" t="str">
        <f t="shared" ca="1" si="1"/>
        <v>Adolescents and youth: Behavioural change</v>
      </c>
      <c r="F46" s="192" t="s">
        <v>1722</v>
      </c>
      <c r="G46" s="193"/>
      <c r="H46" s="193"/>
      <c r="I46" s="193"/>
    </row>
    <row r="47" spans="1:9" x14ac:dyDescent="0.2">
      <c r="A47" s="192">
        <v>29</v>
      </c>
      <c r="B47" s="192" t="s">
        <v>1558</v>
      </c>
      <c r="D47" s="192">
        <v>46</v>
      </c>
      <c r="E47" s="189" t="str">
        <f t="shared" ca="1" si="1"/>
        <v>Behavioural Change as part of programs for adolescent and youth</v>
      </c>
      <c r="F47" s="192" t="s">
        <v>1004</v>
      </c>
      <c r="G47" s="193"/>
      <c r="H47" s="193"/>
      <c r="I47" s="193"/>
    </row>
    <row r="48" spans="1:9" x14ac:dyDescent="0.2">
      <c r="A48" s="192">
        <v>29</v>
      </c>
      <c r="B48" s="192" t="s">
        <v>1558</v>
      </c>
      <c r="D48" s="192">
        <v>47</v>
      </c>
      <c r="E48" s="189" t="str">
        <f t="shared" ca="1" si="1"/>
        <v>Condoms part of programs for adolescent and youth</v>
      </c>
      <c r="F48" s="192" t="s">
        <v>1005</v>
      </c>
      <c r="G48" s="193"/>
      <c r="H48" s="193"/>
      <c r="I48" s="193"/>
    </row>
    <row r="49" spans="1:9" x14ac:dyDescent="0.2">
      <c r="A49" s="192">
        <v>29</v>
      </c>
      <c r="B49" s="192" t="s">
        <v>1558</v>
      </c>
      <c r="D49" s="192">
        <v>48</v>
      </c>
      <c r="E49" s="189" t="str">
        <f t="shared" ca="1" si="1"/>
        <v>HIV testing and Counselling as part of programs for adolescent and youth</v>
      </c>
      <c r="F49" s="192" t="s">
        <v>1721</v>
      </c>
      <c r="G49" s="193"/>
      <c r="H49" s="193"/>
      <c r="I49" s="193"/>
    </row>
    <row r="50" spans="1:9" x14ac:dyDescent="0.2">
      <c r="A50" s="192">
        <v>29</v>
      </c>
      <c r="B50" s="192" t="s">
        <v>1558</v>
      </c>
      <c r="D50" s="192">
        <v>49</v>
      </c>
      <c r="E50" s="189" t="str">
        <f t="shared" ca="1" si="1"/>
        <v>Male Circumcision as part of programs for adolescent and youth</v>
      </c>
      <c r="F50" s="192" t="s">
        <v>1720</v>
      </c>
      <c r="G50" s="193"/>
      <c r="H50" s="193"/>
      <c r="I50" s="193"/>
    </row>
    <row r="51" spans="1:9" x14ac:dyDescent="0.2">
      <c r="A51" s="192">
        <v>29</v>
      </c>
      <c r="B51" s="192" t="s">
        <v>1558</v>
      </c>
      <c r="D51" s="192">
        <v>50</v>
      </c>
      <c r="E51" s="189" t="str">
        <f t="shared" ca="1" si="1"/>
        <v>Removing human rights barriers to accessing services - Prevention adolescents and youth</v>
      </c>
      <c r="F51" s="192" t="s">
        <v>1719</v>
      </c>
      <c r="G51" s="193"/>
      <c r="H51" s="193"/>
      <c r="I51" s="193"/>
    </row>
    <row r="52" spans="1:9" x14ac:dyDescent="0.2">
      <c r="A52" s="192">
        <v>2</v>
      </c>
      <c r="B52" s="192" t="s">
        <v>1558</v>
      </c>
      <c r="C52" s="192" t="s">
        <v>985</v>
      </c>
      <c r="D52" s="192">
        <v>51</v>
      </c>
      <c r="E52" s="189" t="str">
        <f t="shared" ca="1" si="1"/>
        <v>Prong 1: Primary prevention of HIV infection among women of childbearing age</v>
      </c>
      <c r="F52" s="192" t="s">
        <v>1718</v>
      </c>
      <c r="G52" s="193"/>
      <c r="H52" s="193"/>
      <c r="I52" s="193"/>
    </row>
    <row r="53" spans="1:9" x14ac:dyDescent="0.2">
      <c r="A53" s="192">
        <v>2</v>
      </c>
      <c r="B53" s="192" t="s">
        <v>1558</v>
      </c>
      <c r="C53" s="192" t="s">
        <v>985</v>
      </c>
      <c r="D53" s="192">
        <v>52</v>
      </c>
      <c r="E53" s="189" t="str">
        <f t="shared" ca="1" si="1"/>
        <v>Prong 2: Preventing unintended pregnancies among women living with HIV</v>
      </c>
      <c r="F53" s="192" t="s">
        <v>1717</v>
      </c>
      <c r="G53" s="193"/>
      <c r="H53" s="193"/>
      <c r="I53" s="193"/>
    </row>
    <row r="54" spans="1:9" x14ac:dyDescent="0.2">
      <c r="A54" s="192">
        <v>2</v>
      </c>
      <c r="B54" s="192" t="s">
        <v>1558</v>
      </c>
      <c r="C54" s="192" t="s">
        <v>985</v>
      </c>
      <c r="D54" s="192">
        <v>53</v>
      </c>
      <c r="E54" s="189" t="str">
        <f t="shared" ca="1" si="1"/>
        <v xml:space="preserve">Prong 3: Preventing vertical  HIV transmission </v>
      </c>
      <c r="F54" s="192" t="s">
        <v>1716</v>
      </c>
      <c r="G54" s="193"/>
      <c r="H54" s="193"/>
      <c r="I54" s="193"/>
    </row>
    <row r="55" spans="1:9" x14ac:dyDescent="0.2">
      <c r="A55" s="192">
        <v>2</v>
      </c>
      <c r="B55" s="192" t="s">
        <v>1558</v>
      </c>
      <c r="C55" s="192" t="s">
        <v>985</v>
      </c>
      <c r="D55" s="192">
        <v>54</v>
      </c>
      <c r="E55" s="189" t="str">
        <f t="shared" ca="1" si="1"/>
        <v>Prong 4: Treatment, care and support to mothers living with HIV and their children and families</v>
      </c>
      <c r="F55" s="192" t="s">
        <v>1715</v>
      </c>
      <c r="G55" s="193"/>
      <c r="H55" s="193"/>
      <c r="I55" s="193"/>
    </row>
    <row r="56" spans="1:9" x14ac:dyDescent="0.2">
      <c r="A56" s="192">
        <v>2</v>
      </c>
      <c r="B56" s="192" t="s">
        <v>1558</v>
      </c>
      <c r="C56" s="192" t="s">
        <v>985</v>
      </c>
      <c r="D56" s="192">
        <v>55</v>
      </c>
      <c r="E56" s="189" t="str">
        <f t="shared" ca="1" si="1"/>
        <v>Community Systems Strengthening - PMTCT</v>
      </c>
      <c r="F56" s="192" t="s">
        <v>1714</v>
      </c>
      <c r="G56" s="193"/>
      <c r="H56" s="193"/>
      <c r="I56" s="193"/>
    </row>
    <row r="57" spans="1:9" x14ac:dyDescent="0.2">
      <c r="A57" s="192">
        <v>2</v>
      </c>
      <c r="B57" s="192" t="s">
        <v>1558</v>
      </c>
      <c r="C57" s="192" t="s">
        <v>985</v>
      </c>
      <c r="D57" s="192">
        <v>56</v>
      </c>
      <c r="E57" s="189" t="str">
        <f t="shared" ca="1" si="1"/>
        <v>Removing human rights barriers to accessing services - PMTCT</v>
      </c>
      <c r="F57" s="192" t="s">
        <v>1713</v>
      </c>
      <c r="G57" s="193"/>
      <c r="H57" s="193"/>
      <c r="I57" s="193"/>
    </row>
    <row r="58" spans="1:9" x14ac:dyDescent="0.2">
      <c r="A58" s="192">
        <v>2</v>
      </c>
      <c r="B58" s="192" t="s">
        <v>1558</v>
      </c>
      <c r="C58" s="192" t="s">
        <v>985</v>
      </c>
      <c r="D58" s="192">
        <v>57</v>
      </c>
      <c r="E58" s="189" t="str">
        <f t="shared" ca="1" si="1"/>
        <v xml:space="preserve">Other interventions for PMTCT- Please specify </v>
      </c>
      <c r="F58" s="192" t="s">
        <v>1712</v>
      </c>
      <c r="G58" s="193"/>
      <c r="H58" s="193"/>
      <c r="I58" s="193"/>
    </row>
    <row r="59" spans="1:9" x14ac:dyDescent="0.2">
      <c r="A59" s="192">
        <v>3</v>
      </c>
      <c r="B59" s="192" t="s">
        <v>1558</v>
      </c>
      <c r="C59" s="192" t="s">
        <v>670</v>
      </c>
      <c r="D59" s="192">
        <v>58</v>
      </c>
      <c r="E59" s="189" t="str">
        <f t="shared" ca="1" si="1"/>
        <v xml:space="preserve">Pre-ART Care </v>
      </c>
      <c r="F59" s="192" t="s">
        <v>1711</v>
      </c>
      <c r="G59" s="193"/>
      <c r="H59" s="193"/>
      <c r="I59" s="193"/>
    </row>
    <row r="60" spans="1:9" x14ac:dyDescent="0.2">
      <c r="A60" s="192">
        <v>3</v>
      </c>
      <c r="B60" s="192" t="s">
        <v>1558</v>
      </c>
      <c r="C60" s="192" t="s">
        <v>670</v>
      </c>
      <c r="D60" s="192">
        <v>59</v>
      </c>
      <c r="E60" s="189" t="str">
        <f t="shared" ca="1" si="1"/>
        <v>First-line ART – adults</v>
      </c>
      <c r="F60" s="192" t="s">
        <v>1710</v>
      </c>
      <c r="G60" s="193"/>
      <c r="H60" s="193"/>
      <c r="I60" s="193"/>
    </row>
    <row r="61" spans="1:9" x14ac:dyDescent="0.2">
      <c r="A61" s="192">
        <v>3</v>
      </c>
      <c r="B61" s="192" t="s">
        <v>1558</v>
      </c>
      <c r="C61" s="192" t="s">
        <v>670</v>
      </c>
      <c r="D61" s="192">
        <v>60</v>
      </c>
      <c r="E61" s="189" t="str">
        <f t="shared" ca="1" si="1"/>
        <v>Second-line ART – adults</v>
      </c>
      <c r="F61" s="192" t="s">
        <v>1709</v>
      </c>
      <c r="G61" s="193"/>
      <c r="H61" s="193"/>
      <c r="I61" s="193"/>
    </row>
    <row r="62" spans="1:9" x14ac:dyDescent="0.2">
      <c r="A62" s="192">
        <v>3</v>
      </c>
      <c r="B62" s="192" t="s">
        <v>1558</v>
      </c>
      <c r="C62" s="192" t="s">
        <v>670</v>
      </c>
      <c r="D62" s="192">
        <v>61</v>
      </c>
      <c r="E62" s="189" t="str">
        <f t="shared" ca="1" si="1"/>
        <v>Adult multidrug ART after second-line treatment failure</v>
      </c>
      <c r="F62" s="192" t="s">
        <v>1708</v>
      </c>
      <c r="G62" s="193"/>
      <c r="H62" s="193"/>
      <c r="I62" s="193"/>
    </row>
    <row r="63" spans="1:9" x14ac:dyDescent="0.2">
      <c r="A63" s="192">
        <v>3</v>
      </c>
      <c r="B63" s="192" t="s">
        <v>1558</v>
      </c>
      <c r="C63" s="192" t="s">
        <v>670</v>
      </c>
      <c r="D63" s="192">
        <v>62</v>
      </c>
      <c r="E63" s="189" t="str">
        <f t="shared" ca="1" si="1"/>
        <v>First-line ART – paediatric</v>
      </c>
      <c r="F63" s="192" t="s">
        <v>1707</v>
      </c>
      <c r="G63" s="193"/>
      <c r="H63" s="193"/>
      <c r="I63" s="193"/>
    </row>
    <row r="64" spans="1:9" x14ac:dyDescent="0.2">
      <c r="A64" s="192">
        <v>3</v>
      </c>
      <c r="B64" s="192" t="s">
        <v>1558</v>
      </c>
      <c r="C64" s="192" t="s">
        <v>670</v>
      </c>
      <c r="D64" s="192">
        <v>63</v>
      </c>
      <c r="E64" s="189" t="str">
        <f t="shared" ca="1" si="1"/>
        <v>Second-line ART – paediatric</v>
      </c>
      <c r="F64" s="192" t="s">
        <v>1706</v>
      </c>
      <c r="G64" s="193"/>
      <c r="H64" s="193"/>
      <c r="I64" s="193"/>
    </row>
    <row r="65" spans="1:9" x14ac:dyDescent="0.2">
      <c r="A65" s="192">
        <v>3</v>
      </c>
      <c r="B65" s="192" t="s">
        <v>1558</v>
      </c>
      <c r="C65" s="192" t="s">
        <v>670</v>
      </c>
      <c r="D65" s="192">
        <v>64</v>
      </c>
      <c r="E65" s="189" t="str">
        <f t="shared" ca="1" si="1"/>
        <v xml:space="preserve">Paediatric multidrug ART after second-line treatment failure </v>
      </c>
      <c r="F65" s="192" t="s">
        <v>1705</v>
      </c>
      <c r="G65" s="193"/>
      <c r="H65" s="193"/>
      <c r="I65" s="193"/>
    </row>
    <row r="66" spans="1:9" x14ac:dyDescent="0.2">
      <c r="A66" s="192">
        <v>3</v>
      </c>
      <c r="B66" s="192" t="s">
        <v>1558</v>
      </c>
      <c r="C66" s="192" t="s">
        <v>670</v>
      </c>
      <c r="D66" s="192">
        <v>65</v>
      </c>
      <c r="E66" s="189" t="str">
        <f t="shared" ref="E66:E97" ca="1" si="2">OFFSET(F66,0,LangOffset,1,1)</f>
        <v>Pre and Post-exposure prophylaxis (PrEP and PEP)</v>
      </c>
      <c r="F66" s="192" t="s">
        <v>1704</v>
      </c>
      <c r="G66" s="193"/>
      <c r="H66" s="193"/>
      <c r="I66" s="193"/>
    </row>
    <row r="67" spans="1:9" x14ac:dyDescent="0.2">
      <c r="A67" s="192">
        <v>3</v>
      </c>
      <c r="B67" s="192" t="s">
        <v>1558</v>
      </c>
      <c r="C67" s="192" t="s">
        <v>670</v>
      </c>
      <c r="D67" s="192">
        <v>66</v>
      </c>
      <c r="E67" s="189" t="str">
        <f t="shared" ca="1" si="2"/>
        <v xml:space="preserve">Treatment as prevention </v>
      </c>
      <c r="F67" s="192" t="s">
        <v>1703</v>
      </c>
      <c r="G67" s="193"/>
      <c r="H67" s="193"/>
      <c r="I67" s="193"/>
    </row>
    <row r="68" spans="1:9" x14ac:dyDescent="0.2">
      <c r="A68" s="192">
        <v>3</v>
      </c>
      <c r="B68" s="192" t="s">
        <v>1558</v>
      </c>
      <c r="C68" s="192" t="s">
        <v>670</v>
      </c>
      <c r="D68" s="192">
        <v>67</v>
      </c>
      <c r="E68" s="189" t="str">
        <f t="shared" ca="1" si="2"/>
        <v xml:space="preserve">Treatment monitoring </v>
      </c>
      <c r="F68" s="192" t="s">
        <v>1702</v>
      </c>
      <c r="G68" s="193"/>
      <c r="H68" s="193"/>
      <c r="I68" s="193"/>
    </row>
    <row r="69" spans="1:9" x14ac:dyDescent="0.2">
      <c r="A69" s="192">
        <v>3</v>
      </c>
      <c r="B69" s="192" t="s">
        <v>1558</v>
      </c>
      <c r="C69" s="192" t="s">
        <v>670</v>
      </c>
      <c r="D69" s="192">
        <v>68</v>
      </c>
      <c r="E69" s="189" t="str">
        <f t="shared" ca="1" si="2"/>
        <v xml:space="preserve">Treatment   adherence </v>
      </c>
      <c r="F69" s="192" t="s">
        <v>1701</v>
      </c>
      <c r="G69" s="193"/>
      <c r="H69" s="193"/>
      <c r="I69" s="193"/>
    </row>
    <row r="70" spans="1:9" x14ac:dyDescent="0.2">
      <c r="A70" s="192">
        <v>3</v>
      </c>
      <c r="B70" s="192" t="s">
        <v>1558</v>
      </c>
      <c r="C70" s="192" t="s">
        <v>670</v>
      </c>
      <c r="D70" s="192">
        <v>69</v>
      </c>
      <c r="E70" s="189" t="str">
        <f t="shared" ca="1" si="2"/>
        <v>Prevention, Diagnosis and treatment of  Opportunistic Infections</v>
      </c>
      <c r="F70" s="192" t="s">
        <v>1700</v>
      </c>
      <c r="G70" s="193"/>
      <c r="H70" s="193"/>
      <c r="I70" s="193"/>
    </row>
    <row r="71" spans="1:9" x14ac:dyDescent="0.2">
      <c r="A71" s="192">
        <v>3</v>
      </c>
      <c r="B71" s="192" t="s">
        <v>1558</v>
      </c>
      <c r="C71" s="192" t="s">
        <v>670</v>
      </c>
      <c r="D71" s="192">
        <v>70</v>
      </c>
      <c r="E71" s="189" t="str">
        <f t="shared" ca="1" si="2"/>
        <v xml:space="preserve"> Counselling and Psych-social Support </v>
      </c>
      <c r="F71" s="192" t="s">
        <v>1699</v>
      </c>
      <c r="G71" s="193"/>
      <c r="H71" s="193"/>
      <c r="I71" s="193"/>
    </row>
    <row r="72" spans="1:9" x14ac:dyDescent="0.2">
      <c r="A72" s="192">
        <v>3</v>
      </c>
      <c r="B72" s="192" t="s">
        <v>1558</v>
      </c>
      <c r="C72" s="192" t="s">
        <v>670</v>
      </c>
      <c r="D72" s="192">
        <v>71</v>
      </c>
      <c r="E72" s="189" t="str">
        <f t="shared" ca="1" si="2"/>
        <v xml:space="preserve">TB/HIV </v>
      </c>
      <c r="F72" s="192" t="s">
        <v>1698</v>
      </c>
      <c r="G72" s="193"/>
      <c r="H72" s="193"/>
      <c r="I72" s="193"/>
    </row>
    <row r="73" spans="1:9" x14ac:dyDescent="0.2">
      <c r="A73" s="192">
        <v>3</v>
      </c>
      <c r="B73" s="192" t="s">
        <v>1558</v>
      </c>
      <c r="C73" s="192" t="s">
        <v>670</v>
      </c>
      <c r="D73" s="192">
        <v>72</v>
      </c>
      <c r="E73" s="189" t="str">
        <f t="shared" ca="1" si="2"/>
        <v xml:space="preserve">Out-patient care </v>
      </c>
      <c r="F73" s="192" t="s">
        <v>1697</v>
      </c>
      <c r="G73" s="193"/>
      <c r="H73" s="193"/>
      <c r="I73" s="193"/>
    </row>
    <row r="74" spans="1:9" x14ac:dyDescent="0.2">
      <c r="A74" s="192">
        <v>3</v>
      </c>
      <c r="B74" s="192" t="s">
        <v>1558</v>
      </c>
      <c r="C74" s="192" t="s">
        <v>670</v>
      </c>
      <c r="D74" s="192">
        <v>73</v>
      </c>
      <c r="E74" s="189" t="str">
        <f t="shared" ca="1" si="2"/>
        <v xml:space="preserve">In-patient care </v>
      </c>
      <c r="F74" s="192" t="s">
        <v>1696</v>
      </c>
      <c r="G74" s="193"/>
      <c r="H74" s="193"/>
      <c r="I74" s="193"/>
    </row>
    <row r="75" spans="1:9" x14ac:dyDescent="0.2">
      <c r="A75" s="192">
        <v>3</v>
      </c>
      <c r="B75" s="192" t="s">
        <v>1558</v>
      </c>
      <c r="C75" s="192" t="s">
        <v>670</v>
      </c>
      <c r="D75" s="192">
        <v>74</v>
      </c>
      <c r="E75" s="189" t="str">
        <f t="shared" ca="1" si="2"/>
        <v>Community Systems Strengthening - Treatment</v>
      </c>
      <c r="F75" s="192" t="s">
        <v>1695</v>
      </c>
      <c r="G75" s="193"/>
      <c r="H75" s="193"/>
      <c r="I75" s="193"/>
    </row>
    <row r="76" spans="1:9" x14ac:dyDescent="0.2">
      <c r="A76" s="192">
        <v>3</v>
      </c>
      <c r="B76" s="192" t="s">
        <v>1558</v>
      </c>
      <c r="C76" s="192" t="s">
        <v>670</v>
      </c>
      <c r="D76" s="192">
        <v>75</v>
      </c>
      <c r="E76" s="189" t="str">
        <f t="shared" ca="1" si="2"/>
        <v>Removing human rights barriers to accessing services - Treatment</v>
      </c>
      <c r="F76" s="192" t="s">
        <v>1694</v>
      </c>
      <c r="G76" s="193"/>
      <c r="H76" s="193"/>
      <c r="I76" s="193"/>
    </row>
    <row r="77" spans="1:9" x14ac:dyDescent="0.2">
      <c r="A77" s="192">
        <v>3</v>
      </c>
      <c r="B77" s="192" t="s">
        <v>1558</v>
      </c>
      <c r="C77" s="192" t="s">
        <v>670</v>
      </c>
      <c r="D77" s="192">
        <v>76</v>
      </c>
      <c r="E77" s="189" t="str">
        <f t="shared" ca="1" si="2"/>
        <v xml:space="preserve">Other interventions for Treatment - Please specify </v>
      </c>
      <c r="F77" s="192" t="s">
        <v>1693</v>
      </c>
      <c r="G77" s="193"/>
      <c r="H77" s="193"/>
      <c r="I77" s="193"/>
    </row>
    <row r="78" spans="1:9" x14ac:dyDescent="0.2">
      <c r="A78" s="192">
        <v>4</v>
      </c>
      <c r="B78" s="192" t="s">
        <v>1558</v>
      </c>
      <c r="C78" s="192" t="s">
        <v>1570</v>
      </c>
      <c r="D78" s="192">
        <v>77</v>
      </c>
      <c r="E78" s="189" t="str">
        <f t="shared" ca="1" si="2"/>
        <v xml:space="preserve">Routine reporting </v>
      </c>
      <c r="F78" s="192" t="s">
        <v>1692</v>
      </c>
      <c r="G78" s="193"/>
      <c r="H78" s="193"/>
      <c r="I78" s="193"/>
    </row>
    <row r="79" spans="1:9" x14ac:dyDescent="0.2">
      <c r="A79" s="192">
        <v>4</v>
      </c>
      <c r="B79" s="192" t="s">
        <v>1558</v>
      </c>
      <c r="C79" s="192" t="s">
        <v>1570</v>
      </c>
      <c r="D79" s="192">
        <v>78</v>
      </c>
      <c r="E79" s="189" t="str">
        <f t="shared" ca="1" si="2"/>
        <v>Analysis, Review and transparency</v>
      </c>
      <c r="F79" s="192" t="s">
        <v>1691</v>
      </c>
      <c r="G79" s="193"/>
      <c r="H79" s="193"/>
      <c r="I79" s="193"/>
    </row>
    <row r="80" spans="1:9" x14ac:dyDescent="0.2">
      <c r="A80" s="192">
        <v>4</v>
      </c>
      <c r="B80" s="192" t="s">
        <v>1558</v>
      </c>
      <c r="C80" s="192" t="s">
        <v>1570</v>
      </c>
      <c r="D80" s="192">
        <v>79</v>
      </c>
      <c r="E80" s="189" t="str">
        <f t="shared" ca="1" si="2"/>
        <v>Surveys</v>
      </c>
      <c r="F80" s="192" t="s">
        <v>1613</v>
      </c>
      <c r="G80" s="193"/>
      <c r="H80" s="193"/>
      <c r="I80" s="193"/>
    </row>
    <row r="81" spans="1:9" x14ac:dyDescent="0.2">
      <c r="A81" s="192">
        <v>4</v>
      </c>
      <c r="B81" s="192" t="s">
        <v>1558</v>
      </c>
      <c r="C81" s="192" t="s">
        <v>1570</v>
      </c>
      <c r="D81" s="192">
        <v>80</v>
      </c>
      <c r="E81" s="189" t="str">
        <f t="shared" ca="1" si="2"/>
        <v>Administrative and finance data sources</v>
      </c>
      <c r="F81" s="192" t="s">
        <v>1672</v>
      </c>
      <c r="G81" s="193"/>
      <c r="H81" s="193"/>
      <c r="I81" s="193"/>
    </row>
    <row r="82" spans="1:9" x14ac:dyDescent="0.2">
      <c r="A82" s="192">
        <v>4</v>
      </c>
      <c r="B82" s="192" t="s">
        <v>1558</v>
      </c>
      <c r="C82" s="192" t="s">
        <v>1570</v>
      </c>
      <c r="D82" s="192">
        <v>81</v>
      </c>
      <c r="E82" s="189" t="str">
        <f t="shared" ca="1" si="2"/>
        <v>Vital Registration System</v>
      </c>
      <c r="F82" s="192" t="s">
        <v>1635</v>
      </c>
      <c r="G82" s="193"/>
      <c r="H82" s="193"/>
      <c r="I82" s="193"/>
    </row>
    <row r="83" spans="1:9" x14ac:dyDescent="0.2">
      <c r="A83" s="192">
        <v>5</v>
      </c>
      <c r="B83" s="192" t="s">
        <v>1558</v>
      </c>
      <c r="C83" s="192" t="s">
        <v>1571</v>
      </c>
      <c r="D83" s="192">
        <v>82</v>
      </c>
      <c r="E83" s="189" t="str">
        <f t="shared" ca="1" si="2"/>
        <v>Planning, coordination and management</v>
      </c>
      <c r="F83" s="192" t="s">
        <v>1634</v>
      </c>
      <c r="G83" s="193"/>
      <c r="H83" s="193"/>
      <c r="I83" s="193"/>
    </row>
    <row r="84" spans="1:9" x14ac:dyDescent="0.2">
      <c r="A84" s="192">
        <v>5</v>
      </c>
      <c r="B84" s="192" t="s">
        <v>1558</v>
      </c>
      <c r="C84" s="192" t="s">
        <v>1571</v>
      </c>
      <c r="D84" s="192">
        <v>83</v>
      </c>
      <c r="E84" s="189" t="str">
        <f t="shared" ca="1" si="2"/>
        <v>Grant management</v>
      </c>
      <c r="F84" s="192" t="s">
        <v>1671</v>
      </c>
      <c r="G84" s="193"/>
      <c r="H84" s="193"/>
      <c r="I84" s="193"/>
    </row>
    <row r="85" spans="1:9" x14ac:dyDescent="0.2">
      <c r="A85" s="192">
        <v>6</v>
      </c>
      <c r="B85" s="192" t="s">
        <v>1561</v>
      </c>
      <c r="C85" s="192" t="s">
        <v>1572</v>
      </c>
      <c r="D85" s="192">
        <v>84</v>
      </c>
      <c r="E85" s="189" t="str">
        <f t="shared" ca="1" si="2"/>
        <v>Case detection and diagnosis</v>
      </c>
      <c r="F85" s="192" t="s">
        <v>1690</v>
      </c>
      <c r="G85" s="193"/>
      <c r="H85" s="193"/>
      <c r="I85" s="193"/>
    </row>
    <row r="86" spans="1:9" x14ac:dyDescent="0.2">
      <c r="A86" s="192">
        <v>6</v>
      </c>
      <c r="B86" s="192" t="s">
        <v>1561</v>
      </c>
      <c r="C86" s="192" t="s">
        <v>1572</v>
      </c>
      <c r="D86" s="192">
        <v>85</v>
      </c>
      <c r="E86" s="189" t="str">
        <f t="shared" ca="1" si="2"/>
        <v xml:space="preserve">Treatment
</v>
      </c>
      <c r="F86" s="192" t="s">
        <v>1689</v>
      </c>
      <c r="G86" s="193"/>
      <c r="H86" s="193"/>
      <c r="I86" s="193"/>
    </row>
    <row r="87" spans="1:9" x14ac:dyDescent="0.2">
      <c r="A87" s="192">
        <v>6</v>
      </c>
      <c r="B87" s="192" t="s">
        <v>1561</v>
      </c>
      <c r="C87" s="192" t="s">
        <v>1572</v>
      </c>
      <c r="D87" s="192">
        <v>86</v>
      </c>
      <c r="E87" s="189" t="str">
        <f t="shared" ca="1" si="2"/>
        <v xml:space="preserve">Prevention
</v>
      </c>
      <c r="F87" s="192" t="s">
        <v>1688</v>
      </c>
      <c r="G87" s="193"/>
      <c r="H87" s="193"/>
      <c r="I87" s="193"/>
    </row>
    <row r="88" spans="1:9" x14ac:dyDescent="0.2">
      <c r="A88" s="192">
        <v>6</v>
      </c>
      <c r="B88" s="192" t="s">
        <v>1561</v>
      </c>
      <c r="C88" s="192" t="s">
        <v>1572</v>
      </c>
      <c r="D88" s="192">
        <v>87</v>
      </c>
      <c r="E88" s="189" t="str">
        <f t="shared" ca="1" si="2"/>
        <v xml:space="preserve">Engaging all care providers </v>
      </c>
      <c r="F88" s="192" t="s">
        <v>1687</v>
      </c>
      <c r="G88" s="193"/>
      <c r="H88" s="193"/>
      <c r="I88" s="193"/>
    </row>
    <row r="89" spans="1:9" x14ac:dyDescent="0.2">
      <c r="A89" s="192">
        <v>6</v>
      </c>
      <c r="B89" s="192" t="s">
        <v>1561</v>
      </c>
      <c r="C89" s="192" t="s">
        <v>1572</v>
      </c>
      <c r="D89" s="192">
        <v>88</v>
      </c>
      <c r="E89" s="189" t="str">
        <f t="shared" ca="1" si="2"/>
        <v>Engaging communities and civil society (includes Social mobilisation)</v>
      </c>
      <c r="F89" s="192" t="s">
        <v>1686</v>
      </c>
      <c r="G89" s="193"/>
      <c r="H89" s="193"/>
      <c r="I89" s="193"/>
    </row>
    <row r="90" spans="1:9" x14ac:dyDescent="0.2">
      <c r="A90" s="192">
        <v>6</v>
      </c>
      <c r="B90" s="192" t="s">
        <v>1561</v>
      </c>
      <c r="C90" s="192" t="s">
        <v>1572</v>
      </c>
      <c r="D90" s="192">
        <v>89</v>
      </c>
      <c r="E90" s="189" t="str">
        <f t="shared" ca="1" si="2"/>
        <v>TB screening and treatment among high risk groups</v>
      </c>
      <c r="F90" s="192" t="s">
        <v>1685</v>
      </c>
      <c r="G90" s="193"/>
      <c r="H90" s="193"/>
      <c r="I90" s="193"/>
    </row>
    <row r="91" spans="1:9" x14ac:dyDescent="0.2">
      <c r="A91" s="192">
        <v>6</v>
      </c>
      <c r="B91" s="192" t="s">
        <v>1561</v>
      </c>
      <c r="C91" s="192" t="s">
        <v>1572</v>
      </c>
      <c r="D91" s="192">
        <v>90</v>
      </c>
      <c r="E91" s="189" t="str">
        <f t="shared" ca="1" si="2"/>
        <v>Collaborative activities with other sectors</v>
      </c>
      <c r="F91" s="192" t="s">
        <v>1684</v>
      </c>
      <c r="G91" s="193"/>
      <c r="H91" s="193"/>
      <c r="I91" s="193"/>
    </row>
    <row r="92" spans="1:9" x14ac:dyDescent="0.2">
      <c r="A92" s="192">
        <v>7</v>
      </c>
      <c r="B92" s="192" t="s">
        <v>1561</v>
      </c>
      <c r="C92" s="192" t="s">
        <v>1573</v>
      </c>
      <c r="D92" s="192">
        <v>91</v>
      </c>
      <c r="E92" s="189" t="str">
        <f t="shared" ca="1" si="2"/>
        <v xml:space="preserve">TB/HIV collaborative interventions </v>
      </c>
      <c r="F92" s="192" t="s">
        <v>1683</v>
      </c>
      <c r="G92" s="193"/>
      <c r="H92" s="193"/>
      <c r="I92" s="193"/>
    </row>
    <row r="93" spans="1:9" x14ac:dyDescent="0.2">
      <c r="A93" s="192">
        <v>7</v>
      </c>
      <c r="B93" s="192" t="s">
        <v>1561</v>
      </c>
      <c r="C93" s="192" t="s">
        <v>1573</v>
      </c>
      <c r="D93" s="192">
        <v>92</v>
      </c>
      <c r="E93" s="189" t="str">
        <f t="shared" ca="1" si="2"/>
        <v>Engaging all care providers⃰</v>
      </c>
      <c r="F93" s="192" t="s">
        <v>1679</v>
      </c>
      <c r="G93" s="193"/>
      <c r="H93" s="193"/>
      <c r="I93" s="193"/>
    </row>
    <row r="94" spans="1:9" x14ac:dyDescent="0.2">
      <c r="A94" s="192">
        <v>7</v>
      </c>
      <c r="B94" s="192" t="s">
        <v>1561</v>
      </c>
      <c r="C94" s="192" t="s">
        <v>1573</v>
      </c>
      <c r="D94" s="192">
        <v>93</v>
      </c>
      <c r="E94" s="189" t="str">
        <f t="shared" ca="1" si="2"/>
        <v>Engaging communities and civil society (includes Social mobilisation)⃰</v>
      </c>
      <c r="F94" s="192" t="s">
        <v>1678</v>
      </c>
      <c r="G94" s="193"/>
      <c r="H94" s="193"/>
      <c r="I94" s="193"/>
    </row>
    <row r="95" spans="1:9" x14ac:dyDescent="0.2">
      <c r="A95" s="192">
        <v>7</v>
      </c>
      <c r="B95" s="192" t="s">
        <v>1561</v>
      </c>
      <c r="C95" s="192" t="s">
        <v>1573</v>
      </c>
      <c r="D95" s="192">
        <v>94</v>
      </c>
      <c r="E95" s="189" t="str">
        <f t="shared" ca="1" si="2"/>
        <v>TB/HIV screening and treatment among high risk groups</v>
      </c>
      <c r="F95" s="192" t="s">
        <v>1682</v>
      </c>
      <c r="G95" s="193"/>
      <c r="H95" s="193"/>
      <c r="I95" s="193"/>
    </row>
    <row r="96" spans="1:9" x14ac:dyDescent="0.2">
      <c r="A96" s="192">
        <v>7</v>
      </c>
      <c r="B96" s="192" t="s">
        <v>1561</v>
      </c>
      <c r="C96" s="192" t="s">
        <v>1573</v>
      </c>
      <c r="D96" s="192">
        <v>95</v>
      </c>
      <c r="E96" s="189" t="str">
        <f t="shared" ca="1" si="2"/>
        <v>Collaborative activities with other sectors⃰</v>
      </c>
      <c r="F96" s="192" t="s">
        <v>1676</v>
      </c>
      <c r="G96" s="193"/>
      <c r="H96" s="193"/>
      <c r="I96" s="193"/>
    </row>
    <row r="97" spans="1:9" x14ac:dyDescent="0.2">
      <c r="A97" s="192">
        <v>8</v>
      </c>
      <c r="B97" s="192" t="s">
        <v>1561</v>
      </c>
      <c r="C97" s="192" t="s">
        <v>1574</v>
      </c>
      <c r="D97" s="192">
        <v>96</v>
      </c>
      <c r="E97" s="189" t="str">
        <f t="shared" ca="1" si="2"/>
        <v>Case Detection and Diagnosis: MDR-TB</v>
      </c>
      <c r="F97" s="192" t="s">
        <v>1681</v>
      </c>
      <c r="G97" s="193"/>
      <c r="H97" s="193"/>
      <c r="I97" s="193"/>
    </row>
    <row r="98" spans="1:9" x14ac:dyDescent="0.2">
      <c r="A98" s="192">
        <v>8</v>
      </c>
      <c r="B98" s="192" t="s">
        <v>1561</v>
      </c>
      <c r="C98" s="192" t="s">
        <v>1574</v>
      </c>
      <c r="D98" s="192">
        <v>97</v>
      </c>
      <c r="E98" s="189" t="str">
        <f t="shared" ref="E98:E129" ca="1" si="3">OFFSET(F98,0,LangOffset,1,1)</f>
        <v>Treatment: MDR-TB</v>
      </c>
      <c r="F98" s="192" t="s">
        <v>1680</v>
      </c>
      <c r="G98" s="193"/>
      <c r="H98" s="193"/>
      <c r="I98" s="193"/>
    </row>
    <row r="99" spans="1:9" x14ac:dyDescent="0.2">
      <c r="A99" s="192">
        <v>8</v>
      </c>
      <c r="B99" s="192" t="s">
        <v>1561</v>
      </c>
      <c r="C99" s="192" t="s">
        <v>1574</v>
      </c>
      <c r="D99" s="192">
        <v>98</v>
      </c>
      <c r="E99" s="189" t="str">
        <f t="shared" ca="1" si="3"/>
        <v>Engaging all care providers⃰</v>
      </c>
      <c r="F99" s="192" t="s">
        <v>1679</v>
      </c>
      <c r="G99" s="193"/>
      <c r="H99" s="193"/>
      <c r="I99" s="193"/>
    </row>
    <row r="100" spans="1:9" x14ac:dyDescent="0.2">
      <c r="A100" s="192">
        <v>8</v>
      </c>
      <c r="B100" s="192" t="s">
        <v>1561</v>
      </c>
      <c r="C100" s="192" t="s">
        <v>1574</v>
      </c>
      <c r="D100" s="192">
        <v>99</v>
      </c>
      <c r="E100" s="189" t="str">
        <f t="shared" ca="1" si="3"/>
        <v>Engaging communities and civil society (includes Social mobilisation)⃰</v>
      </c>
      <c r="F100" s="192" t="s">
        <v>1678</v>
      </c>
      <c r="G100" s="193"/>
      <c r="H100" s="193"/>
      <c r="I100" s="193"/>
    </row>
    <row r="101" spans="1:9" x14ac:dyDescent="0.2">
      <c r="A101" s="192">
        <v>8</v>
      </c>
      <c r="B101" s="192" t="s">
        <v>1561</v>
      </c>
      <c r="C101" s="192" t="s">
        <v>1574</v>
      </c>
      <c r="D101" s="192">
        <v>100</v>
      </c>
      <c r="E101" s="189" t="str">
        <f t="shared" ca="1" si="3"/>
        <v>MDR-TB screening and treatment among high risk groups</v>
      </c>
      <c r="F101" s="192" t="s">
        <v>1677</v>
      </c>
      <c r="G101" s="193"/>
      <c r="H101" s="193"/>
      <c r="I101" s="193"/>
    </row>
    <row r="102" spans="1:9" x14ac:dyDescent="0.2">
      <c r="A102" s="192">
        <v>8</v>
      </c>
      <c r="B102" s="192" t="s">
        <v>1561</v>
      </c>
      <c r="C102" s="192" t="s">
        <v>1574</v>
      </c>
      <c r="D102" s="192">
        <v>101</v>
      </c>
      <c r="E102" s="189" t="str">
        <f t="shared" ca="1" si="3"/>
        <v>Collaborative activities with other sectors⃰</v>
      </c>
      <c r="F102" s="192" t="s">
        <v>1676</v>
      </c>
      <c r="G102" s="193"/>
      <c r="H102" s="193"/>
      <c r="I102" s="193"/>
    </row>
    <row r="103" spans="1:9" x14ac:dyDescent="0.2">
      <c r="A103" s="192">
        <v>9</v>
      </c>
      <c r="B103" s="192" t="s">
        <v>1561</v>
      </c>
      <c r="C103" s="192" t="s">
        <v>1575</v>
      </c>
      <c r="D103" s="192">
        <v>102</v>
      </c>
      <c r="E103" s="189" t="str">
        <f t="shared" ca="1" si="3"/>
        <v>Law and policy reform</v>
      </c>
      <c r="F103" s="192" t="s">
        <v>1597</v>
      </c>
      <c r="G103" s="193"/>
      <c r="H103" s="193"/>
      <c r="I103" s="193"/>
    </row>
    <row r="104" spans="1:9" x14ac:dyDescent="0.2">
      <c r="A104" s="192">
        <v>9</v>
      </c>
      <c r="B104" s="192" t="s">
        <v>1561</v>
      </c>
      <c r="C104" s="192" t="s">
        <v>1575</v>
      </c>
      <c r="D104" s="192">
        <v>103</v>
      </c>
      <c r="E104" s="189" t="str">
        <f t="shared" ca="1" si="3"/>
        <v>Training and capacity-building</v>
      </c>
      <c r="F104" s="192" t="s">
        <v>1675</v>
      </c>
      <c r="G104" s="193"/>
      <c r="H104" s="193"/>
      <c r="I104" s="193"/>
    </row>
    <row r="105" spans="1:9" x14ac:dyDescent="0.2">
      <c r="A105" s="192">
        <v>9</v>
      </c>
      <c r="B105" s="192" t="s">
        <v>1561</v>
      </c>
      <c r="C105" s="192" t="s">
        <v>1575</v>
      </c>
      <c r="D105" s="192">
        <v>104</v>
      </c>
      <c r="E105" s="189" t="str">
        <f t="shared" ca="1" si="3"/>
        <v>Access to justice</v>
      </c>
      <c r="F105" s="192" t="s">
        <v>1674</v>
      </c>
      <c r="G105" s="193"/>
      <c r="H105" s="193"/>
      <c r="I105" s="193"/>
    </row>
    <row r="106" spans="1:9" x14ac:dyDescent="0.2">
      <c r="A106" s="192">
        <v>9</v>
      </c>
      <c r="B106" s="192" t="s">
        <v>1561</v>
      </c>
      <c r="C106" s="192" t="s">
        <v>1575</v>
      </c>
      <c r="D106" s="192">
        <v>105</v>
      </c>
      <c r="E106" s="189" t="str">
        <f t="shared" ca="1" si="3"/>
        <v>Human rights monitoring and reporting</v>
      </c>
      <c r="F106" s="192" t="s">
        <v>1673</v>
      </c>
      <c r="G106" s="193"/>
      <c r="H106" s="193"/>
      <c r="I106" s="193"/>
    </row>
    <row r="107" spans="1:9" x14ac:dyDescent="0.2">
      <c r="A107" s="192">
        <v>10</v>
      </c>
      <c r="B107" s="192" t="s">
        <v>1561</v>
      </c>
      <c r="C107" s="192" t="s">
        <v>1570</v>
      </c>
      <c r="D107" s="192">
        <v>106</v>
      </c>
      <c r="E107" s="189" t="str">
        <f t="shared" ca="1" si="3"/>
        <v>Routine reporting</v>
      </c>
      <c r="F107" s="192" t="s">
        <v>1617</v>
      </c>
      <c r="G107" s="193"/>
      <c r="H107" s="193"/>
      <c r="I107" s="193"/>
    </row>
    <row r="108" spans="1:9" x14ac:dyDescent="0.2">
      <c r="A108" s="192">
        <v>10</v>
      </c>
      <c r="B108" s="192" t="s">
        <v>1561</v>
      </c>
      <c r="C108" s="192" t="s">
        <v>1570</v>
      </c>
      <c r="D108" s="192">
        <v>107</v>
      </c>
      <c r="E108" s="189" t="str">
        <f t="shared" ca="1" si="3"/>
        <v>Analysis, review and transparency</v>
      </c>
      <c r="F108" s="192" t="s">
        <v>1615</v>
      </c>
      <c r="G108" s="193"/>
      <c r="H108" s="193"/>
      <c r="I108" s="193"/>
    </row>
    <row r="109" spans="1:9" x14ac:dyDescent="0.2">
      <c r="A109" s="192">
        <v>10</v>
      </c>
      <c r="B109" s="192" t="s">
        <v>1561</v>
      </c>
      <c r="C109" s="192" t="s">
        <v>1570</v>
      </c>
      <c r="D109" s="192">
        <v>108</v>
      </c>
      <c r="E109" s="189" t="str">
        <f t="shared" ca="1" si="3"/>
        <v>Surveys</v>
      </c>
      <c r="F109" s="192" t="s">
        <v>1613</v>
      </c>
      <c r="G109" s="193"/>
      <c r="H109" s="193"/>
      <c r="I109" s="193"/>
    </row>
    <row r="110" spans="1:9" x14ac:dyDescent="0.2">
      <c r="A110" s="192">
        <v>10</v>
      </c>
      <c r="B110" s="192" t="s">
        <v>1561</v>
      </c>
      <c r="C110" s="192" t="s">
        <v>1570</v>
      </c>
      <c r="D110" s="192">
        <v>109</v>
      </c>
      <c r="E110" s="189" t="str">
        <f t="shared" ca="1" si="3"/>
        <v>Administrative and finance data sources</v>
      </c>
      <c r="F110" s="192" t="s">
        <v>1672</v>
      </c>
      <c r="G110" s="193"/>
      <c r="H110" s="193"/>
      <c r="I110" s="193"/>
    </row>
    <row r="111" spans="1:9" x14ac:dyDescent="0.2">
      <c r="A111" s="192">
        <v>10</v>
      </c>
      <c r="B111" s="192" t="s">
        <v>1561</v>
      </c>
      <c r="C111" s="192" t="s">
        <v>1570</v>
      </c>
      <c r="D111" s="192">
        <v>110</v>
      </c>
      <c r="E111" s="189" t="str">
        <f t="shared" ca="1" si="3"/>
        <v>Vital registration system</v>
      </c>
      <c r="F111" s="192" t="s">
        <v>568</v>
      </c>
      <c r="G111" s="193"/>
      <c r="H111" s="193"/>
      <c r="I111" s="193"/>
    </row>
    <row r="112" spans="1:9" x14ac:dyDescent="0.2">
      <c r="A112" s="192">
        <v>11</v>
      </c>
      <c r="B112" s="192" t="s">
        <v>1561</v>
      </c>
      <c r="C112" s="192" t="s">
        <v>1009</v>
      </c>
      <c r="D112" s="192">
        <v>111</v>
      </c>
      <c r="E112" s="189" t="str">
        <f t="shared" ca="1" si="3"/>
        <v>Planning, coordination and management</v>
      </c>
      <c r="F112" s="192" t="s">
        <v>1634</v>
      </c>
      <c r="G112" s="193"/>
      <c r="H112" s="193"/>
      <c r="I112" s="193"/>
    </row>
    <row r="113" spans="1:10" x14ac:dyDescent="0.2">
      <c r="A113" s="192">
        <v>11</v>
      </c>
      <c r="B113" s="192" t="s">
        <v>1561</v>
      </c>
      <c r="C113" s="192" t="s">
        <v>1009</v>
      </c>
      <c r="D113" s="192">
        <v>112</v>
      </c>
      <c r="E113" s="189" t="str">
        <f t="shared" ca="1" si="3"/>
        <v>Grant management</v>
      </c>
      <c r="F113" s="192" t="s">
        <v>1671</v>
      </c>
      <c r="G113" s="193"/>
      <c r="H113" s="193"/>
      <c r="I113" s="193"/>
    </row>
    <row r="114" spans="1:10" x14ac:dyDescent="0.2">
      <c r="A114" s="192">
        <v>11</v>
      </c>
      <c r="B114" s="192" t="s">
        <v>1561</v>
      </c>
      <c r="C114" s="192" t="s">
        <v>1009</v>
      </c>
      <c r="D114" s="192">
        <v>113</v>
      </c>
      <c r="E114" s="189" t="str">
        <f t="shared" ca="1" si="3"/>
        <v>Supporting procurement and supply management for TB</v>
      </c>
      <c r="F114" s="192" t="s">
        <v>1670</v>
      </c>
      <c r="G114" s="193"/>
      <c r="H114" s="193"/>
      <c r="I114" s="193"/>
    </row>
    <row r="115" spans="1:10" x14ac:dyDescent="0.2">
      <c r="A115" s="192">
        <v>12</v>
      </c>
      <c r="B115" s="192" t="s">
        <v>1562</v>
      </c>
      <c r="C115" s="192" t="s">
        <v>1576</v>
      </c>
      <c r="D115" s="192">
        <v>114</v>
      </c>
      <c r="E115" s="189" t="str">
        <f t="shared" ca="1" si="3"/>
        <v>Long-lasting Insecticide-treated Nets (LLIN) - Mass Campaign</v>
      </c>
      <c r="F115" s="192" t="s">
        <v>1669</v>
      </c>
      <c r="G115" s="193"/>
      <c r="H115" s="193"/>
      <c r="I115" s="193"/>
      <c r="J115" s="192" t="s">
        <v>1668</v>
      </c>
    </row>
    <row r="116" spans="1:10" x14ac:dyDescent="0.2">
      <c r="A116" s="192">
        <v>12</v>
      </c>
      <c r="B116" s="192" t="s">
        <v>1562</v>
      </c>
      <c r="C116" s="192" t="s">
        <v>1576</v>
      </c>
      <c r="D116" s="192">
        <v>115</v>
      </c>
      <c r="E116" s="189" t="str">
        <f t="shared" ca="1" si="3"/>
        <v>Long-lasting Insecticide-treated Nets (LLIN) - Routine Distribution</v>
      </c>
      <c r="F116" s="192" t="s">
        <v>1667</v>
      </c>
      <c r="G116" s="193"/>
      <c r="H116" s="193"/>
      <c r="I116" s="193"/>
      <c r="J116" s="192" t="s">
        <v>1666</v>
      </c>
    </row>
    <row r="117" spans="1:10" x14ac:dyDescent="0.2">
      <c r="A117" s="192">
        <v>12</v>
      </c>
      <c r="B117" s="192" t="s">
        <v>1562</v>
      </c>
      <c r="C117" s="192" t="s">
        <v>1576</v>
      </c>
      <c r="D117" s="192">
        <v>116</v>
      </c>
      <c r="E117" s="189" t="str">
        <f t="shared" ca="1" si="3"/>
        <v>Indoor Residual Spraying (IRS)</v>
      </c>
      <c r="F117" s="192" t="s">
        <v>1665</v>
      </c>
      <c r="G117" s="193"/>
      <c r="H117" s="193"/>
      <c r="I117" s="193"/>
      <c r="J117" s="192" t="s">
        <v>1664</v>
      </c>
    </row>
    <row r="118" spans="1:10" x14ac:dyDescent="0.2">
      <c r="A118" s="192">
        <v>12</v>
      </c>
      <c r="B118" s="192" t="s">
        <v>1562</v>
      </c>
      <c r="C118" s="192" t="s">
        <v>1576</v>
      </c>
      <c r="D118" s="192">
        <v>117</v>
      </c>
      <c r="E118" s="189" t="str">
        <f t="shared" ca="1" si="3"/>
        <v>Other Vector Control Measures</v>
      </c>
      <c r="F118" s="192" t="s">
        <v>1663</v>
      </c>
      <c r="G118" s="193"/>
      <c r="H118" s="193"/>
      <c r="I118" s="193"/>
      <c r="J118" s="192" t="s">
        <v>1662</v>
      </c>
    </row>
    <row r="119" spans="1:10" x14ac:dyDescent="0.2">
      <c r="A119" s="192">
        <v>12</v>
      </c>
      <c r="B119" s="192" t="s">
        <v>1562</v>
      </c>
      <c r="C119" s="192" t="s">
        <v>1576</v>
      </c>
      <c r="D119" s="192">
        <v>118</v>
      </c>
      <c r="E119" s="189" t="str">
        <f t="shared" ca="1" si="3"/>
        <v>Entomological Monitoring</v>
      </c>
      <c r="F119" s="192" t="s">
        <v>1661</v>
      </c>
      <c r="G119" s="193"/>
      <c r="H119" s="193"/>
      <c r="I119" s="193"/>
      <c r="J119" s="192" t="s">
        <v>1660</v>
      </c>
    </row>
    <row r="120" spans="1:10" x14ac:dyDescent="0.2">
      <c r="A120" s="192">
        <v>12</v>
      </c>
      <c r="B120" s="192" t="s">
        <v>1562</v>
      </c>
      <c r="C120" s="192" t="s">
        <v>1576</v>
      </c>
      <c r="D120" s="192">
        <v>119</v>
      </c>
      <c r="E120" s="189" t="str">
        <f t="shared" ca="1" si="3"/>
        <v>ACSM</v>
      </c>
      <c r="F120" s="192" t="s">
        <v>1649</v>
      </c>
      <c r="G120" s="193"/>
      <c r="H120" s="193"/>
      <c r="I120" s="193"/>
      <c r="J120" s="192" t="s">
        <v>1659</v>
      </c>
    </row>
    <row r="121" spans="1:10" x14ac:dyDescent="0.2">
      <c r="A121" s="192">
        <v>13</v>
      </c>
      <c r="B121" s="192" t="s">
        <v>1562</v>
      </c>
      <c r="C121" s="192" t="s">
        <v>1577</v>
      </c>
      <c r="D121" s="192">
        <v>120</v>
      </c>
      <c r="E121" s="189" t="str">
        <f t="shared" ca="1" si="3"/>
        <v>Facility-based Treatment</v>
      </c>
      <c r="F121" s="192" t="s">
        <v>1658</v>
      </c>
      <c r="G121" s="193"/>
      <c r="H121" s="193"/>
      <c r="I121" s="193"/>
      <c r="J121" s="192" t="s">
        <v>1657</v>
      </c>
    </row>
    <row r="122" spans="1:10" x14ac:dyDescent="0.2">
      <c r="A122" s="192">
        <v>13</v>
      </c>
      <c r="B122" s="192" t="s">
        <v>1562</v>
      </c>
      <c r="C122" s="192" t="s">
        <v>1577</v>
      </c>
      <c r="D122" s="192">
        <v>121</v>
      </c>
      <c r="E122" s="189" t="str">
        <f t="shared" ca="1" si="3"/>
        <v>Epidemic preparedness and response</v>
      </c>
      <c r="F122" s="192" t="s">
        <v>1656</v>
      </c>
      <c r="G122" s="193"/>
      <c r="H122" s="193"/>
      <c r="I122" s="193"/>
    </row>
    <row r="123" spans="1:10" x14ac:dyDescent="0.2">
      <c r="A123" s="192">
        <v>13</v>
      </c>
      <c r="B123" s="192" t="s">
        <v>1562</v>
      </c>
      <c r="C123" s="192" t="s">
        <v>1577</v>
      </c>
      <c r="D123" s="192">
        <v>122</v>
      </c>
      <c r="E123" s="189" t="str">
        <f t="shared" ca="1" si="3"/>
        <v>Integrated Community Case Management (ICCM)</v>
      </c>
      <c r="F123" s="192" t="s">
        <v>1655</v>
      </c>
      <c r="G123" s="193"/>
      <c r="H123" s="193"/>
      <c r="I123" s="193"/>
    </row>
    <row r="124" spans="1:10" x14ac:dyDescent="0.2">
      <c r="A124" s="192">
        <v>13</v>
      </c>
      <c r="B124" s="192" t="s">
        <v>1562</v>
      </c>
      <c r="C124" s="192" t="s">
        <v>1577</v>
      </c>
      <c r="D124" s="192">
        <v>123</v>
      </c>
      <c r="E124" s="189" t="str">
        <f t="shared" ca="1" si="3"/>
        <v>Active Case Detection and Investigation (malaria elimination phase)</v>
      </c>
      <c r="F124" s="192" t="s">
        <v>1654</v>
      </c>
      <c r="G124" s="193"/>
      <c r="H124" s="193"/>
      <c r="I124" s="193"/>
    </row>
    <row r="125" spans="1:10" x14ac:dyDescent="0.2">
      <c r="A125" s="192">
        <v>13</v>
      </c>
      <c r="B125" s="192" t="s">
        <v>1562</v>
      </c>
      <c r="C125" s="192" t="s">
        <v>1577</v>
      </c>
      <c r="D125" s="192">
        <v>124</v>
      </c>
      <c r="E125" s="189" t="str">
        <f t="shared" ca="1" si="3"/>
        <v>Therapeutic Efficacy Surveillance</v>
      </c>
      <c r="F125" s="192" t="s">
        <v>1653</v>
      </c>
      <c r="G125" s="193"/>
      <c r="H125" s="193"/>
      <c r="I125" s="193"/>
    </row>
    <row r="126" spans="1:10" x14ac:dyDescent="0.2">
      <c r="A126" s="192">
        <v>13</v>
      </c>
      <c r="B126" s="192" t="s">
        <v>1562</v>
      </c>
      <c r="C126" s="192" t="s">
        <v>1577</v>
      </c>
      <c r="D126" s="192">
        <v>125</v>
      </c>
      <c r="E126" s="189" t="str">
        <f t="shared" ca="1" si="3"/>
        <v>Severe Malaria</v>
      </c>
      <c r="F126" s="192" t="s">
        <v>1652</v>
      </c>
      <c r="G126" s="193"/>
      <c r="H126" s="193"/>
      <c r="I126" s="193"/>
    </row>
    <row r="127" spans="1:10" x14ac:dyDescent="0.2">
      <c r="A127" s="192">
        <v>13</v>
      </c>
      <c r="B127" s="192" t="s">
        <v>1562</v>
      </c>
      <c r="C127" s="192" t="s">
        <v>1577</v>
      </c>
      <c r="D127" s="192">
        <v>126</v>
      </c>
      <c r="E127" s="189" t="str">
        <f t="shared" ca="1" si="3"/>
        <v>Private Sector Co-Payment Mechanism</v>
      </c>
      <c r="F127" s="192" t="s">
        <v>1651</v>
      </c>
      <c r="G127" s="193"/>
      <c r="H127" s="193"/>
      <c r="I127" s="193"/>
    </row>
    <row r="128" spans="1:10" x14ac:dyDescent="0.2">
      <c r="A128" s="192">
        <v>13</v>
      </c>
      <c r="B128" s="192" t="s">
        <v>1562</v>
      </c>
      <c r="C128" s="192" t="s">
        <v>1577</v>
      </c>
      <c r="D128" s="192">
        <v>127</v>
      </c>
      <c r="E128" s="189" t="str">
        <f t="shared" ca="1" si="3"/>
        <v>Private sector case management (other)</v>
      </c>
      <c r="F128" s="192" t="s">
        <v>1650</v>
      </c>
      <c r="G128" s="193"/>
      <c r="H128" s="193"/>
      <c r="I128" s="193"/>
    </row>
    <row r="129" spans="1:10" x14ac:dyDescent="0.2">
      <c r="A129" s="192">
        <v>13</v>
      </c>
      <c r="B129" s="192" t="s">
        <v>1562</v>
      </c>
      <c r="C129" s="192" t="s">
        <v>1577</v>
      </c>
      <c r="D129" s="192">
        <v>128</v>
      </c>
      <c r="E129" s="189" t="str">
        <f t="shared" ca="1" si="3"/>
        <v>Ensuring Drug Quality</v>
      </c>
      <c r="F129" s="236" t="s">
        <v>1938</v>
      </c>
      <c r="G129" s="193"/>
      <c r="H129" s="193"/>
      <c r="I129" s="193"/>
    </row>
    <row r="130" spans="1:10" x14ac:dyDescent="0.2">
      <c r="A130" s="192">
        <v>13</v>
      </c>
      <c r="B130" s="192" t="s">
        <v>1562</v>
      </c>
      <c r="C130" s="192" t="s">
        <v>1577</v>
      </c>
      <c r="D130" s="192">
        <v>129</v>
      </c>
      <c r="E130" s="189" t="str">
        <f t="shared" ref="E130:E161" ca="1" si="4">OFFSET(F130,0,LangOffset,1,1)</f>
        <v>ACSM</v>
      </c>
      <c r="F130" s="192" t="s">
        <v>1649</v>
      </c>
      <c r="G130" s="193"/>
      <c r="H130" s="193"/>
      <c r="I130" s="193"/>
      <c r="J130" s="192" t="s">
        <v>1648</v>
      </c>
    </row>
    <row r="131" spans="1:10" x14ac:dyDescent="0.2">
      <c r="A131" s="192">
        <v>14</v>
      </c>
      <c r="B131" s="192" t="s">
        <v>1562</v>
      </c>
      <c r="C131" s="192" t="s">
        <v>1578</v>
      </c>
      <c r="D131" s="192">
        <v>130</v>
      </c>
      <c r="E131" s="189" t="str">
        <f t="shared" ca="1" si="4"/>
        <v>Intermittent Preventive Treatment (IPT) - in Pregnancy</v>
      </c>
      <c r="F131" s="192" t="s">
        <v>1647</v>
      </c>
      <c r="G131" s="193"/>
      <c r="H131" s="193"/>
      <c r="I131" s="193"/>
      <c r="J131" s="192" t="s">
        <v>1646</v>
      </c>
    </row>
    <row r="132" spans="1:10" x14ac:dyDescent="0.2">
      <c r="A132" s="192">
        <v>14</v>
      </c>
      <c r="B132" s="192" t="s">
        <v>1562</v>
      </c>
      <c r="C132" s="192" t="s">
        <v>1578</v>
      </c>
      <c r="D132" s="192">
        <v>131</v>
      </c>
      <c r="E132" s="189" t="str">
        <f t="shared" ca="1" si="4"/>
        <v>Intermittent Preventive Treatment (IPT) - in Infancy</v>
      </c>
      <c r="F132" s="192" t="s">
        <v>1645</v>
      </c>
      <c r="G132" s="193"/>
      <c r="H132" s="193"/>
      <c r="I132" s="193"/>
      <c r="J132" s="192" t="s">
        <v>1644</v>
      </c>
    </row>
    <row r="133" spans="1:10" x14ac:dyDescent="0.2">
      <c r="A133" s="192">
        <v>14</v>
      </c>
      <c r="B133" s="192" t="s">
        <v>1562</v>
      </c>
      <c r="C133" s="192" t="s">
        <v>1578</v>
      </c>
      <c r="D133" s="192">
        <v>132</v>
      </c>
      <c r="E133" s="189" t="str">
        <f t="shared" ca="1" si="4"/>
        <v>Seasonal Malaria Chemoprevention</v>
      </c>
      <c r="F133" s="234" t="s">
        <v>1935</v>
      </c>
      <c r="G133" s="193"/>
      <c r="H133" s="193"/>
      <c r="I133" s="193"/>
      <c r="J133" s="192" t="s">
        <v>1643</v>
      </c>
    </row>
    <row r="134" spans="1:10" x14ac:dyDescent="0.2">
      <c r="A134" s="192">
        <v>15</v>
      </c>
      <c r="B134" s="192" t="s">
        <v>1562</v>
      </c>
      <c r="C134" s="192" t="s">
        <v>1579</v>
      </c>
      <c r="D134" s="192">
        <v>133</v>
      </c>
      <c r="E134" s="189" t="str">
        <f t="shared" ca="1" si="4"/>
        <v xml:space="preserve">Routine Reporting </v>
      </c>
      <c r="F134" s="192" t="s">
        <v>1642</v>
      </c>
      <c r="G134" s="193"/>
      <c r="H134" s="193"/>
      <c r="I134" s="193"/>
      <c r="J134" s="192" t="s">
        <v>1641</v>
      </c>
    </row>
    <row r="135" spans="1:10" x14ac:dyDescent="0.2">
      <c r="A135" s="192">
        <v>15</v>
      </c>
      <c r="B135" s="192" t="s">
        <v>1562</v>
      </c>
      <c r="C135" s="192" t="s">
        <v>1579</v>
      </c>
      <c r="D135" s="192">
        <v>134</v>
      </c>
      <c r="E135" s="189" t="str">
        <f t="shared" ca="1" si="4"/>
        <v>Analysis, Review and Transparency</v>
      </c>
      <c r="F135" s="192" t="s">
        <v>1640</v>
      </c>
      <c r="G135" s="193"/>
      <c r="H135" s="193"/>
      <c r="I135" s="193"/>
      <c r="J135" s="192" t="s">
        <v>1639</v>
      </c>
    </row>
    <row r="136" spans="1:10" x14ac:dyDescent="0.2">
      <c r="A136" s="192">
        <v>15</v>
      </c>
      <c r="B136" s="192" t="s">
        <v>1562</v>
      </c>
      <c r="C136" s="192" t="s">
        <v>1579</v>
      </c>
      <c r="D136" s="192">
        <v>135</v>
      </c>
      <c r="E136" s="189" t="str">
        <f t="shared" ca="1" si="4"/>
        <v>Surveys</v>
      </c>
      <c r="F136" s="192" t="s">
        <v>1613</v>
      </c>
      <c r="G136" s="193"/>
      <c r="H136" s="193"/>
      <c r="I136" s="193"/>
      <c r="J136" s="192" t="s">
        <v>1638</v>
      </c>
    </row>
    <row r="137" spans="1:10" x14ac:dyDescent="0.2">
      <c r="A137" s="192">
        <v>15</v>
      </c>
      <c r="B137" s="192" t="s">
        <v>1562</v>
      </c>
      <c r="C137" s="192" t="s">
        <v>1579</v>
      </c>
      <c r="D137" s="192">
        <v>136</v>
      </c>
      <c r="E137" s="189" t="str">
        <f t="shared" ca="1" si="4"/>
        <v>Administrative and Finance Data Sources</v>
      </c>
      <c r="F137" s="192" t="s">
        <v>1637</v>
      </c>
      <c r="G137" s="193"/>
      <c r="H137" s="193"/>
      <c r="I137" s="193"/>
      <c r="J137" s="192" t="s">
        <v>1636</v>
      </c>
    </row>
    <row r="138" spans="1:10" x14ac:dyDescent="0.2">
      <c r="A138" s="192">
        <v>15</v>
      </c>
      <c r="B138" s="192" t="s">
        <v>1562</v>
      </c>
      <c r="C138" s="192" t="s">
        <v>1579</v>
      </c>
      <c r="D138" s="192">
        <v>137</v>
      </c>
      <c r="E138" s="189" t="str">
        <f t="shared" ca="1" si="4"/>
        <v>Vital Registration System</v>
      </c>
      <c r="F138" s="192" t="s">
        <v>1635</v>
      </c>
      <c r="G138" s="193"/>
      <c r="H138" s="193"/>
      <c r="I138" s="193"/>
      <c r="J138" s="192" t="s">
        <v>1608</v>
      </c>
    </row>
    <row r="139" spans="1:10" x14ac:dyDescent="0.2">
      <c r="A139" s="192">
        <v>16</v>
      </c>
      <c r="B139" s="192" t="s">
        <v>1562</v>
      </c>
      <c r="C139" s="192" t="s">
        <v>1580</v>
      </c>
      <c r="D139" s="192">
        <v>138</v>
      </c>
      <c r="E139" s="189" t="str">
        <f t="shared" ca="1" si="4"/>
        <v>Planning, coordination and management</v>
      </c>
      <c r="F139" s="192" t="s">
        <v>1634</v>
      </c>
      <c r="G139" s="193"/>
      <c r="H139" s="193"/>
      <c r="I139" s="193"/>
      <c r="J139" s="192" t="s">
        <v>1633</v>
      </c>
    </row>
    <row r="140" spans="1:10" x14ac:dyDescent="0.2">
      <c r="A140" s="192">
        <v>16</v>
      </c>
      <c r="B140" s="192" t="s">
        <v>1562</v>
      </c>
      <c r="C140" s="192" t="s">
        <v>1580</v>
      </c>
      <c r="D140" s="192">
        <v>139</v>
      </c>
      <c r="E140" s="189" t="str">
        <f t="shared" ca="1" si="4"/>
        <v>Grant Management</v>
      </c>
      <c r="F140" s="192" t="s">
        <v>1589</v>
      </c>
      <c r="G140" s="193"/>
      <c r="H140" s="193"/>
      <c r="I140" s="193"/>
      <c r="J140" s="192" t="s">
        <v>1588</v>
      </c>
    </row>
    <row r="141" spans="1:10" x14ac:dyDescent="0.2">
      <c r="A141" s="192">
        <v>17</v>
      </c>
      <c r="B141" s="192" t="s">
        <v>1563</v>
      </c>
      <c r="C141" s="192" t="s">
        <v>1581</v>
      </c>
      <c r="D141" s="192">
        <v>140</v>
      </c>
      <c r="E141" s="189" t="str">
        <f t="shared" ca="1" si="4"/>
        <v>Infrastructure</v>
      </c>
      <c r="F141" s="192" t="s">
        <v>1632</v>
      </c>
      <c r="G141" s="193"/>
      <c r="H141" s="193"/>
      <c r="I141" s="193"/>
      <c r="J141" s="192" t="s">
        <v>1631</v>
      </c>
    </row>
    <row r="142" spans="1:10" x14ac:dyDescent="0.2">
      <c r="A142" s="192">
        <v>17</v>
      </c>
      <c r="B142" s="192" t="s">
        <v>1563</v>
      </c>
      <c r="C142" s="192" t="s">
        <v>1581</v>
      </c>
      <c r="D142" s="192">
        <v>141</v>
      </c>
      <c r="E142" s="189" t="str">
        <f t="shared" ca="1" si="4"/>
        <v xml:space="preserve">Service organization and facility management   </v>
      </c>
      <c r="F142" s="192" t="s">
        <v>1630</v>
      </c>
      <c r="G142" s="193"/>
      <c r="H142" s="193"/>
      <c r="I142" s="193"/>
      <c r="J142" s="192" t="s">
        <v>1629</v>
      </c>
    </row>
    <row r="143" spans="1:10" x14ac:dyDescent="0.2">
      <c r="A143" s="192">
        <v>17</v>
      </c>
      <c r="B143" s="192" t="s">
        <v>1563</v>
      </c>
      <c r="C143" s="192" t="s">
        <v>1581</v>
      </c>
      <c r="D143" s="192">
        <v>142</v>
      </c>
      <c r="E143" s="189" t="str">
        <f t="shared" ca="1" si="4"/>
        <v>Increasing demand for health services</v>
      </c>
      <c r="F143" s="192" t="s">
        <v>1628</v>
      </c>
      <c r="G143" s="193"/>
      <c r="H143" s="193"/>
      <c r="I143" s="193"/>
      <c r="J143" s="192" t="s">
        <v>1627</v>
      </c>
    </row>
    <row r="144" spans="1:10" x14ac:dyDescent="0.2">
      <c r="A144" s="192">
        <v>18</v>
      </c>
      <c r="B144" s="192" t="s">
        <v>1563</v>
      </c>
      <c r="C144" s="192" t="s">
        <v>1582</v>
      </c>
      <c r="D144" s="192">
        <v>143</v>
      </c>
      <c r="E144" s="189" t="str">
        <f t="shared" ca="1" si="4"/>
        <v>Capacity building</v>
      </c>
      <c r="F144" s="192" t="s">
        <v>1626</v>
      </c>
      <c r="G144" s="193"/>
      <c r="H144" s="193"/>
      <c r="I144" s="193"/>
      <c r="J144" s="192" t="s">
        <v>1625</v>
      </c>
    </row>
    <row r="145" spans="1:10" x14ac:dyDescent="0.2">
      <c r="A145" s="192">
        <v>18</v>
      </c>
      <c r="B145" s="192" t="s">
        <v>1563</v>
      </c>
      <c r="C145" s="192" t="s">
        <v>1582</v>
      </c>
      <c r="D145" s="192">
        <v>144</v>
      </c>
      <c r="E145" s="189" t="str">
        <f t="shared" ca="1" si="4"/>
        <v>Scaling up and distribution of  workforce</v>
      </c>
      <c r="F145" s="192" t="s">
        <v>1624</v>
      </c>
      <c r="G145" s="193"/>
      <c r="H145" s="193"/>
      <c r="I145" s="193"/>
      <c r="J145" s="192" t="s">
        <v>1623</v>
      </c>
    </row>
    <row r="146" spans="1:10" x14ac:dyDescent="0.2">
      <c r="A146" s="192">
        <v>18</v>
      </c>
      <c r="B146" s="192" t="s">
        <v>1563</v>
      </c>
      <c r="C146" s="192" t="s">
        <v>1582</v>
      </c>
      <c r="D146" s="192">
        <v>145</v>
      </c>
      <c r="E146" s="189" t="str">
        <f t="shared" ca="1" si="4"/>
        <v>Retention of workforce</v>
      </c>
      <c r="F146" s="234" t="s">
        <v>1936</v>
      </c>
      <c r="G146" s="193"/>
      <c r="H146" s="193"/>
      <c r="I146" s="193"/>
      <c r="J146" s="192" t="s">
        <v>1622</v>
      </c>
    </row>
    <row r="147" spans="1:10" x14ac:dyDescent="0.2">
      <c r="A147" s="192">
        <v>19</v>
      </c>
      <c r="B147" s="192" t="s">
        <v>1563</v>
      </c>
      <c r="C147" s="192" t="s">
        <v>1583</v>
      </c>
      <c r="D147" s="192">
        <v>146</v>
      </c>
      <c r="E147" s="189" t="str">
        <f t="shared" ca="1" si="4"/>
        <v>PSM infrastructure</v>
      </c>
      <c r="F147" s="192" t="s">
        <v>1621</v>
      </c>
      <c r="G147" s="193"/>
      <c r="H147" s="193"/>
      <c r="I147" s="193"/>
      <c r="J147" s="192" t="s">
        <v>1620</v>
      </c>
    </row>
    <row r="148" spans="1:10" x14ac:dyDescent="0.2">
      <c r="A148" s="192">
        <v>19</v>
      </c>
      <c r="B148" s="192" t="s">
        <v>1563</v>
      </c>
      <c r="C148" s="192" t="s">
        <v>1583</v>
      </c>
      <c r="D148" s="192">
        <v>147</v>
      </c>
      <c r="E148" s="189" t="str">
        <f t="shared" ca="1" si="4"/>
        <v>Operationalization of PSM system</v>
      </c>
      <c r="F148" s="192" t="s">
        <v>1619</v>
      </c>
      <c r="G148" s="193"/>
      <c r="H148" s="193"/>
      <c r="I148" s="193"/>
      <c r="J148" s="192" t="s">
        <v>1618</v>
      </c>
    </row>
    <row r="149" spans="1:10" x14ac:dyDescent="0.2">
      <c r="A149" s="192">
        <v>20</v>
      </c>
      <c r="B149" s="192" t="s">
        <v>1563</v>
      </c>
      <c r="C149" s="192" t="s">
        <v>1584</v>
      </c>
      <c r="D149" s="192">
        <v>148</v>
      </c>
      <c r="E149" s="189" t="str">
        <f t="shared" ca="1" si="4"/>
        <v>Routine reporting</v>
      </c>
      <c r="F149" s="192" t="s">
        <v>1617</v>
      </c>
      <c r="G149" s="193"/>
      <c r="H149" s="193"/>
      <c r="I149" s="193"/>
      <c r="J149" s="192" t="s">
        <v>1616</v>
      </c>
    </row>
    <row r="150" spans="1:10" x14ac:dyDescent="0.2">
      <c r="A150" s="192">
        <v>20</v>
      </c>
      <c r="B150" s="192" t="s">
        <v>1563</v>
      </c>
      <c r="C150" s="192" t="s">
        <v>1584</v>
      </c>
      <c r="D150" s="192">
        <v>149</v>
      </c>
      <c r="E150" s="189" t="str">
        <f t="shared" ca="1" si="4"/>
        <v>Analysis, review and transparency</v>
      </c>
      <c r="F150" s="192" t="s">
        <v>1615</v>
      </c>
      <c r="G150" s="193"/>
      <c r="H150" s="193"/>
      <c r="I150" s="193"/>
      <c r="J150" s="192" t="s">
        <v>1614</v>
      </c>
    </row>
    <row r="151" spans="1:10" x14ac:dyDescent="0.2">
      <c r="A151" s="192">
        <v>20</v>
      </c>
      <c r="B151" s="192" t="s">
        <v>1563</v>
      </c>
      <c r="C151" s="192" t="s">
        <v>1584</v>
      </c>
      <c r="D151" s="192">
        <v>150</v>
      </c>
      <c r="E151" s="189" t="str">
        <f t="shared" ca="1" si="4"/>
        <v>Surveys</v>
      </c>
      <c r="F151" s="192" t="s">
        <v>1613</v>
      </c>
      <c r="G151" s="193"/>
      <c r="H151" s="193"/>
      <c r="I151" s="193"/>
      <c r="J151" s="192" t="s">
        <v>1612</v>
      </c>
    </row>
    <row r="152" spans="1:10" x14ac:dyDescent="0.2">
      <c r="A152" s="192">
        <v>20</v>
      </c>
      <c r="B152" s="192" t="s">
        <v>1563</v>
      </c>
      <c r="C152" s="192" t="s">
        <v>1584</v>
      </c>
      <c r="D152" s="192">
        <v>151</v>
      </c>
      <c r="E152" s="189" t="str">
        <f t="shared" ca="1" si="4"/>
        <v>Administrative and financial data sources</v>
      </c>
      <c r="F152" s="192" t="s">
        <v>1611</v>
      </c>
      <c r="G152" s="193"/>
      <c r="H152" s="193"/>
      <c r="I152" s="193"/>
      <c r="J152" s="192" t="s">
        <v>1610</v>
      </c>
    </row>
    <row r="153" spans="1:10" x14ac:dyDescent="0.2">
      <c r="A153" s="192">
        <v>20</v>
      </c>
      <c r="B153" s="192" t="s">
        <v>1563</v>
      </c>
      <c r="C153" s="192" t="s">
        <v>1584</v>
      </c>
      <c r="D153" s="192">
        <v>152</v>
      </c>
      <c r="E153" s="189" t="str">
        <f t="shared" ca="1" si="4"/>
        <v>Vital Registration Systems</v>
      </c>
      <c r="F153" s="192" t="s">
        <v>1609</v>
      </c>
      <c r="G153" s="193"/>
      <c r="H153" s="193"/>
      <c r="I153" s="193"/>
      <c r="J153" s="192" t="s">
        <v>1608</v>
      </c>
    </row>
    <row r="154" spans="1:10" x14ac:dyDescent="0.2">
      <c r="A154" s="192">
        <v>21</v>
      </c>
      <c r="B154" s="192" t="s">
        <v>1563</v>
      </c>
      <c r="C154" s="192" t="s">
        <v>1585</v>
      </c>
      <c r="D154" s="192">
        <v>153</v>
      </c>
      <c r="E154" s="189" t="str">
        <f t="shared" ca="1" si="4"/>
        <v>Development and Implementation of legal and policy reform</v>
      </c>
      <c r="F154" s="192" t="s">
        <v>1607</v>
      </c>
      <c r="G154" s="193"/>
      <c r="H154" s="193"/>
      <c r="I154" s="193"/>
      <c r="J154" s="192" t="s">
        <v>1606</v>
      </c>
    </row>
    <row r="155" spans="1:10" x14ac:dyDescent="0.2">
      <c r="A155" s="192">
        <v>21</v>
      </c>
      <c r="B155" s="192" t="s">
        <v>1563</v>
      </c>
      <c r="C155" s="192" t="s">
        <v>1585</v>
      </c>
      <c r="D155" s="192">
        <v>154</v>
      </c>
      <c r="E155" s="189" t="str">
        <f t="shared" ca="1" si="4"/>
        <v>Advocacy for legal and policy reforms</v>
      </c>
      <c r="F155" s="192" t="s">
        <v>1605</v>
      </c>
      <c r="G155" s="193"/>
      <c r="H155" s="193"/>
      <c r="I155" s="193"/>
      <c r="J155" s="192" t="s">
        <v>1604</v>
      </c>
    </row>
    <row r="156" spans="1:10" x14ac:dyDescent="0.2">
      <c r="A156" s="192">
        <v>21</v>
      </c>
      <c r="B156" s="192" t="s">
        <v>1563</v>
      </c>
      <c r="C156" s="192" t="s">
        <v>1585</v>
      </c>
      <c r="D156" s="192">
        <v>155</v>
      </c>
      <c r="E156" s="189" t="str">
        <f t="shared" ca="1" si="4"/>
        <v>Monitoring and reporting implementation of laws and policies</v>
      </c>
      <c r="F156" s="192" t="s">
        <v>1603</v>
      </c>
      <c r="G156" s="193"/>
      <c r="H156" s="193"/>
      <c r="I156" s="193"/>
      <c r="J156" s="192" t="s">
        <v>1602</v>
      </c>
    </row>
    <row r="157" spans="1:10" x14ac:dyDescent="0.2">
      <c r="A157" s="192">
        <v>22</v>
      </c>
      <c r="B157" s="192" t="s">
        <v>1563</v>
      </c>
      <c r="C157" s="192" t="s">
        <v>1586</v>
      </c>
      <c r="D157" s="192">
        <v>156</v>
      </c>
      <c r="E157" s="189" t="str">
        <f t="shared" ca="1" si="4"/>
        <v>Financial sustainability</v>
      </c>
      <c r="F157" s="192" t="s">
        <v>1601</v>
      </c>
      <c r="G157" s="193"/>
      <c r="H157" s="193"/>
      <c r="I157" s="193"/>
      <c r="J157" s="192" t="s">
        <v>1600</v>
      </c>
    </row>
    <row r="158" spans="1:10" x14ac:dyDescent="0.2">
      <c r="A158" s="192">
        <v>22</v>
      </c>
      <c r="B158" s="192" t="s">
        <v>1563</v>
      </c>
      <c r="C158" s="192" t="s">
        <v>1586</v>
      </c>
      <c r="D158" s="192">
        <v>157</v>
      </c>
      <c r="E158" s="189" t="str">
        <f t="shared" ca="1" si="4"/>
        <v>Equity of healthcare financing</v>
      </c>
      <c r="F158" s="192" t="s">
        <v>1599</v>
      </c>
      <c r="G158" s="193"/>
      <c r="H158" s="193"/>
      <c r="I158" s="193"/>
      <c r="J158" s="192" t="s">
        <v>1598</v>
      </c>
    </row>
    <row r="159" spans="1:10" x14ac:dyDescent="0.2">
      <c r="A159" s="192">
        <v>23</v>
      </c>
      <c r="B159" s="192" t="s">
        <v>1563</v>
      </c>
      <c r="C159" s="192" t="s">
        <v>1575</v>
      </c>
      <c r="D159" s="192">
        <v>158</v>
      </c>
      <c r="E159" s="189" t="str">
        <f t="shared" ca="1" si="4"/>
        <v>Law and policy reform</v>
      </c>
      <c r="F159" s="192" t="s">
        <v>1597</v>
      </c>
      <c r="G159" s="193"/>
      <c r="H159" s="193"/>
      <c r="I159" s="193"/>
      <c r="J159" s="192" t="s">
        <v>1596</v>
      </c>
    </row>
    <row r="160" spans="1:10" x14ac:dyDescent="0.2">
      <c r="A160" s="192">
        <v>23</v>
      </c>
      <c r="B160" s="192" t="s">
        <v>1563</v>
      </c>
      <c r="C160" s="192" t="s">
        <v>1575</v>
      </c>
      <c r="D160" s="192">
        <v>159</v>
      </c>
      <c r="E160" s="189" t="str">
        <f t="shared" ca="1" si="4"/>
        <v xml:space="preserve">Implementation </v>
      </c>
      <c r="F160" s="192" t="s">
        <v>1595</v>
      </c>
      <c r="G160" s="193"/>
      <c r="H160" s="193"/>
      <c r="I160" s="193"/>
      <c r="J160" s="192" t="s">
        <v>1594</v>
      </c>
    </row>
    <row r="161" spans="1:10" x14ac:dyDescent="0.2">
      <c r="A161" s="192">
        <v>23</v>
      </c>
      <c r="B161" s="192" t="s">
        <v>1563</v>
      </c>
      <c r="C161" s="192" t="s">
        <v>1575</v>
      </c>
      <c r="D161" s="192">
        <v>160</v>
      </c>
      <c r="E161" s="189" t="str">
        <f t="shared" ca="1" si="4"/>
        <v>Enforcement</v>
      </c>
      <c r="F161" s="192" t="s">
        <v>1593</v>
      </c>
      <c r="G161" s="193"/>
      <c r="H161" s="193"/>
      <c r="I161" s="193"/>
      <c r="J161" s="192" t="s">
        <v>1592</v>
      </c>
    </row>
    <row r="162" spans="1:10" x14ac:dyDescent="0.2">
      <c r="A162" s="192">
        <v>23</v>
      </c>
      <c r="B162" s="192" t="s">
        <v>1563</v>
      </c>
      <c r="C162" s="192" t="s">
        <v>1575</v>
      </c>
      <c r="D162" s="192">
        <v>161</v>
      </c>
      <c r="E162" s="189" t="str">
        <f ca="1">OFFSET(F162,0,LangOffset,1,1)</f>
        <v>Monitoring and reporting implementation of human rights</v>
      </c>
      <c r="F162" s="192" t="s">
        <v>1591</v>
      </c>
      <c r="G162" s="193"/>
      <c r="H162" s="193"/>
      <c r="I162" s="193"/>
      <c r="J162" s="192" t="s">
        <v>1590</v>
      </c>
    </row>
    <row r="163" spans="1:10" x14ac:dyDescent="0.2">
      <c r="A163" s="192">
        <v>24</v>
      </c>
      <c r="B163" s="192" t="s">
        <v>1563</v>
      </c>
      <c r="C163" s="192" t="s">
        <v>1587</v>
      </c>
      <c r="D163" s="192">
        <v>162</v>
      </c>
      <c r="E163" s="189" t="str">
        <f ca="1">OFFSET(F163,0,LangOffset,1,1)</f>
        <v>Grant Management</v>
      </c>
      <c r="F163" s="192" t="s">
        <v>1589</v>
      </c>
      <c r="G163" s="193"/>
      <c r="H163" s="193"/>
      <c r="I163" s="193"/>
      <c r="J163" s="192" t="s">
        <v>1588</v>
      </c>
    </row>
  </sheetData>
  <customSheetViews>
    <customSheetView guid="{AB7DC012-E038-4AC4-B964-79EBEC1A7DBE}" state="hidden">
      <pane xSplit="3" ySplit="1" topLeftCell="D118" activePane="bottomRight" state="frozenSplit"/>
      <selection pane="bottomRight" activeCell="F130" sqref="F130"/>
      <pageMargins left="0.7" right="0.7" top="0.75" bottom="0.75" header="0.3" footer="0.3"/>
      <pageSetup orientation="portrait"/>
    </customSheetView>
    <customSheetView guid="{8263CC96-2145-451B-AD8A-CC38FD628AC9}" state="hidden">
      <pane xSplit="3" ySplit="1" topLeftCell="D118" activePane="bottomRight" state="frozenSplit"/>
      <selection pane="bottomRight" activeCell="F130" sqref="F130"/>
      <pageMargins left="0.7" right="0.7" top="0.75" bottom="0.75" header="0.3" footer="0.3"/>
      <pageSetup orientation="portrait"/>
    </customSheetView>
    <customSheetView guid="{721132AF-EF29-4C83-8A4A-F17ABB4BD7C0}" state="hidden">
      <pane xSplit="3" ySplit="1" topLeftCell="D118" activePane="bottomRight" state="frozenSplit"/>
      <selection pane="bottomRight" activeCell="F130" sqref="F130"/>
      <pageMargins left="0.7" right="0.7" top="0.75" bottom="0.75" header="0.3" footer="0.3"/>
      <pageSetup orientation="portrait"/>
    </customSheetView>
    <customSheetView guid="{CE0E8020-2C9F-41F1-9136-031F56EB2C71}" state="hidden">
      <pane xSplit="3" ySplit="1" topLeftCell="D118" activePane="bottomRight" state="frozenSplit"/>
      <selection pane="bottomRight" activeCell="F130" sqref="F130"/>
      <pageMargins left="0.7" right="0.7" top="0.75" bottom="0.75" header="0.3" footer="0.3"/>
    </customSheetView>
    <customSheetView guid="{E823EC26-EF2B-442F-BAF4-E4055CE48BD3}" state="hidden">
      <pane xSplit="3" ySplit="1" topLeftCell="D118" activePane="bottomRight" state="frozenSplit"/>
      <selection pane="bottomRight" activeCell="F130" sqref="F130"/>
      <pageMargins left="0.7" right="0.7" top="0.75" bottom="0.75" header="0.3" footer="0.3"/>
    </customSheetView>
    <customSheetView guid="{86255A0E-17F2-0E4B-B055-7B9B2A71C25A}" state="hidden">
      <pane xSplit="3" ySplit="1.0769230769230769" topLeftCell="D118" activePane="bottomRight" state="frozenSplit"/>
      <selection pane="bottomRight" activeCell="F130" sqref="F130"/>
      <pageMargins left="0.7" right="0.7" top="0.75" bottom="0.75" header="0.3" footer="0.3"/>
      <pageSetup orientation="portrait"/>
    </customSheetView>
    <customSheetView guid="{D193A86F-CAEF-42FB-9ABB-073B57B81A50}" state="hidden">
      <pane xSplit="3" ySplit="1" topLeftCell="D118" activePane="bottomRight" state="frozenSplit"/>
      <selection pane="bottomRight" activeCell="F130" sqref="F130"/>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workbookViewId="0">
      <pane ySplit="1" topLeftCell="A2" activePane="bottomLeft" state="frozenSplit"/>
      <selection pane="bottomLeft" activeCell="F62" sqref="F62"/>
    </sheetView>
  </sheetViews>
  <sheetFormatPr defaultColWidth="9.140625" defaultRowHeight="14.25" x14ac:dyDescent="0.2"/>
  <cols>
    <col min="1" max="1" width="9.140625" style="189"/>
    <col min="2" max="2" width="10.140625" style="189" bestFit="1" customWidth="1"/>
    <col min="3" max="3" width="38.42578125" style="189" customWidth="1"/>
    <col min="4" max="4" width="10.140625" style="189" bestFit="1" customWidth="1"/>
    <col min="5" max="5" width="36.42578125" style="189" customWidth="1"/>
    <col min="6" max="6" width="113.28515625" style="189" customWidth="1"/>
    <col min="7" max="7" width="22.7109375" style="189" bestFit="1" customWidth="1"/>
    <col min="8" max="8" width="23.7109375" style="189" bestFit="1" customWidth="1"/>
    <col min="9" max="9" width="23.42578125" style="189" bestFit="1" customWidth="1"/>
    <col min="10" max="16384" width="9.140625" style="189"/>
  </cols>
  <sheetData>
    <row r="1" spans="1:9" s="188" customFormat="1" ht="15" x14ac:dyDescent="0.25">
      <c r="A1" s="188" t="s">
        <v>1564</v>
      </c>
      <c r="B1" s="188" t="s">
        <v>1553</v>
      </c>
      <c r="C1" s="188" t="s">
        <v>986</v>
      </c>
      <c r="D1" s="188" t="s">
        <v>1754</v>
      </c>
      <c r="E1" s="188" t="s">
        <v>625</v>
      </c>
      <c r="F1" s="188" t="s">
        <v>1755</v>
      </c>
      <c r="G1" s="188" t="s">
        <v>1756</v>
      </c>
      <c r="H1" s="188" t="s">
        <v>1757</v>
      </c>
      <c r="I1" s="188" t="s">
        <v>1758</v>
      </c>
    </row>
    <row r="2" spans="1:9" x14ac:dyDescent="0.2">
      <c r="A2" s="189">
        <v>1</v>
      </c>
      <c r="B2" s="189" t="s">
        <v>1558</v>
      </c>
      <c r="D2" s="189">
        <v>1</v>
      </c>
      <c r="E2" s="189" t="str">
        <f t="shared" ref="E2:E33" ca="1" si="0">OFFSET(F2,0,LangOffset,1,1)</f>
        <v># of women and men 15-49 who received an HIV test and know their results</v>
      </c>
      <c r="F2" s="189" t="s">
        <v>1759</v>
      </c>
      <c r="G2" s="190"/>
      <c r="H2" s="190"/>
      <c r="I2" s="190"/>
    </row>
    <row r="3" spans="1:9" x14ac:dyDescent="0.2">
      <c r="A3" s="189">
        <v>1</v>
      </c>
      <c r="B3" s="189" t="s">
        <v>1558</v>
      </c>
      <c r="D3" s="189">
        <v>2</v>
      </c>
      <c r="E3" s="189" t="str">
        <f t="shared" ca="1" si="0"/>
        <v># &amp; % of individuals from the targeted population reached through community outreach with a standardized HIV prevention intervention</v>
      </c>
      <c r="F3" s="189" t="s">
        <v>1760</v>
      </c>
      <c r="G3" s="190"/>
      <c r="H3" s="190"/>
      <c r="I3" s="190"/>
    </row>
    <row r="4" spans="1:9" x14ac:dyDescent="0.2">
      <c r="A4" s="189">
        <v>1</v>
      </c>
      <c r="B4" s="189" t="s">
        <v>1558</v>
      </c>
      <c r="D4" s="189">
        <v>3</v>
      </c>
      <c r="E4" s="189" t="str">
        <f t="shared" ca="1" si="0"/>
        <v xml:space="preserve">% of men 15-49 that are circumcised </v>
      </c>
      <c r="F4" s="189" t="s">
        <v>1761</v>
      </c>
      <c r="G4" s="190"/>
      <c r="H4" s="190"/>
      <c r="I4" s="190"/>
    </row>
    <row r="5" spans="1:9" x14ac:dyDescent="0.2">
      <c r="A5" s="189">
        <v>1</v>
      </c>
      <c r="B5" s="189" t="s">
        <v>1558</v>
      </c>
      <c r="D5" s="189">
        <v>19</v>
      </c>
      <c r="E5" s="189" t="str">
        <f ca="1">OFFSET(F5,0,LangOffset,1,1)</f>
        <v># &amp; % of orphaned and vulnerable children aged 0-17 years whose households received free basic external support in caring for the child according to national guidelines</v>
      </c>
      <c r="F5" s="189" t="s">
        <v>1775</v>
      </c>
      <c r="G5" s="190"/>
      <c r="H5" s="190"/>
      <c r="I5" s="190"/>
    </row>
    <row r="6" spans="1:9" x14ac:dyDescent="0.2">
      <c r="A6" s="189">
        <v>25</v>
      </c>
      <c r="B6" s="189" t="s">
        <v>1558</v>
      </c>
      <c r="D6" s="189">
        <v>4</v>
      </c>
      <c r="E6" s="189" t="str">
        <f t="shared" ca="1" si="0"/>
        <v># &amp; % of MSM reached with HIV prevention programs (defined package of services), report separately for TGs, if applicable</v>
      </c>
      <c r="F6" s="189" t="s">
        <v>1762</v>
      </c>
      <c r="G6" s="190"/>
      <c r="H6" s="190"/>
      <c r="I6" s="190"/>
    </row>
    <row r="7" spans="1:9" x14ac:dyDescent="0.2">
      <c r="A7" s="189">
        <v>25</v>
      </c>
      <c r="B7" s="189" t="s">
        <v>1558</v>
      </c>
      <c r="D7" s="189">
        <v>5</v>
      </c>
      <c r="E7" s="189" t="str">
        <f t="shared" ca="1" si="0"/>
        <v># &amp; % of MSM reached with individual and/or smaller group-level HIV preventive interventions that are based on evidence and/or meet the minimum standards required, report separately for TGs, if applicable</v>
      </c>
      <c r="F7" s="189" t="s">
        <v>1763</v>
      </c>
      <c r="G7" s="190"/>
      <c r="H7" s="190"/>
      <c r="I7" s="190"/>
    </row>
    <row r="8" spans="1:9" x14ac:dyDescent="0.2">
      <c r="A8" s="189">
        <v>25</v>
      </c>
      <c r="B8" s="189" t="s">
        <v>1558</v>
      </c>
      <c r="D8" s="189">
        <v>6</v>
      </c>
      <c r="E8" s="189" t="str">
        <f t="shared" ca="1" si="0"/>
        <v># &amp; % of MSM who received an HIV test and who know the results, report separately for TGs, if applicable</v>
      </c>
      <c r="F8" s="189" t="s">
        <v>1764</v>
      </c>
      <c r="G8" s="190"/>
      <c r="H8" s="190"/>
      <c r="I8" s="190"/>
    </row>
    <row r="9" spans="1:9" x14ac:dyDescent="0.2">
      <c r="A9" s="189">
        <v>26</v>
      </c>
      <c r="B9" s="231" t="s">
        <v>1558</v>
      </c>
      <c r="D9" s="189">
        <v>7</v>
      </c>
      <c r="E9" s="189" t="str">
        <f ca="1">OFFSET(F9,0,LangOffset,1,1)</f>
        <v xml:space="preserve"># &amp; % of SWs reached with HIV prevention programs- defined package of services </v>
      </c>
      <c r="F9" s="231" t="s">
        <v>1928</v>
      </c>
      <c r="G9" s="190"/>
      <c r="H9" s="190"/>
      <c r="I9" s="190"/>
    </row>
    <row r="10" spans="1:9" x14ac:dyDescent="0.2">
      <c r="A10" s="189">
        <v>26</v>
      </c>
      <c r="B10" s="189" t="s">
        <v>1558</v>
      </c>
      <c r="D10" s="189">
        <v>8</v>
      </c>
      <c r="E10" s="189" t="str">
        <f t="shared" ca="1" si="0"/>
        <v># &amp; % of SWs reached with individual and/or smaller group-level HIV preventive interventions that are based on evidence and/or meet the minimum standards required</v>
      </c>
      <c r="F10" s="189" t="s">
        <v>1765</v>
      </c>
      <c r="G10" s="190"/>
      <c r="H10" s="190"/>
      <c r="I10" s="190"/>
    </row>
    <row r="11" spans="1:9" x14ac:dyDescent="0.2">
      <c r="A11" s="189">
        <v>26</v>
      </c>
      <c r="B11" s="189" t="s">
        <v>1558</v>
      </c>
      <c r="D11" s="189">
        <v>9</v>
      </c>
      <c r="E11" s="189" t="str">
        <f t="shared" ca="1" si="0"/>
        <v># &amp; % of SWs that received an HIV test and who know the results</v>
      </c>
      <c r="F11" s="231" t="s">
        <v>1929</v>
      </c>
      <c r="G11" s="190"/>
      <c r="H11" s="190"/>
      <c r="I11" s="190"/>
    </row>
    <row r="12" spans="1:9" x14ac:dyDescent="0.2">
      <c r="A12" s="189">
        <v>27</v>
      </c>
      <c r="B12" s="189" t="s">
        <v>1558</v>
      </c>
      <c r="D12" s="189">
        <v>10</v>
      </c>
      <c r="E12" s="189" t="str">
        <f t="shared" ca="1" si="0"/>
        <v xml:space="preserve"># &amp; % of PWID reached with HIV prevention programs- defined package of services </v>
      </c>
      <c r="F12" s="189" t="s">
        <v>1766</v>
      </c>
      <c r="G12" s="190"/>
      <c r="H12" s="190"/>
      <c r="I12" s="190"/>
    </row>
    <row r="13" spans="1:9" x14ac:dyDescent="0.2">
      <c r="A13" s="189">
        <v>27</v>
      </c>
      <c r="B13" s="189" t="s">
        <v>1558</v>
      </c>
      <c r="D13" s="189">
        <v>11</v>
      </c>
      <c r="E13" s="189" t="str">
        <f t="shared" ca="1" si="0"/>
        <v># &amp; % of PWID reached with individual and/or smaller group-level HIV preventive interventions that are based on evidence and/or meet the minimum standards required</v>
      </c>
      <c r="F13" s="189" t="s">
        <v>1767</v>
      </c>
      <c r="G13" s="190"/>
      <c r="H13" s="190"/>
      <c r="I13" s="190"/>
    </row>
    <row r="14" spans="1:9" x14ac:dyDescent="0.2">
      <c r="A14" s="189">
        <v>27</v>
      </c>
      <c r="B14" s="189" t="s">
        <v>1558</v>
      </c>
      <c r="D14" s="189">
        <v>12</v>
      </c>
      <c r="E14" s="189" t="str">
        <f t="shared" ca="1" si="0"/>
        <v xml:space="preserve"># &amp; % of PWID that received an HIV test and who know the results </v>
      </c>
      <c r="F14" s="189" t="s">
        <v>1768</v>
      </c>
      <c r="G14" s="190"/>
      <c r="H14" s="190"/>
      <c r="I14" s="190"/>
    </row>
    <row r="15" spans="1:9" x14ac:dyDescent="0.2">
      <c r="A15" s="189">
        <v>27</v>
      </c>
      <c r="B15" s="189" t="s">
        <v>1558</v>
      </c>
      <c r="D15" s="189">
        <v>13</v>
      </c>
      <c r="E15" s="189" t="str">
        <f t="shared" ca="1" si="0"/>
        <v># &amp; % of PWID reached with needle and syringe programmes</v>
      </c>
      <c r="F15" s="189" t="s">
        <v>1769</v>
      </c>
      <c r="G15" s="190"/>
      <c r="H15" s="190"/>
      <c r="I15" s="190"/>
    </row>
    <row r="16" spans="1:9" x14ac:dyDescent="0.2">
      <c r="A16" s="189">
        <v>27</v>
      </c>
      <c r="B16" s="189" t="s">
        <v>1558</v>
      </c>
      <c r="D16" s="189">
        <v>14</v>
      </c>
      <c r="E16" s="189" t="str">
        <f t="shared" ca="1" si="0"/>
        <v>Number of needles and syringes distributed per person who inject drugs per year by needle and syringe programmes</v>
      </c>
      <c r="F16" s="189" t="s">
        <v>1770</v>
      </c>
      <c r="G16" s="190"/>
      <c r="H16" s="190"/>
      <c r="I16" s="190"/>
    </row>
    <row r="17" spans="1:9" x14ac:dyDescent="0.2">
      <c r="A17" s="189">
        <v>27</v>
      </c>
      <c r="B17" s="189" t="s">
        <v>1558</v>
      </c>
      <c r="D17" s="189">
        <v>15</v>
      </c>
      <c r="E17" s="189" t="str">
        <f t="shared" ca="1" si="0"/>
        <v># &amp; % of PWID on opioid substitution therapy</v>
      </c>
      <c r="F17" s="189" t="s">
        <v>1771</v>
      </c>
      <c r="G17" s="190"/>
      <c r="H17" s="190"/>
      <c r="I17" s="190"/>
    </row>
    <row r="18" spans="1:9" x14ac:dyDescent="0.2">
      <c r="A18" s="189">
        <v>28</v>
      </c>
      <c r="B18" s="189" t="s">
        <v>1558</v>
      </c>
      <c r="D18" s="189">
        <v>16</v>
      </c>
      <c r="E18" s="189" t="str">
        <f t="shared" ca="1" si="0"/>
        <v xml:space="preserve"># and % of Other Populations (specify) reached with HIV prevention programs- defined package of services </v>
      </c>
      <c r="F18" s="189" t="s">
        <v>1772</v>
      </c>
      <c r="G18" s="190"/>
      <c r="H18" s="190"/>
      <c r="I18" s="190"/>
    </row>
    <row r="19" spans="1:9" x14ac:dyDescent="0.2">
      <c r="A19" s="189">
        <v>28</v>
      </c>
      <c r="B19" s="189" t="s">
        <v>1558</v>
      </c>
      <c r="D19" s="189">
        <v>17</v>
      </c>
      <c r="E19" s="189" t="str">
        <f t="shared" ca="1" si="0"/>
        <v># &amp; % of Other Populations (specify) reached with individual and/or smaller group-level HIV preventive interventions that are based on evidence and/or meet the minimum standards required</v>
      </c>
      <c r="F19" s="189" t="s">
        <v>1773</v>
      </c>
      <c r="G19" s="190"/>
      <c r="H19" s="190"/>
      <c r="I19" s="190"/>
    </row>
    <row r="20" spans="1:9" x14ac:dyDescent="0.2">
      <c r="A20" s="189">
        <v>28</v>
      </c>
      <c r="B20" s="189" t="s">
        <v>1558</v>
      </c>
      <c r="D20" s="189">
        <v>18</v>
      </c>
      <c r="E20" s="189" t="str">
        <f t="shared" ca="1" si="0"/>
        <v xml:space="preserve"># and % of Other Populations (specify) that received an HIV test  and who know the results </v>
      </c>
      <c r="F20" s="189" t="s">
        <v>1774</v>
      </c>
      <c r="G20" s="190"/>
      <c r="H20" s="190"/>
      <c r="I20" s="190"/>
    </row>
    <row r="21" spans="1:9" x14ac:dyDescent="0.2">
      <c r="A21" s="189">
        <v>29</v>
      </c>
      <c r="B21" s="189" t="s">
        <v>1558</v>
      </c>
      <c r="D21" s="189">
        <v>20</v>
      </c>
      <c r="E21" s="189" t="str">
        <f ca="1">OFFSET(F21,0,LangOffset,1,1)</f>
        <v># &amp; % of young people aged 10-24 years reached by life-skills based HIV education in schools</v>
      </c>
      <c r="F21" s="189" t="s">
        <v>1776</v>
      </c>
      <c r="G21" s="190"/>
      <c r="H21" s="190"/>
      <c r="I21" s="190"/>
    </row>
    <row r="22" spans="1:9" x14ac:dyDescent="0.2">
      <c r="A22" s="189">
        <v>2</v>
      </c>
      <c r="B22" s="189" t="s">
        <v>1558</v>
      </c>
      <c r="C22" s="189" t="s">
        <v>985</v>
      </c>
      <c r="D22" s="189">
        <v>21</v>
      </c>
      <c r="E22" s="189" t="str">
        <f t="shared" ca="1" si="0"/>
        <v xml:space="preserve"># &amp; % of HIV-positive pregnant women who received anti-retrovirals to reduce the risk of mother-to-child transmission </v>
      </c>
      <c r="F22" s="189" t="s">
        <v>1777</v>
      </c>
      <c r="G22" s="190"/>
      <c r="H22" s="190"/>
      <c r="I22" s="190"/>
    </row>
    <row r="23" spans="1:9" x14ac:dyDescent="0.2">
      <c r="A23" s="189">
        <v>2</v>
      </c>
      <c r="B23" s="189" t="s">
        <v>1558</v>
      </c>
      <c r="C23" s="189" t="s">
        <v>985</v>
      </c>
      <c r="D23" s="189">
        <v>22</v>
      </c>
      <c r="E23" s="189" t="str">
        <f t="shared" ca="1" si="0"/>
        <v># &amp; % of pregnant women who know their HIV status</v>
      </c>
      <c r="F23" s="189" t="s">
        <v>1778</v>
      </c>
      <c r="G23" s="190"/>
      <c r="H23" s="190"/>
      <c r="I23" s="190"/>
    </row>
    <row r="24" spans="1:9" x14ac:dyDescent="0.2">
      <c r="A24" s="189">
        <v>2</v>
      </c>
      <c r="B24" s="189" t="s">
        <v>1558</v>
      </c>
      <c r="C24" s="189" t="s">
        <v>985</v>
      </c>
      <c r="D24" s="189">
        <v>23</v>
      </c>
      <c r="E24" s="189" t="str">
        <f t="shared" ca="1" si="0"/>
        <v># &amp; % of infants born to HIV-infected women who receive a virological test for HIV within 2 months of birth</v>
      </c>
      <c r="F24" s="189" t="s">
        <v>1779</v>
      </c>
      <c r="G24" s="190"/>
      <c r="H24" s="190"/>
      <c r="I24" s="190"/>
    </row>
    <row r="25" spans="1:9" x14ac:dyDescent="0.2">
      <c r="A25" s="189">
        <v>3</v>
      </c>
      <c r="B25" s="189" t="s">
        <v>1558</v>
      </c>
      <c r="C25" s="189" t="s">
        <v>670</v>
      </c>
      <c r="D25" s="189">
        <v>24</v>
      </c>
      <c r="E25" s="189" t="str">
        <f t="shared" ca="1" si="0"/>
        <v># &amp; % of eligible adults and children currently receiving antiretroviral therapy (disaggregated by age and sex)</v>
      </c>
      <c r="F25" s="189" t="s">
        <v>1780</v>
      </c>
      <c r="G25" s="190"/>
      <c r="H25" s="190"/>
      <c r="I25" s="190"/>
    </row>
    <row r="26" spans="1:9" x14ac:dyDescent="0.2">
      <c r="A26" s="189">
        <v>3</v>
      </c>
      <c r="B26" s="189" t="s">
        <v>1558</v>
      </c>
      <c r="C26" s="189" t="s">
        <v>670</v>
      </c>
      <c r="D26" s="189">
        <v>25</v>
      </c>
      <c r="E26" s="189" t="str">
        <f t="shared" ca="1" si="0"/>
        <v xml:space="preserve"># &amp; % of health facilities dispensing antiretroviral therapy that have experienced a stock-out of at least one required antiretroviral drug in the last 12 month                                                            </v>
      </c>
      <c r="F26" s="189" t="s">
        <v>1781</v>
      </c>
      <c r="G26" s="190"/>
      <c r="H26" s="190"/>
      <c r="I26" s="190"/>
    </row>
    <row r="27" spans="1:9" x14ac:dyDescent="0.2">
      <c r="A27" s="189">
        <v>3</v>
      </c>
      <c r="B27" s="189" t="s">
        <v>1558</v>
      </c>
      <c r="C27" s="189" t="s">
        <v>670</v>
      </c>
      <c r="D27" s="189">
        <v>26</v>
      </c>
      <c r="E27" s="189" t="str">
        <f t="shared" ca="1" si="0"/>
        <v># &amp; % of adults and children enrolled in HIV care who had TB status assessed and recorded during their last visit during the reporting period among all adults and children enrolled in HIV care and seen for care during the reporting period</v>
      </c>
      <c r="F27" s="189" t="s">
        <v>1782</v>
      </c>
      <c r="G27" s="190"/>
      <c r="H27" s="190"/>
      <c r="I27" s="190"/>
    </row>
    <row r="28" spans="1:9" x14ac:dyDescent="0.2">
      <c r="A28" s="189">
        <v>3</v>
      </c>
      <c r="B28" s="189" t="s">
        <v>1558</v>
      </c>
      <c r="C28" s="189" t="s">
        <v>670</v>
      </c>
      <c r="D28" s="189">
        <v>27</v>
      </c>
      <c r="E28" s="189" t="str">
        <f t="shared" ca="1" si="0"/>
        <v># &amp; % of adults and children newly enrolled in HIV care who start treatment of latent TB infection (IPT)</v>
      </c>
      <c r="F28" s="189" t="s">
        <v>1783</v>
      </c>
      <c r="G28" s="190"/>
      <c r="H28" s="190"/>
      <c r="I28" s="190"/>
    </row>
    <row r="29" spans="1:9" x14ac:dyDescent="0.2">
      <c r="A29" s="189">
        <v>3</v>
      </c>
      <c r="B29" s="189" t="s">
        <v>1558</v>
      </c>
      <c r="C29" s="189" t="s">
        <v>670</v>
      </c>
      <c r="D29" s="189">
        <v>28</v>
      </c>
      <c r="E29" s="189" t="str">
        <f t="shared" ca="1" si="0"/>
        <v xml:space="preserve"># &amp; % of TB patients with known HIV status: TB patients registered during the reporting period who had an HIV test result recorded in the TB register among the total number of TB patients registered during the reporting period </v>
      </c>
      <c r="F29" s="189" t="s">
        <v>1784</v>
      </c>
      <c r="G29" s="190"/>
      <c r="H29" s="190"/>
      <c r="I29" s="190"/>
    </row>
    <row r="30" spans="1:9" x14ac:dyDescent="0.2">
      <c r="A30" s="189">
        <v>3</v>
      </c>
      <c r="B30" s="189" t="s">
        <v>1558</v>
      </c>
      <c r="C30" s="189" t="s">
        <v>670</v>
      </c>
      <c r="D30" s="189">
        <v>29</v>
      </c>
      <c r="E30" s="189" t="str">
        <f t="shared" ca="1" si="0"/>
        <v># &amp; % of HIV-positive TB patients given anti-retroviral therapy during TB treatment</v>
      </c>
      <c r="F30" s="189" t="s">
        <v>1785</v>
      </c>
      <c r="G30" s="190"/>
      <c r="H30" s="190"/>
      <c r="I30" s="190"/>
    </row>
    <row r="31" spans="1:9" x14ac:dyDescent="0.2">
      <c r="A31" s="189">
        <v>4</v>
      </c>
      <c r="B31" s="189" t="s">
        <v>1558</v>
      </c>
      <c r="C31" s="189" t="s">
        <v>1570</v>
      </c>
      <c r="D31" s="189">
        <v>30</v>
      </c>
      <c r="E31" s="189" t="str">
        <f t="shared" ca="1" si="0"/>
        <v># &amp; % of reporting units submitting timely reports according to national guidelines</v>
      </c>
      <c r="F31" s="189" t="s">
        <v>1786</v>
      </c>
      <c r="G31" s="190"/>
      <c r="H31" s="190"/>
      <c r="I31" s="190"/>
    </row>
    <row r="32" spans="1:9" x14ac:dyDescent="0.2">
      <c r="A32" s="189">
        <v>6</v>
      </c>
      <c r="B32" s="189" t="s">
        <v>1561</v>
      </c>
      <c r="C32" s="189" t="s">
        <v>1572</v>
      </c>
      <c r="D32" s="189">
        <v>31</v>
      </c>
      <c r="E32" s="189" t="str">
        <f t="shared" ca="1" si="0"/>
        <v xml:space="preserve"># of notified cases of bacteriologically confirmed TB </v>
      </c>
      <c r="F32" s="189" t="s">
        <v>1787</v>
      </c>
      <c r="G32" s="190"/>
      <c r="H32" s="190"/>
      <c r="I32" s="190"/>
    </row>
    <row r="33" spans="1:9" x14ac:dyDescent="0.2">
      <c r="A33" s="189">
        <v>6</v>
      </c>
      <c r="B33" s="189" t="s">
        <v>1561</v>
      </c>
      <c r="C33" s="189" t="s">
        <v>1572</v>
      </c>
      <c r="D33" s="189">
        <v>32</v>
      </c>
      <c r="E33" s="189" t="str">
        <f t="shared" ca="1" si="0"/>
        <v># of notified cases of all forms of TB  (bacteriologically confirmed plus clinically diagnosed)</v>
      </c>
      <c r="F33" s="189" t="s">
        <v>1788</v>
      </c>
      <c r="G33" s="190"/>
      <c r="H33" s="190"/>
      <c r="I33" s="190"/>
    </row>
    <row r="34" spans="1:9" x14ac:dyDescent="0.2">
      <c r="A34" s="189">
        <v>6</v>
      </c>
      <c r="B34" s="189" t="s">
        <v>1561</v>
      </c>
      <c r="C34" s="189" t="s">
        <v>1572</v>
      </c>
      <c r="D34" s="189">
        <v>33</v>
      </c>
      <c r="E34" s="189" t="str">
        <f t="shared" ref="E34:E65" ca="1" si="1">OFFSET(F34,0,LangOffset,1,1)</f>
        <v xml:space="preserve"># &amp; % of laboratories performing microscopy that show adequate performance on External Quality Assurance </v>
      </c>
      <c r="F34" s="189" t="s">
        <v>1789</v>
      </c>
      <c r="G34" s="190"/>
      <c r="H34" s="190"/>
      <c r="I34" s="190"/>
    </row>
    <row r="35" spans="1:9" x14ac:dyDescent="0.2">
      <c r="A35" s="189">
        <v>6</v>
      </c>
      <c r="B35" s="189" t="s">
        <v>1561</v>
      </c>
      <c r="C35" s="189" t="s">
        <v>1572</v>
      </c>
      <c r="D35" s="189">
        <v>34</v>
      </c>
      <c r="E35" s="189" t="str">
        <f t="shared" ca="1" si="1"/>
        <v># &amp; % of bacteriologically confirmed cases successfully treated (cured plus completed treatment) among the bacteriologically confirmed TB cases registered during a specified period.</v>
      </c>
      <c r="F35" s="189" t="s">
        <v>1790</v>
      </c>
      <c r="G35" s="190"/>
      <c r="H35" s="190"/>
      <c r="I35" s="190"/>
    </row>
    <row r="36" spans="1:9" x14ac:dyDescent="0.2">
      <c r="A36" s="189">
        <v>6</v>
      </c>
      <c r="B36" s="189" t="s">
        <v>1561</v>
      </c>
      <c r="C36" s="189" t="s">
        <v>1572</v>
      </c>
      <c r="D36" s="189">
        <v>35</v>
      </c>
      <c r="E36" s="189" t="str">
        <f t="shared" ca="1" si="1"/>
        <v xml:space="preserve"># of children &lt;5 in contact with TB patients who began IPT </v>
      </c>
      <c r="F36" s="189" t="s">
        <v>1791</v>
      </c>
      <c r="G36" s="190"/>
      <c r="H36" s="190"/>
      <c r="I36" s="190"/>
    </row>
    <row r="37" spans="1:9" x14ac:dyDescent="0.2">
      <c r="A37" s="189">
        <v>6</v>
      </c>
      <c r="B37" s="189" t="s">
        <v>1561</v>
      </c>
      <c r="C37" s="189" t="s">
        <v>1572</v>
      </c>
      <c r="D37" s="189">
        <v>36</v>
      </c>
      <c r="E37" s="189" t="str">
        <f t="shared" ca="1" si="1"/>
        <v># &amp; % of reporting units (districts or basic management units) reporting no stock-out of first-line anti-TB drugs on the last day of the quarter</v>
      </c>
      <c r="F37" s="189" t="s">
        <v>1792</v>
      </c>
      <c r="G37" s="190"/>
      <c r="H37" s="190"/>
      <c r="I37" s="190"/>
    </row>
    <row r="38" spans="1:9" x14ac:dyDescent="0.2">
      <c r="A38" s="189">
        <v>6</v>
      </c>
      <c r="B38" s="189" t="s">
        <v>1561</v>
      </c>
      <c r="C38" s="189" t="s">
        <v>1572</v>
      </c>
      <c r="D38" s="189">
        <v>37</v>
      </c>
      <c r="E38" s="189" t="str">
        <f t="shared" ca="1" si="1"/>
        <v># &amp; % of notified TB cases (all forms) contributed by non NTP providers among all TB cases notified in the PPM implementation areas</v>
      </c>
      <c r="F38" s="189" t="s">
        <v>1793</v>
      </c>
      <c r="G38" s="190"/>
      <c r="H38" s="190"/>
      <c r="I38" s="190"/>
    </row>
    <row r="39" spans="1:9" x14ac:dyDescent="0.2">
      <c r="A39" s="189">
        <v>6</v>
      </c>
      <c r="B39" s="189" t="s">
        <v>1561</v>
      </c>
      <c r="C39" s="189" t="s">
        <v>1572</v>
      </c>
      <c r="D39" s="189">
        <v>38</v>
      </c>
      <c r="E39" s="189" t="str">
        <f t="shared" ca="1" si="1"/>
        <v xml:space="preserve"># &amp; % of notified TB cases (all forms) contributed by community health workers and community volunteers among all TB cases notified in the Basic Management Unit </v>
      </c>
      <c r="F39" s="189" t="s">
        <v>1794</v>
      </c>
      <c r="G39" s="190"/>
      <c r="H39" s="190"/>
      <c r="I39" s="190"/>
    </row>
    <row r="40" spans="1:9" x14ac:dyDescent="0.2">
      <c r="A40" s="189">
        <v>6</v>
      </c>
      <c r="B40" s="189" t="s">
        <v>1561</v>
      </c>
      <c r="C40" s="189" t="s">
        <v>1572</v>
      </c>
      <c r="D40" s="189">
        <v>39</v>
      </c>
      <c r="E40" s="189" t="str">
        <f t="shared" ca="1" si="1"/>
        <v xml:space="preserve"># of TB cases (all forms) notified among high risk groups (e.g. prisons) to the national health authorities during a specified period  </v>
      </c>
      <c r="F40" s="232" t="s">
        <v>1930</v>
      </c>
      <c r="G40" s="190"/>
      <c r="H40" s="190"/>
      <c r="I40" s="190"/>
    </row>
    <row r="41" spans="1:9" x14ac:dyDescent="0.2">
      <c r="A41" s="189">
        <v>7</v>
      </c>
      <c r="B41" s="189" t="s">
        <v>1561</v>
      </c>
      <c r="C41" s="189" t="s">
        <v>1573</v>
      </c>
      <c r="D41" s="189">
        <v>40</v>
      </c>
      <c r="E41" s="189" t="str">
        <f t="shared" ca="1" si="1"/>
        <v xml:space="preserve"># &amp; % of TB patients with known HIV status: TB patients registered during the reporting period who had an HIV test result recorded in the TB register among the total number of TB patients registered during the reporting period </v>
      </c>
      <c r="F41" s="189" t="s">
        <v>1784</v>
      </c>
      <c r="G41" s="190"/>
      <c r="H41" s="190"/>
      <c r="I41" s="190"/>
    </row>
    <row r="42" spans="1:9" x14ac:dyDescent="0.2">
      <c r="A42" s="189">
        <v>7</v>
      </c>
      <c r="B42" s="189" t="s">
        <v>1561</v>
      </c>
      <c r="C42" s="189" t="s">
        <v>1573</v>
      </c>
      <c r="D42" s="189">
        <v>41</v>
      </c>
      <c r="E42" s="189" t="str">
        <f t="shared" ca="1" si="1"/>
        <v># &amp; % of HIV-positive TB patients given anti-retroviral therapy during TB treatment</v>
      </c>
      <c r="F42" s="232" t="s">
        <v>1785</v>
      </c>
      <c r="G42" s="190"/>
      <c r="H42" s="190"/>
      <c r="I42" s="190"/>
    </row>
    <row r="43" spans="1:9" x14ac:dyDescent="0.2">
      <c r="A43" s="189">
        <v>7</v>
      </c>
      <c r="B43" s="189" t="s">
        <v>1561</v>
      </c>
      <c r="C43" s="189" t="s">
        <v>1573</v>
      </c>
      <c r="D43" s="189">
        <v>42</v>
      </c>
      <c r="E43" s="189" t="str">
        <f t="shared" ca="1" si="1"/>
        <v xml:space="preserve"># &amp; % of adults and children enrolled in HIV care who had TB status assessed and recorded during their last visit during the reporting period among all adults and children enrolled in HIV care and seen for care during the reporting period </v>
      </c>
      <c r="F43" s="189" t="s">
        <v>1795</v>
      </c>
      <c r="G43" s="190"/>
      <c r="H43" s="190"/>
      <c r="I43" s="190"/>
    </row>
    <row r="44" spans="1:9" x14ac:dyDescent="0.2">
      <c r="A44" s="189">
        <v>7</v>
      </c>
      <c r="B44" s="189" t="s">
        <v>1561</v>
      </c>
      <c r="C44" s="189" t="s">
        <v>1573</v>
      </c>
      <c r="D44" s="189">
        <v>43</v>
      </c>
      <c r="E44" s="189" t="str">
        <f t="shared" ca="1" si="1"/>
        <v xml:space="preserve"># &amp; % of adults and children newly enrolled in HIV care who start treatment for latent TB infection (isoniazid preventive therapy) among the total number of adults and children newly enrolled in HIV care during the reporting period </v>
      </c>
      <c r="F44" s="189" t="s">
        <v>1796</v>
      </c>
      <c r="G44" s="190"/>
      <c r="H44" s="190"/>
      <c r="I44" s="190"/>
    </row>
    <row r="45" spans="1:9" x14ac:dyDescent="0.2">
      <c r="A45" s="189">
        <v>8</v>
      </c>
      <c r="B45" s="189" t="s">
        <v>1561</v>
      </c>
      <c r="C45" s="189" t="s">
        <v>1574</v>
      </c>
      <c r="D45" s="189">
        <v>44</v>
      </c>
      <c r="E45" s="189" t="str">
        <f t="shared" ca="1" si="1"/>
        <v xml:space="preserve"># of  bacteriologically confirmed drug resistant TB (RR-TB and/or MDR-TB) notified to the national TB program  </v>
      </c>
      <c r="F45" s="232" t="s">
        <v>1931</v>
      </c>
      <c r="G45" s="190"/>
      <c r="H45" s="190"/>
      <c r="I45" s="190"/>
    </row>
    <row r="46" spans="1:9" x14ac:dyDescent="0.2">
      <c r="A46" s="189">
        <v>8</v>
      </c>
      <c r="B46" s="189" t="s">
        <v>1561</v>
      </c>
      <c r="C46" s="189" t="s">
        <v>1574</v>
      </c>
      <c r="D46" s="189">
        <v>45</v>
      </c>
      <c r="E46" s="189" t="str">
        <f t="shared" ca="1" si="1"/>
        <v xml:space="preserve"># &amp; % of laboratories showing at least 95% proficiency for isoniazid and rifampicin drug susceptibility testing among the total number of laboratories that undertake drug susceptibility testing during the reporting period </v>
      </c>
      <c r="F46" s="189" t="s">
        <v>1797</v>
      </c>
      <c r="G46" s="190"/>
      <c r="H46" s="190"/>
      <c r="I46" s="190"/>
    </row>
    <row r="47" spans="1:9" x14ac:dyDescent="0.2">
      <c r="A47" s="189">
        <v>8</v>
      </c>
      <c r="B47" s="189" t="s">
        <v>1561</v>
      </c>
      <c r="C47" s="189" t="s">
        <v>1574</v>
      </c>
      <c r="D47" s="189">
        <v>46</v>
      </c>
      <c r="E47" s="189" t="str">
        <f t="shared" ca="1" si="1"/>
        <v xml:space="preserve">#  of cases with bacteriologically confirmed drug resistant TB cases (RR-TB and/or MDR-TB) who began second line treatment </v>
      </c>
      <c r="F47" s="189" t="s">
        <v>1798</v>
      </c>
      <c r="G47" s="190"/>
      <c r="H47" s="190"/>
      <c r="I47" s="190"/>
    </row>
    <row r="48" spans="1:9" x14ac:dyDescent="0.2">
      <c r="A48" s="189">
        <v>8</v>
      </c>
      <c r="B48" s="189" t="s">
        <v>1561</v>
      </c>
      <c r="C48" s="189" t="s">
        <v>1574</v>
      </c>
      <c r="D48" s="189">
        <v>47</v>
      </c>
      <c r="E48" s="189" t="str">
        <f t="shared" ca="1" si="1"/>
        <v># of presumptive cases of drug-resistant TB (RR-TB and/or MDR-TB) that began second-line treatment</v>
      </c>
      <c r="F48" s="189" t="s">
        <v>1799</v>
      </c>
      <c r="G48" s="190"/>
      <c r="H48" s="190"/>
      <c r="I48" s="190"/>
    </row>
    <row r="49" spans="1:9" x14ac:dyDescent="0.2">
      <c r="A49" s="189">
        <v>10</v>
      </c>
      <c r="B49" s="189" t="s">
        <v>1561</v>
      </c>
      <c r="C49" s="189" t="s">
        <v>1570</v>
      </c>
      <c r="D49" s="189">
        <v>48</v>
      </c>
      <c r="E49" s="189" t="str">
        <f t="shared" ca="1" si="1"/>
        <v># &amp; % of reporting units submitting timely reports according to national guidelines</v>
      </c>
      <c r="F49" s="189" t="s">
        <v>1786</v>
      </c>
      <c r="G49" s="190"/>
      <c r="H49" s="190"/>
      <c r="I49" s="190"/>
    </row>
    <row r="50" spans="1:9" x14ac:dyDescent="0.2">
      <c r="A50" s="189">
        <v>12</v>
      </c>
      <c r="B50" s="189" t="s">
        <v>1562</v>
      </c>
      <c r="C50" s="189" t="s">
        <v>1576</v>
      </c>
      <c r="D50" s="189">
        <v>49</v>
      </c>
      <c r="E50" s="189" t="str">
        <f t="shared" ca="1" si="1"/>
        <v>Number of ITNs/LLINs distributed to at-risk populations through mass campaigns</v>
      </c>
      <c r="F50" s="189" t="s">
        <v>1800</v>
      </c>
      <c r="G50" s="190"/>
      <c r="H50" s="190"/>
      <c r="I50" s="190"/>
    </row>
    <row r="51" spans="1:9" x14ac:dyDescent="0.2">
      <c r="A51" s="189">
        <v>12</v>
      </c>
      <c r="B51" s="189" t="s">
        <v>1562</v>
      </c>
      <c r="C51" s="189" t="s">
        <v>1576</v>
      </c>
      <c r="D51" s="189">
        <v>50</v>
      </c>
      <c r="E51" s="189" t="str">
        <f t="shared" ca="1" si="1"/>
        <v># &amp; % of population at risk potentially covered by ITNs distributed (# &amp; %)</v>
      </c>
      <c r="F51" s="189" t="s">
        <v>1801</v>
      </c>
      <c r="G51" s="190"/>
      <c r="H51" s="190"/>
      <c r="I51" s="190"/>
    </row>
    <row r="52" spans="1:9" x14ac:dyDescent="0.2">
      <c r="A52" s="189">
        <v>12</v>
      </c>
      <c r="B52" s="189" t="s">
        <v>1562</v>
      </c>
      <c r="C52" s="189" t="s">
        <v>1576</v>
      </c>
      <c r="D52" s="189">
        <v>51</v>
      </c>
      <c r="E52" s="189" t="str">
        <f t="shared" ca="1" si="1"/>
        <v>Number of ITNs/LLINs distributed to target populations through ANC, EPI etc.</v>
      </c>
      <c r="F52" s="189" t="s">
        <v>1802</v>
      </c>
      <c r="G52" s="190"/>
      <c r="H52" s="190"/>
      <c r="I52" s="190"/>
    </row>
    <row r="53" spans="1:9" x14ac:dyDescent="0.2">
      <c r="A53" s="189">
        <v>12</v>
      </c>
      <c r="B53" s="189" t="s">
        <v>1562</v>
      </c>
      <c r="C53" s="189" t="s">
        <v>1576</v>
      </c>
      <c r="D53" s="189">
        <v>52</v>
      </c>
      <c r="E53" s="189" t="str">
        <f t="shared" ca="1" si="1"/>
        <v># &amp; % of targeted risk groups receiving ITNs - pregnant women, children &lt;5, migrants, etc.</v>
      </c>
      <c r="F53" s="189" t="s">
        <v>1803</v>
      </c>
      <c r="G53" s="190"/>
      <c r="H53" s="190"/>
      <c r="I53" s="190"/>
    </row>
    <row r="54" spans="1:9" x14ac:dyDescent="0.2">
      <c r="A54" s="189">
        <v>12</v>
      </c>
      <c r="B54" s="189" t="s">
        <v>1562</v>
      </c>
      <c r="C54" s="189" t="s">
        <v>1576</v>
      </c>
      <c r="D54" s="189">
        <v>53</v>
      </c>
      <c r="E54" s="189" t="str">
        <f t="shared" ca="1" si="1"/>
        <v># &amp; % of households in targeted areas that received IRS in the last 12 months</v>
      </c>
      <c r="F54" s="189" t="s">
        <v>1804</v>
      </c>
      <c r="G54" s="190"/>
      <c r="H54" s="190"/>
      <c r="I54" s="190"/>
    </row>
    <row r="55" spans="1:9" x14ac:dyDescent="0.2">
      <c r="A55" s="189">
        <v>12</v>
      </c>
      <c r="B55" s="189" t="s">
        <v>1562</v>
      </c>
      <c r="C55" s="189" t="s">
        <v>1576</v>
      </c>
      <c r="D55" s="189">
        <v>54</v>
      </c>
      <c r="E55" s="189" t="str">
        <f t="shared" ca="1" si="1"/>
        <v># &amp; % of population protected by IRS within the last 12 months</v>
      </c>
      <c r="F55" s="189" t="s">
        <v>1805</v>
      </c>
      <c r="G55" s="190"/>
      <c r="H55" s="190"/>
      <c r="I55" s="190"/>
    </row>
    <row r="56" spans="1:9" x14ac:dyDescent="0.2">
      <c r="A56" s="189">
        <v>13</v>
      </c>
      <c r="B56" s="189" t="s">
        <v>1562</v>
      </c>
      <c r="C56" s="189" t="s">
        <v>1577</v>
      </c>
      <c r="D56" s="189">
        <v>55</v>
      </c>
      <c r="E56" s="189" t="str">
        <f t="shared" ca="1" si="1"/>
        <v xml:space="preserve"># &amp; % of suspected malaria cases that receive a parasitological test </v>
      </c>
      <c r="F56" s="189" t="s">
        <v>1806</v>
      </c>
      <c r="G56" s="190"/>
      <c r="H56" s="190"/>
      <c r="I56" s="190"/>
    </row>
    <row r="57" spans="1:9" x14ac:dyDescent="0.2">
      <c r="A57" s="189">
        <v>13</v>
      </c>
      <c r="B57" s="189" t="s">
        <v>1562</v>
      </c>
      <c r="C57" s="189" t="s">
        <v>1577</v>
      </c>
      <c r="D57" s="189">
        <v>56</v>
      </c>
      <c r="E57" s="189" t="str">
        <f t="shared" ca="1" si="1"/>
        <v># &amp; % of confirmed malaria cases that received first-line antimalarial treatment according to national policy (disaggregated by sex)</v>
      </c>
      <c r="F57" s="189" t="s">
        <v>1807</v>
      </c>
      <c r="G57" s="190"/>
      <c r="H57" s="190"/>
      <c r="I57" s="190"/>
    </row>
    <row r="58" spans="1:9" x14ac:dyDescent="0.2">
      <c r="A58" s="189">
        <v>13</v>
      </c>
      <c r="B58" s="189" t="s">
        <v>1562</v>
      </c>
      <c r="C58" s="189" t="s">
        <v>1577</v>
      </c>
      <c r="D58" s="189">
        <v>57</v>
      </c>
      <c r="E58" s="189" t="str">
        <f t="shared" ca="1" si="1"/>
        <v># &amp; % of public sector health facilities or private sector sites without stock-outs of key commodities by month (also report on community health workers with no stock-outs)</v>
      </c>
      <c r="F58" s="189" t="s">
        <v>1808</v>
      </c>
      <c r="G58" s="190"/>
      <c r="H58" s="190"/>
      <c r="I58" s="190"/>
    </row>
    <row r="59" spans="1:9" x14ac:dyDescent="0.2">
      <c r="A59" s="189">
        <v>13</v>
      </c>
      <c r="B59" s="189" t="s">
        <v>1562</v>
      </c>
      <c r="C59" s="189" t="s">
        <v>1577</v>
      </c>
      <c r="D59" s="189">
        <v>58</v>
      </c>
      <c r="E59" s="189" t="str">
        <f t="shared" ca="1" si="1"/>
        <v># &amp; % of confirmed cases fully investigated (including case investigation form, focus investigation form and active case detection) (malaria elimination phase)</v>
      </c>
      <c r="F59" s="189" t="s">
        <v>1809</v>
      </c>
      <c r="G59" s="190"/>
      <c r="H59" s="190"/>
      <c r="I59" s="190"/>
    </row>
    <row r="60" spans="1:9" x14ac:dyDescent="0.2">
      <c r="A60" s="189">
        <v>13</v>
      </c>
      <c r="B60" s="189" t="s">
        <v>1562</v>
      </c>
      <c r="C60" s="189" t="s">
        <v>1577</v>
      </c>
      <c r="D60" s="189">
        <v>59</v>
      </c>
      <c r="E60" s="189" t="str">
        <f t="shared" ca="1" si="1"/>
        <v># &amp; % of foci fully investigated (malaria focus investigation form completed, including data from an entomological investigation) and registered (on register, with maps of each focus) (malaria elimination phase)</v>
      </c>
      <c r="F60" s="232" t="s">
        <v>1932</v>
      </c>
      <c r="G60" s="190"/>
      <c r="H60" s="190"/>
      <c r="I60" s="190"/>
    </row>
    <row r="61" spans="1:9" x14ac:dyDescent="0.2">
      <c r="A61" s="189">
        <v>14</v>
      </c>
      <c r="B61" s="189" t="s">
        <v>1562</v>
      </c>
      <c r="C61" s="189" t="s">
        <v>1578</v>
      </c>
      <c r="D61" s="189">
        <v>60</v>
      </c>
      <c r="E61" s="189" t="str">
        <f t="shared" ca="1" si="1"/>
        <v xml:space="preserve"># &amp; % of women attending ANC who received at least 3 doses of intermittent preventive treatment </v>
      </c>
      <c r="F61" s="189" t="s">
        <v>1810</v>
      </c>
      <c r="G61" s="190"/>
      <c r="H61" s="190"/>
      <c r="I61" s="190"/>
    </row>
    <row r="62" spans="1:9" x14ac:dyDescent="0.2">
      <c r="A62" s="189">
        <v>15</v>
      </c>
      <c r="B62" s="189" t="s">
        <v>1562</v>
      </c>
      <c r="C62" s="189" t="s">
        <v>1579</v>
      </c>
      <c r="D62" s="189">
        <v>61</v>
      </c>
      <c r="E62" s="189" t="str">
        <f t="shared" ca="1" si="1"/>
        <v xml:space="preserve"># &amp; % of reporting units submitting timely reports according to national guidelines </v>
      </c>
      <c r="F62" s="189" t="s">
        <v>1811</v>
      </c>
      <c r="G62" s="190"/>
      <c r="H62" s="190"/>
      <c r="I62" s="190"/>
    </row>
    <row r="63" spans="1:9" x14ac:dyDescent="0.2">
      <c r="A63" s="189">
        <v>17</v>
      </c>
      <c r="B63" s="189" t="s">
        <v>1563</v>
      </c>
      <c r="C63" s="189" t="s">
        <v>1581</v>
      </c>
      <c r="D63" s="189">
        <v>62</v>
      </c>
      <c r="E63" s="189" t="str">
        <f t="shared" ca="1" si="1"/>
        <v># &amp; distribution of health facilities per 10,000 population</v>
      </c>
      <c r="F63" s="189" t="s">
        <v>1812</v>
      </c>
      <c r="G63" s="190"/>
      <c r="H63" s="190"/>
      <c r="I63" s="190"/>
    </row>
    <row r="64" spans="1:9" x14ac:dyDescent="0.2">
      <c r="A64" s="189">
        <v>17</v>
      </c>
      <c r="B64" s="189" t="s">
        <v>1563</v>
      </c>
      <c r="C64" s="189" t="s">
        <v>1581</v>
      </c>
      <c r="D64" s="189">
        <v>63</v>
      </c>
      <c r="E64" s="189" t="str">
        <f t="shared" ca="1" si="1"/>
        <v>General service readiness score for health facilities</v>
      </c>
      <c r="F64" s="233" t="s">
        <v>1933</v>
      </c>
      <c r="G64" s="190"/>
      <c r="H64" s="190"/>
      <c r="I64" s="190"/>
    </row>
    <row r="65" spans="1:9" x14ac:dyDescent="0.2">
      <c r="A65" s="189">
        <v>17</v>
      </c>
      <c r="B65" s="189" t="s">
        <v>1563</v>
      </c>
      <c r="C65" s="189" t="s">
        <v>1581</v>
      </c>
      <c r="D65" s="189">
        <v>64</v>
      </c>
      <c r="E65" s="189" t="str">
        <f t="shared" ca="1" si="1"/>
        <v>Specific service readiness score for health facilities (to be included in the disease specific modules)</v>
      </c>
      <c r="F65" s="195" t="s">
        <v>1813</v>
      </c>
      <c r="G65" s="190"/>
      <c r="H65" s="190"/>
      <c r="I65" s="190"/>
    </row>
    <row r="66" spans="1:9" x14ac:dyDescent="0.2">
      <c r="A66" s="189">
        <v>17</v>
      </c>
      <c r="B66" s="189" t="s">
        <v>1563</v>
      </c>
      <c r="C66" s="189" t="s">
        <v>1581</v>
      </c>
      <c r="D66" s="189">
        <v>65</v>
      </c>
      <c r="E66" s="189" t="str">
        <f t="shared" ref="E66:E74" ca="1" si="2">OFFSET(F66,0,LangOffset,1,1)</f>
        <v># of outpatients visits per 10,000 population</v>
      </c>
      <c r="F66" s="189" t="s">
        <v>1814</v>
      </c>
      <c r="G66" s="190"/>
      <c r="H66" s="190"/>
      <c r="I66" s="190"/>
    </row>
    <row r="67" spans="1:9" x14ac:dyDescent="0.2">
      <c r="A67" s="189">
        <v>18</v>
      </c>
      <c r="B67" s="189" t="s">
        <v>1563</v>
      </c>
      <c r="C67" s="189" t="s">
        <v>1582</v>
      </c>
      <c r="D67" s="189">
        <v>66</v>
      </c>
      <c r="E67" s="189" t="str">
        <f t="shared" ca="1" si="2"/>
        <v># of health workers per 10,000 population (report on community health workers as applicable)</v>
      </c>
      <c r="F67" s="189" t="s">
        <v>1815</v>
      </c>
      <c r="G67" s="190"/>
      <c r="H67" s="190"/>
      <c r="I67" s="190"/>
    </row>
    <row r="68" spans="1:9" x14ac:dyDescent="0.2">
      <c r="A68" s="189">
        <v>18</v>
      </c>
      <c r="B68" s="189" t="s">
        <v>1563</v>
      </c>
      <c r="C68" s="189" t="s">
        <v>1582</v>
      </c>
      <c r="D68" s="189">
        <v>67</v>
      </c>
      <c r="E68" s="189" t="str">
        <f t="shared" ca="1" si="2"/>
        <v>Distribution of health workers (by occupation, specialization, region, sex)</v>
      </c>
      <c r="F68" s="195" t="s">
        <v>1816</v>
      </c>
      <c r="G68" s="190"/>
      <c r="H68" s="190"/>
      <c r="I68" s="190"/>
    </row>
    <row r="69" spans="1:9" x14ac:dyDescent="0.2">
      <c r="A69" s="189">
        <v>18</v>
      </c>
      <c r="B69" s="189" t="s">
        <v>1563</v>
      </c>
      <c r="C69" s="189" t="s">
        <v>1582</v>
      </c>
      <c r="D69" s="189">
        <v>68</v>
      </c>
      <c r="E69" s="189" t="str">
        <f t="shared" ca="1" si="2"/>
        <v># of health workers newly recruited at primary health care facilities in the past 12 months, expressed as a percentage of planned recruitment target</v>
      </c>
      <c r="F69" s="189" t="s">
        <v>1817</v>
      </c>
      <c r="G69" s="190"/>
      <c r="H69" s="190"/>
      <c r="I69" s="190"/>
    </row>
    <row r="70" spans="1:9" x14ac:dyDescent="0.2">
      <c r="A70" s="189">
        <v>18</v>
      </c>
      <c r="B70" s="189" t="s">
        <v>1563</v>
      </c>
      <c r="C70" s="189" t="s">
        <v>1582</v>
      </c>
      <c r="D70" s="189">
        <v>69</v>
      </c>
      <c r="E70" s="189" t="str">
        <f t="shared" ca="1" si="2"/>
        <v>Annual rate of retention of service providers at primary health care facilities</v>
      </c>
      <c r="F70" s="189" t="s">
        <v>1818</v>
      </c>
      <c r="G70" s="190"/>
      <c r="H70" s="190"/>
      <c r="I70" s="190"/>
    </row>
    <row r="71" spans="1:9" x14ac:dyDescent="0.2">
      <c r="A71" s="189">
        <v>19</v>
      </c>
      <c r="B71" s="189" t="s">
        <v>1563</v>
      </c>
      <c r="C71" s="189" t="s">
        <v>1583</v>
      </c>
      <c r="D71" s="189">
        <v>70</v>
      </c>
      <c r="E71" s="189" t="str">
        <f t="shared" ca="1" si="2"/>
        <v>% of health facilities reporting no stock-outs of essential drugs</v>
      </c>
      <c r="F71" s="189" t="s">
        <v>1819</v>
      </c>
      <c r="G71" s="190"/>
      <c r="H71" s="190"/>
      <c r="I71" s="190"/>
    </row>
    <row r="72" spans="1:9" x14ac:dyDescent="0.2">
      <c r="A72" s="189">
        <v>20</v>
      </c>
      <c r="B72" s="189" t="s">
        <v>1563</v>
      </c>
      <c r="C72" s="189" t="s">
        <v>1584</v>
      </c>
      <c r="D72" s="189">
        <v>71</v>
      </c>
      <c r="E72" s="189" t="str">
        <f t="shared" ca="1" si="2"/>
        <v># &amp; % of reporting units at the national, provincial or district level submitting timely reports according to national guidelines</v>
      </c>
      <c r="F72" s="189" t="s">
        <v>1820</v>
      </c>
      <c r="G72" s="190"/>
      <c r="H72" s="190"/>
      <c r="I72" s="190"/>
    </row>
    <row r="73" spans="1:9" x14ac:dyDescent="0.2">
      <c r="A73" s="189">
        <v>20</v>
      </c>
      <c r="B73" s="189" t="s">
        <v>1563</v>
      </c>
      <c r="C73" s="189" t="s">
        <v>1584</v>
      </c>
      <c r="D73" s="189">
        <v>72</v>
      </c>
      <c r="E73" s="189" t="str">
        <f t="shared" ca="1" si="2"/>
        <v># &amp; % of deaths registered (as reported by civil or sample registration systems, hospitals, community-based reporting systems) among the total deaths for the same period and geographical region</v>
      </c>
      <c r="F73" s="232" t="s">
        <v>1934</v>
      </c>
      <c r="G73" s="190"/>
      <c r="H73" s="190"/>
      <c r="I73" s="190"/>
    </row>
    <row r="74" spans="1:9" x14ac:dyDescent="0.2">
      <c r="A74" s="189">
        <v>22</v>
      </c>
      <c r="B74" s="189" t="s">
        <v>1563</v>
      </c>
      <c r="C74" s="189" t="s">
        <v>1586</v>
      </c>
      <c r="D74" s="189">
        <v>73</v>
      </c>
      <c r="E74" s="189" t="str">
        <f t="shared" ca="1" si="2"/>
        <v>Government expenditure on health as percentage of general government expenditure</v>
      </c>
      <c r="F74" s="189" t="s">
        <v>1821</v>
      </c>
      <c r="G74" s="190"/>
      <c r="H74" s="190"/>
      <c r="I74" s="190"/>
    </row>
  </sheetData>
  <customSheetViews>
    <customSheetView guid="{AB7DC012-E038-4AC4-B964-79EBEC1A7DBE}" state="hidden">
      <pane ySplit="1" topLeftCell="A2" activePane="bottomLeft" state="frozenSplit"/>
      <selection pane="bottomLeft" activeCell="F62" sqref="F62"/>
      <pageMargins left="0.7" right="0.7" top="0.75" bottom="0.75" header="0.3" footer="0.3"/>
    </customSheetView>
    <customSheetView guid="{8263CC96-2145-451B-AD8A-CC38FD628AC9}" state="hidden">
      <pane ySplit="1" topLeftCell="A2" activePane="bottomLeft" state="frozenSplit"/>
      <selection pane="bottomLeft" activeCell="F62" sqref="F62"/>
      <pageMargins left="0.7" right="0.7" top="0.75" bottom="0.75" header="0.3" footer="0.3"/>
    </customSheetView>
    <customSheetView guid="{721132AF-EF29-4C83-8A4A-F17ABB4BD7C0}" state="hidden">
      <pane ySplit="1" topLeftCell="A2" activePane="bottomLeft" state="frozenSplit"/>
      <selection pane="bottomLeft" activeCell="F62" sqref="F62"/>
      <pageMargins left="0.7" right="0.7" top="0.75" bottom="0.75" header="0.3" footer="0.3"/>
    </customSheetView>
    <customSheetView guid="{CE0E8020-2C9F-41F1-9136-031F56EB2C71}" state="hidden">
      <pane ySplit="1" topLeftCell="A2" activePane="bottomLeft" state="frozenSplit"/>
      <selection pane="bottomLeft" activeCell="F62" sqref="F62"/>
      <pageMargins left="0.7" right="0.7" top="0.75" bottom="0.75" header="0.3" footer="0.3"/>
    </customSheetView>
    <customSheetView guid="{E823EC26-EF2B-442F-BAF4-E4055CE48BD3}" state="hidden">
      <pane ySplit="1" topLeftCell="A2" activePane="bottomLeft" state="frozenSplit"/>
      <selection pane="bottomLeft" activeCell="F62" sqref="F62"/>
      <pageMargins left="0.7" right="0.7" top="0.75" bottom="0.75" header="0.3" footer="0.3"/>
    </customSheetView>
    <customSheetView guid="{86255A0E-17F2-0E4B-B055-7B9B2A71C25A}" state="hidden">
      <pane ySplit="1.0769230769230769" topLeftCell="A2" activePane="bottomLeft" state="frozenSplit"/>
      <selection pane="bottomLeft" activeCell="F62" sqref="F62"/>
      <pageMargins left="0.7" right="0.7" top="0.75" bottom="0.75" header="0.3" footer="0.3"/>
    </customSheetView>
    <customSheetView guid="{D193A86F-CAEF-42FB-9ABB-073B57B81A50}" state="hidden">
      <pane ySplit="1" topLeftCell="A2" activePane="bottomLeft" state="frozenSplit"/>
      <selection pane="bottomLeft" activeCell="F62" sqref="F62"/>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
  <sheetViews>
    <sheetView workbookViewId="0">
      <pane ySplit="1" topLeftCell="A2" activePane="bottomLeft" state="frozenSplit"/>
      <selection pane="bottomLeft" activeCell="F1" sqref="F1:F1048576"/>
    </sheetView>
  </sheetViews>
  <sheetFormatPr defaultColWidth="9.140625" defaultRowHeight="14.25" x14ac:dyDescent="0.2"/>
  <cols>
    <col min="1" max="1" width="7.42578125" style="189" bestFit="1" customWidth="1"/>
    <col min="2" max="2" width="10.140625" style="189" bestFit="1" customWidth="1"/>
    <col min="3" max="3" width="14.28515625" style="189" customWidth="1"/>
    <col min="4" max="4" width="10.7109375" style="189" bestFit="1" customWidth="1"/>
    <col min="5" max="5" width="13.140625" style="189" bestFit="1" customWidth="1"/>
    <col min="6" max="6" width="118.42578125" style="189" customWidth="1"/>
    <col min="7" max="7" width="22" style="189" bestFit="1" customWidth="1"/>
    <col min="8" max="8" width="22.7109375" style="189" bestFit="1" customWidth="1"/>
    <col min="9" max="9" width="22.42578125" style="189" bestFit="1" customWidth="1"/>
    <col min="10" max="10" width="13.140625" style="189" customWidth="1"/>
    <col min="11" max="16384" width="9.140625" style="189"/>
  </cols>
  <sheetData>
    <row r="1" spans="1:10" s="188" customFormat="1" ht="15" x14ac:dyDescent="0.25">
      <c r="A1" s="188" t="s">
        <v>1552</v>
      </c>
      <c r="B1" s="188" t="s">
        <v>1553</v>
      </c>
      <c r="C1" s="188" t="s">
        <v>986</v>
      </c>
      <c r="D1" s="188" t="s">
        <v>1822</v>
      </c>
      <c r="E1" s="188" t="s">
        <v>625</v>
      </c>
      <c r="F1" s="188" t="s">
        <v>1823</v>
      </c>
      <c r="G1" s="188" t="s">
        <v>1824</v>
      </c>
      <c r="H1" s="188" t="s">
        <v>1825</v>
      </c>
      <c r="I1" s="188" t="s">
        <v>1826</v>
      </c>
      <c r="J1" s="196"/>
    </row>
    <row r="2" spans="1:10" x14ac:dyDescent="0.2">
      <c r="A2" s="189">
        <v>1</v>
      </c>
      <c r="B2" s="189" t="s">
        <v>1558</v>
      </c>
      <c r="C2" s="189" t="s">
        <v>1569</v>
      </c>
      <c r="D2" s="189">
        <v>1</v>
      </c>
      <c r="E2" s="189" t="str">
        <f t="shared" ref="E2:E22" ca="1" si="0">OFFSET(F2,0,LangOffset,1,1)</f>
        <v>% of women and men aged 15–49 years who have had more than one sexual partner in the past 12 months (disaggregated by 15-19 and 20-24 age groups)</v>
      </c>
      <c r="F2" s="189" t="s">
        <v>1827</v>
      </c>
      <c r="G2" s="190"/>
      <c r="H2" s="190"/>
      <c r="I2" s="190"/>
    </row>
    <row r="3" spans="1:10" x14ac:dyDescent="0.2">
      <c r="A3" s="189">
        <v>1</v>
      </c>
      <c r="B3" s="189" t="s">
        <v>1558</v>
      </c>
      <c r="C3" s="189" t="s">
        <v>1569</v>
      </c>
      <c r="D3" s="189">
        <v>2</v>
      </c>
      <c r="E3" s="189" t="str">
        <f t="shared" ca="1" si="0"/>
        <v>% of women and men aged 15–49 years who have had more than one sexual partner in the past 12 months reporting the use of a condom during their last sexual intercourse (disaggregated by 15-19 and 20-24 age groups)</v>
      </c>
      <c r="F3" s="189" t="s">
        <v>1828</v>
      </c>
      <c r="G3" s="190"/>
      <c r="H3" s="190"/>
      <c r="I3" s="190"/>
    </row>
    <row r="4" spans="1:10" x14ac:dyDescent="0.2">
      <c r="A4" s="189">
        <v>1</v>
      </c>
      <c r="B4" s="189" t="s">
        <v>1558</v>
      </c>
      <c r="C4" s="189" t="s">
        <v>1569</v>
      </c>
      <c r="D4" s="189">
        <v>3</v>
      </c>
      <c r="E4" s="189" t="str">
        <f t="shared" ca="1" si="0"/>
        <v>% of men reporting the use of a condom the last time they had anal sex with a male partner</v>
      </c>
      <c r="F4" s="189" t="s">
        <v>1829</v>
      </c>
      <c r="G4" s="190"/>
      <c r="H4" s="190"/>
      <c r="I4" s="190"/>
    </row>
    <row r="5" spans="1:10" x14ac:dyDescent="0.2">
      <c r="A5" s="189">
        <v>1</v>
      </c>
      <c r="B5" s="189" t="s">
        <v>1558</v>
      </c>
      <c r="C5" s="189" t="s">
        <v>1569</v>
      </c>
      <c r="D5" s="189">
        <v>4</v>
      </c>
      <c r="E5" s="189" t="str">
        <f t="shared" ca="1" si="0"/>
        <v>% of sex workers reporting use of a condom with their most recent client</v>
      </c>
      <c r="F5" s="189" t="s">
        <v>1830</v>
      </c>
      <c r="G5" s="190"/>
      <c r="H5" s="190"/>
      <c r="I5" s="190"/>
    </row>
    <row r="6" spans="1:10" x14ac:dyDescent="0.2">
      <c r="A6" s="189">
        <v>1</v>
      </c>
      <c r="B6" s="189" t="s">
        <v>1558</v>
      </c>
      <c r="C6" s="189" t="s">
        <v>1569</v>
      </c>
      <c r="D6" s="189">
        <v>5</v>
      </c>
      <c r="E6" s="189" t="str">
        <f t="shared" ca="1" si="0"/>
        <v>% of PWID who reported using sterile injecting equipment the last time they injected</v>
      </c>
      <c r="F6" s="189" t="s">
        <v>1831</v>
      </c>
      <c r="G6" s="190"/>
      <c r="H6" s="190"/>
      <c r="I6" s="190"/>
    </row>
    <row r="7" spans="1:10" x14ac:dyDescent="0.2">
      <c r="A7" s="189">
        <v>1</v>
      </c>
      <c r="B7" s="189" t="s">
        <v>1558</v>
      </c>
      <c r="C7" s="189" t="s">
        <v>1569</v>
      </c>
      <c r="D7" s="189">
        <v>6</v>
      </c>
      <c r="E7" s="189" t="str">
        <f t="shared" ca="1" si="0"/>
        <v xml:space="preserve">% of other populations (specify) who report the use of a condom at last sexual intercourse </v>
      </c>
      <c r="F7" s="189" t="s">
        <v>1832</v>
      </c>
      <c r="G7" s="190"/>
      <c r="H7" s="190"/>
      <c r="I7" s="190"/>
    </row>
    <row r="8" spans="1:10" x14ac:dyDescent="0.2">
      <c r="A8" s="189">
        <v>1</v>
      </c>
      <c r="B8" s="189" t="s">
        <v>1558</v>
      </c>
      <c r="C8" s="189" t="s">
        <v>1569</v>
      </c>
      <c r="D8" s="189">
        <v>7</v>
      </c>
      <c r="E8" s="189" t="str">
        <f t="shared" ca="1" si="0"/>
        <v xml:space="preserve">% of current school attendance among orphans and non-orphans </v>
      </c>
      <c r="F8" s="189" t="s">
        <v>1833</v>
      </c>
      <c r="G8" s="190"/>
      <c r="H8" s="190"/>
      <c r="I8" s="190"/>
    </row>
    <row r="9" spans="1:10" x14ac:dyDescent="0.2">
      <c r="A9" s="189">
        <v>1</v>
      </c>
      <c r="B9" s="189" t="s">
        <v>1558</v>
      </c>
      <c r="C9" s="189" t="s">
        <v>670</v>
      </c>
      <c r="D9" s="189">
        <v>8</v>
      </c>
      <c r="E9" s="189" t="str">
        <f t="shared" ca="1" si="0"/>
        <v>% of adults and children with HIV, known to be on treatment 12 months after initiation of ART (disaggregated by age and sex). Report also for 24 and 36 months</v>
      </c>
      <c r="F9" s="192" t="s">
        <v>1834</v>
      </c>
      <c r="G9" s="190"/>
      <c r="H9" s="190"/>
      <c r="I9" s="190"/>
    </row>
    <row r="10" spans="1:10" x14ac:dyDescent="0.2">
      <c r="A10" s="189">
        <v>2</v>
      </c>
      <c r="B10" s="189" t="s">
        <v>1561</v>
      </c>
      <c r="D10" s="189">
        <v>9</v>
      </c>
      <c r="E10" s="189" t="str">
        <f t="shared" ca="1" si="0"/>
        <v>Case notification rate per 100,000 population- bacteriologically confirmed (new and relapse cases), (disaggregated by age and sex)</v>
      </c>
      <c r="F10" s="189" t="s">
        <v>1835</v>
      </c>
      <c r="G10" s="190"/>
      <c r="H10" s="190"/>
      <c r="I10" s="190"/>
    </row>
    <row r="11" spans="1:10" x14ac:dyDescent="0.2">
      <c r="A11" s="189">
        <v>2</v>
      </c>
      <c r="B11" s="189" t="s">
        <v>1561</v>
      </c>
      <c r="D11" s="189">
        <v>10</v>
      </c>
      <c r="E11" s="189" t="str">
        <f t="shared" ca="1" si="0"/>
        <v>Case notification rate of all forms of TB per 100,000 population- bacteriologically confirmed plus clinically diagnosed (disaggregated by age and sex)</v>
      </c>
      <c r="F11" s="189" t="s">
        <v>1836</v>
      </c>
      <c r="G11" s="190"/>
      <c r="H11" s="190"/>
      <c r="I11" s="190"/>
    </row>
    <row r="12" spans="1:10" x14ac:dyDescent="0.2">
      <c r="A12" s="189">
        <v>2</v>
      </c>
      <c r="B12" s="189" t="s">
        <v>1561</v>
      </c>
      <c r="D12" s="189">
        <v>11</v>
      </c>
      <c r="E12" s="189" t="str">
        <f t="shared" ca="1" si="0"/>
        <v>Treatment success rate- bacteriologically confirmed TB cases (disaggregated by age and sex)</v>
      </c>
      <c r="F12" s="189" t="s">
        <v>1837</v>
      </c>
      <c r="G12" s="190"/>
      <c r="H12" s="190"/>
      <c r="I12" s="190"/>
    </row>
    <row r="13" spans="1:10" x14ac:dyDescent="0.2">
      <c r="A13" s="189">
        <v>2</v>
      </c>
      <c r="B13" s="189" t="s">
        <v>1561</v>
      </c>
      <c r="D13" s="189">
        <v>12</v>
      </c>
      <c r="E13" s="189" t="str">
        <f t="shared" ca="1" si="0"/>
        <v>Treatment success rate- all forms of TB</v>
      </c>
      <c r="F13" s="189" t="s">
        <v>1838</v>
      </c>
      <c r="G13" s="190"/>
      <c r="H13" s="190"/>
      <c r="I13" s="190"/>
    </row>
    <row r="14" spans="1:10" x14ac:dyDescent="0.2">
      <c r="A14" s="189">
        <v>2</v>
      </c>
      <c r="B14" s="189" t="s">
        <v>1561</v>
      </c>
      <c r="D14" s="189">
        <v>13</v>
      </c>
      <c r="E14" s="189" t="str">
        <f t="shared" ca="1" si="0"/>
        <v>Notification of MDR-TB: Notified cases of bacteriologically confirmed, drug resistant TB (RR-TB and/or MDR-TB) as a proportion of the estimated MDR TB cases among the notified TB cases (# &amp; %)</v>
      </c>
      <c r="F14" s="189" t="s">
        <v>1839</v>
      </c>
      <c r="G14" s="190"/>
      <c r="H14" s="190"/>
      <c r="I14" s="190"/>
    </row>
    <row r="15" spans="1:10" x14ac:dyDescent="0.2">
      <c r="A15" s="189">
        <v>2</v>
      </c>
      <c r="B15" s="189" t="s">
        <v>1561</v>
      </c>
      <c r="D15" s="189">
        <v>14</v>
      </c>
      <c r="E15" s="189" t="str">
        <f t="shared" ca="1" si="0"/>
        <v xml:space="preserve">Treatment success rate- MDR-TB </v>
      </c>
      <c r="F15" s="189" t="s">
        <v>1840</v>
      </c>
      <c r="G15" s="190"/>
      <c r="H15" s="190"/>
      <c r="I15" s="190"/>
    </row>
    <row r="16" spans="1:10" x14ac:dyDescent="0.2">
      <c r="A16" s="189">
        <v>2</v>
      </c>
      <c r="B16" s="189" t="s">
        <v>1561</v>
      </c>
      <c r="D16" s="189">
        <v>15</v>
      </c>
      <c r="E16" s="189" t="str">
        <f t="shared" ca="1" si="0"/>
        <v xml:space="preserve">% of bacteriologically confirmed drug </v>
      </c>
      <c r="F16" s="189" t="s">
        <v>1841</v>
      </c>
      <c r="G16" s="190"/>
      <c r="H16" s="190"/>
      <c r="I16" s="190"/>
    </row>
    <row r="17" spans="1:9" x14ac:dyDescent="0.2">
      <c r="A17" s="189">
        <v>3</v>
      </c>
      <c r="B17" s="189" t="s">
        <v>1562</v>
      </c>
      <c r="D17" s="189">
        <v>16</v>
      </c>
      <c r="E17" s="189" t="str">
        <f t="shared" ca="1" si="0"/>
        <v>Proportion of population that slept under an ITN the previous night (disaggregated by age, sex, pregnancy status, geographical location)</v>
      </c>
      <c r="F17" s="189" t="s">
        <v>1842</v>
      </c>
      <c r="G17" s="190"/>
      <c r="H17" s="190"/>
      <c r="I17" s="190"/>
    </row>
    <row r="18" spans="1:9" x14ac:dyDescent="0.2">
      <c r="A18" s="189">
        <v>3</v>
      </c>
      <c r="B18" s="189" t="s">
        <v>1562</v>
      </c>
      <c r="D18" s="189">
        <v>17</v>
      </c>
      <c r="E18" s="189" t="str">
        <f t="shared" ca="1" si="0"/>
        <v>Proportion of households with at least one ITN for every two people and/or sprayed by IRS within the last 12 months</v>
      </c>
      <c r="F18" s="189" t="s">
        <v>1843</v>
      </c>
      <c r="G18" s="190"/>
      <c r="H18" s="190"/>
      <c r="I18" s="190"/>
    </row>
    <row r="19" spans="1:9" x14ac:dyDescent="0.2">
      <c r="A19" s="189">
        <v>3</v>
      </c>
      <c r="B19" s="189" t="s">
        <v>1562</v>
      </c>
      <c r="D19" s="189">
        <v>18</v>
      </c>
      <c r="E19" s="189" t="str">
        <f t="shared" ca="1" si="0"/>
        <v>Proportion of households with at least one ITN</v>
      </c>
      <c r="F19" s="189" t="s">
        <v>1844</v>
      </c>
      <c r="G19" s="190"/>
      <c r="H19" s="190"/>
      <c r="I19" s="190"/>
    </row>
    <row r="20" spans="1:9" x14ac:dyDescent="0.2">
      <c r="A20" s="189">
        <v>3</v>
      </c>
      <c r="B20" s="189" t="s">
        <v>1562</v>
      </c>
      <c r="D20" s="189">
        <v>19</v>
      </c>
      <c r="E20" s="189" t="str">
        <f t="shared" ca="1" si="0"/>
        <v>Proportion of households with at least one ITN for every two people</v>
      </c>
      <c r="F20" s="189" t="s">
        <v>1845</v>
      </c>
      <c r="G20" s="190"/>
      <c r="H20" s="190"/>
      <c r="I20" s="190"/>
    </row>
    <row r="21" spans="1:9" x14ac:dyDescent="0.2">
      <c r="A21" s="189">
        <v>6</v>
      </c>
      <c r="B21" s="189" t="s">
        <v>1563</v>
      </c>
      <c r="D21" s="189">
        <v>20</v>
      </c>
      <c r="E21" s="189" t="str">
        <f t="shared" ca="1" si="0"/>
        <v>% of women attending antenatal care</v>
      </c>
      <c r="F21" s="189" t="s">
        <v>1846</v>
      </c>
      <c r="G21" s="190"/>
      <c r="H21" s="190"/>
      <c r="I21" s="190"/>
    </row>
    <row r="22" spans="1:9" x14ac:dyDescent="0.2">
      <c r="A22" s="189">
        <v>6</v>
      </c>
      <c r="B22" s="189" t="s">
        <v>1563</v>
      </c>
      <c r="D22" s="189">
        <v>21</v>
      </c>
      <c r="E22" s="189" t="str">
        <f t="shared" ca="1" si="0"/>
        <v xml:space="preserve">% of births attended by skilled birth health professional </v>
      </c>
      <c r="F22" s="189" t="s">
        <v>1847</v>
      </c>
      <c r="G22" s="190"/>
      <c r="H22" s="190"/>
      <c r="I22" s="190"/>
    </row>
  </sheetData>
  <customSheetViews>
    <customSheetView guid="{AB7DC012-E038-4AC4-B964-79EBEC1A7DBE}" state="hidden">
      <pane ySplit="1" topLeftCell="A2" activePane="bottomLeft" state="frozenSplit"/>
      <selection pane="bottomLeft" activeCell="F1" sqref="F1:F1048576"/>
      <pageMargins left="0.7" right="0.7" top="0.75" bottom="0.75" header="0.3" footer="0.3"/>
    </customSheetView>
    <customSheetView guid="{8263CC96-2145-451B-AD8A-CC38FD628AC9}" state="hidden">
      <pane ySplit="1" topLeftCell="A2" activePane="bottomLeft" state="frozenSplit"/>
      <selection pane="bottomLeft" activeCell="F1" sqref="F1:F1048576"/>
      <pageMargins left="0.7" right="0.7" top="0.75" bottom="0.75" header="0.3" footer="0.3"/>
    </customSheetView>
    <customSheetView guid="{721132AF-EF29-4C83-8A4A-F17ABB4BD7C0}" state="hidden">
      <pane ySplit="1" topLeftCell="A2" activePane="bottomLeft" state="frozenSplit"/>
      <selection pane="bottomLeft" activeCell="F1" sqref="F1:F1048576"/>
      <pageMargins left="0.7" right="0.7" top="0.75" bottom="0.75" header="0.3" footer="0.3"/>
    </customSheetView>
    <customSheetView guid="{CE0E8020-2C9F-41F1-9136-031F56EB2C71}" state="hidden">
      <pane ySplit="1" topLeftCell="A2" activePane="bottomLeft" state="frozenSplit"/>
      <selection pane="bottomLeft" activeCell="F1" sqref="F1:F1048576"/>
      <pageMargins left="0.7" right="0.7" top="0.75" bottom="0.75" header="0.3" footer="0.3"/>
    </customSheetView>
    <customSheetView guid="{E823EC26-EF2B-442F-BAF4-E4055CE48BD3}" state="hidden">
      <pane ySplit="1" topLeftCell="A2" activePane="bottomLeft" state="frozenSplit"/>
      <selection pane="bottomLeft" activeCell="F1" sqref="F1:F1048576"/>
      <pageMargins left="0.7" right="0.7" top="0.75" bottom="0.75" header="0.3" footer="0.3"/>
    </customSheetView>
    <customSheetView guid="{86255A0E-17F2-0E4B-B055-7B9B2A71C25A}" state="hidden">
      <pane ySplit="1.0769230769230769" topLeftCell="A2" activePane="bottomLeft" state="frozenSplit"/>
      <selection pane="bottomLeft" activeCell="F1" sqref="F1:F1048576"/>
      <pageMargins left="0.7" right="0.7" top="0.75" bottom="0.75" header="0.3" footer="0.3"/>
    </customSheetView>
    <customSheetView guid="{D193A86F-CAEF-42FB-9ABB-073B57B81A50}" state="hidden">
      <pane ySplit="1" topLeftCell="A2" activePane="bottomLeft" state="frozenSplit"/>
      <selection pane="bottomLeft" activeCell="F1" sqref="F1:F1048576"/>
      <pageMargins left="0.7" right="0.7" top="0.75" bottom="0.75" header="0.3" footer="0.3"/>
    </customSheetView>
  </customSheetViews>
  <pageMargins left="0.7" right="0.7" top="0.75" bottom="0.75" header="0.3" footer="0.3"/>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7"/>
  <sheetViews>
    <sheetView workbookViewId="0">
      <pane ySplit="1" topLeftCell="A2" activePane="bottomLeft" state="frozenSplit"/>
      <selection pane="bottomLeft" activeCell="F17" sqref="F1:F1048576"/>
    </sheetView>
  </sheetViews>
  <sheetFormatPr defaultColWidth="9.140625" defaultRowHeight="14.25" x14ac:dyDescent="0.2"/>
  <cols>
    <col min="1" max="1" width="7.42578125" style="189" bestFit="1" customWidth="1"/>
    <col min="2" max="2" width="10.140625" style="189" bestFit="1" customWidth="1"/>
    <col min="3" max="3" width="18.28515625" style="189" customWidth="1"/>
    <col min="4" max="4" width="10.7109375" style="189" bestFit="1" customWidth="1"/>
    <col min="5" max="5" width="13.140625" style="189" bestFit="1" customWidth="1"/>
    <col min="6" max="6" width="94.42578125" style="189" bestFit="1" customWidth="1"/>
    <col min="7" max="7" width="19.28515625" style="189" bestFit="1" customWidth="1"/>
    <col min="8" max="8" width="20.28515625" style="189" bestFit="1" customWidth="1"/>
    <col min="9" max="9" width="20" style="189" bestFit="1" customWidth="1"/>
    <col min="10" max="16384" width="9.140625" style="189"/>
  </cols>
  <sheetData>
    <row r="1" spans="1:9" s="188" customFormat="1" ht="15" x14ac:dyDescent="0.25">
      <c r="A1" s="188" t="s">
        <v>1552</v>
      </c>
      <c r="B1" s="188" t="s">
        <v>1553</v>
      </c>
      <c r="C1" s="188" t="s">
        <v>986</v>
      </c>
      <c r="D1" s="188" t="s">
        <v>1848</v>
      </c>
      <c r="E1" s="188" t="s">
        <v>625</v>
      </c>
      <c r="F1" s="188" t="s">
        <v>1849</v>
      </c>
      <c r="G1" s="188" t="s">
        <v>1850</v>
      </c>
      <c r="H1" s="188" t="s">
        <v>1851</v>
      </c>
      <c r="I1" s="188" t="s">
        <v>1852</v>
      </c>
    </row>
    <row r="2" spans="1:9" x14ac:dyDescent="0.2">
      <c r="A2" s="189">
        <v>1</v>
      </c>
      <c r="B2" s="189" t="s">
        <v>1558</v>
      </c>
      <c r="C2" s="189" t="s">
        <v>1569</v>
      </c>
      <c r="D2" s="189">
        <v>1</v>
      </c>
      <c r="E2" s="189" t="str">
        <f t="shared" ref="E2:E27" ca="1" si="0">OFFSET(F2,0,LangOffset,1,1)</f>
        <v>% of young women and men aged 15-24 years who are HIV infected</v>
      </c>
      <c r="F2" s="189" t="s">
        <v>1853</v>
      </c>
      <c r="G2" s="190"/>
      <c r="H2" s="190"/>
      <c r="I2" s="190"/>
    </row>
    <row r="3" spans="1:9" x14ac:dyDescent="0.2">
      <c r="A3" s="189">
        <v>1</v>
      </c>
      <c r="B3" s="189" t="s">
        <v>1558</v>
      </c>
      <c r="C3" s="189" t="s">
        <v>1569</v>
      </c>
      <c r="D3" s="189">
        <v>2</v>
      </c>
      <c r="E3" s="189" t="str">
        <f t="shared" ca="1" si="0"/>
        <v>HIV prevalence among 15-49 age group</v>
      </c>
      <c r="F3" s="189" t="s">
        <v>1854</v>
      </c>
      <c r="G3" s="190"/>
      <c r="H3" s="190"/>
      <c r="I3" s="190"/>
    </row>
    <row r="4" spans="1:9" x14ac:dyDescent="0.2">
      <c r="A4" s="189">
        <v>1</v>
      </c>
      <c r="B4" s="189" t="s">
        <v>1558</v>
      </c>
      <c r="C4" s="189" t="s">
        <v>1569</v>
      </c>
      <c r="D4" s="189">
        <v>3</v>
      </c>
      <c r="E4" s="189" t="str">
        <f t="shared" ca="1" si="0"/>
        <v>New HIV infections (per 100 person-year population)</v>
      </c>
      <c r="F4" s="189" t="s">
        <v>1855</v>
      </c>
      <c r="G4" s="190"/>
      <c r="H4" s="190"/>
      <c r="I4" s="190"/>
    </row>
    <row r="5" spans="1:9" x14ac:dyDescent="0.2">
      <c r="A5" s="189">
        <v>1</v>
      </c>
      <c r="B5" s="189" t="s">
        <v>1558</v>
      </c>
      <c r="C5" s="189" t="s">
        <v>1569</v>
      </c>
      <c r="D5" s="189">
        <v>4</v>
      </c>
      <c r="E5" s="189" t="str">
        <f t="shared" ca="1" si="0"/>
        <v>AIDS related mortality (disaggregated by age and sex)</v>
      </c>
      <c r="F5" s="189" t="s">
        <v>1856</v>
      </c>
      <c r="G5" s="190"/>
      <c r="H5" s="190"/>
      <c r="I5" s="190"/>
    </row>
    <row r="6" spans="1:9" x14ac:dyDescent="0.2">
      <c r="A6" s="189">
        <v>1</v>
      </c>
      <c r="B6" s="189" t="s">
        <v>1558</v>
      </c>
      <c r="C6" s="189" t="s">
        <v>1569</v>
      </c>
      <c r="D6" s="189">
        <v>5</v>
      </c>
      <c r="E6" s="189" t="str">
        <f t="shared" ca="1" si="0"/>
        <v>Modelled lives saved based on latest epidemiological data</v>
      </c>
      <c r="F6" s="189" t="s">
        <v>1857</v>
      </c>
      <c r="G6" s="190"/>
      <c r="H6" s="190"/>
      <c r="I6" s="190"/>
    </row>
    <row r="7" spans="1:9" x14ac:dyDescent="0.2">
      <c r="A7" s="189">
        <v>1</v>
      </c>
      <c r="B7" s="189" t="s">
        <v>1558</v>
      </c>
      <c r="C7" s="189" t="s">
        <v>1569</v>
      </c>
      <c r="D7" s="189">
        <v>6</v>
      </c>
      <c r="E7" s="189" t="str">
        <f t="shared" ca="1" si="0"/>
        <v xml:space="preserve">Percentage of men who have sex with men who are living with HIV </v>
      </c>
      <c r="F7" s="189" t="s">
        <v>1858</v>
      </c>
      <c r="G7" s="190"/>
      <c r="H7" s="190"/>
      <c r="I7" s="190"/>
    </row>
    <row r="8" spans="1:9" x14ac:dyDescent="0.2">
      <c r="A8" s="189">
        <v>1</v>
      </c>
      <c r="B8" s="189" t="s">
        <v>1558</v>
      </c>
      <c r="C8" s="189" t="s">
        <v>1569</v>
      </c>
      <c r="D8" s="189">
        <v>7</v>
      </c>
      <c r="E8" s="189" t="str">
        <f t="shared" ca="1" si="0"/>
        <v xml:space="preserve">Percentage of sex workers who are living with HIV </v>
      </c>
      <c r="F8" s="189" t="s">
        <v>1859</v>
      </c>
      <c r="G8" s="190"/>
      <c r="H8" s="190"/>
      <c r="I8" s="190"/>
    </row>
    <row r="9" spans="1:9" x14ac:dyDescent="0.2">
      <c r="A9" s="189">
        <v>1</v>
      </c>
      <c r="B9" s="189" t="s">
        <v>1558</v>
      </c>
      <c r="C9" s="189" t="s">
        <v>1569</v>
      </c>
      <c r="D9" s="189">
        <v>8</v>
      </c>
      <c r="E9" s="189" t="str">
        <f t="shared" ca="1" si="0"/>
        <v>Percentage of people who inject drugs who are living with HIV</v>
      </c>
      <c r="F9" s="189" t="s">
        <v>1860</v>
      </c>
      <c r="G9" s="190"/>
      <c r="H9" s="190"/>
      <c r="I9" s="190"/>
    </row>
    <row r="10" spans="1:9" x14ac:dyDescent="0.2">
      <c r="A10" s="189">
        <v>1</v>
      </c>
      <c r="B10" s="189" t="s">
        <v>1558</v>
      </c>
      <c r="C10" s="189" t="s">
        <v>1569</v>
      </c>
      <c r="D10" s="189">
        <v>9</v>
      </c>
      <c r="E10" s="189" t="str">
        <f t="shared" ca="1" si="0"/>
        <v>Percentage of Other Populations (specify) who are living with HIV</v>
      </c>
      <c r="F10" s="189" t="s">
        <v>1861</v>
      </c>
      <c r="G10" s="190"/>
      <c r="H10" s="190"/>
      <c r="I10" s="190"/>
    </row>
    <row r="11" spans="1:9" x14ac:dyDescent="0.2">
      <c r="A11" s="189">
        <v>1</v>
      </c>
      <c r="B11" s="189" t="s">
        <v>1558</v>
      </c>
      <c r="C11" s="189" t="s">
        <v>1569</v>
      </c>
      <c r="D11" s="189">
        <v>10</v>
      </c>
      <c r="E11" s="189" t="str">
        <f t="shared" ca="1" si="0"/>
        <v>STI prevalence (key populations, pregnant women, as applicable)</v>
      </c>
      <c r="F11" s="189" t="s">
        <v>1862</v>
      </c>
      <c r="G11" s="190"/>
      <c r="H11" s="190"/>
      <c r="I11" s="190"/>
    </row>
    <row r="12" spans="1:9" x14ac:dyDescent="0.2">
      <c r="A12" s="189">
        <v>1</v>
      </c>
      <c r="B12" s="189" t="s">
        <v>1558</v>
      </c>
      <c r="C12" s="189" t="s">
        <v>985</v>
      </c>
      <c r="D12" s="189">
        <v>11</v>
      </c>
      <c r="E12" s="189" t="str">
        <f t="shared" ca="1" si="0"/>
        <v>% of infants born to HIV infected mothers who are infected</v>
      </c>
      <c r="F12" s="189" t="s">
        <v>1863</v>
      </c>
      <c r="G12" s="190"/>
      <c r="H12" s="190"/>
      <c r="I12" s="190"/>
    </row>
    <row r="13" spans="1:9" x14ac:dyDescent="0.2">
      <c r="A13" s="189">
        <v>2</v>
      </c>
      <c r="B13" s="189" t="s">
        <v>1561</v>
      </c>
      <c r="D13" s="189">
        <v>12</v>
      </c>
      <c r="E13" s="189" t="str">
        <f t="shared" ca="1" si="0"/>
        <v>TB incidence rate</v>
      </c>
      <c r="F13" s="189" t="s">
        <v>1864</v>
      </c>
      <c r="G13" s="190"/>
      <c r="H13" s="190"/>
      <c r="I13" s="190"/>
    </row>
    <row r="14" spans="1:9" x14ac:dyDescent="0.2">
      <c r="A14" s="189">
        <v>2</v>
      </c>
      <c r="B14" s="189" t="s">
        <v>1561</v>
      </c>
      <c r="D14" s="189">
        <v>13</v>
      </c>
      <c r="E14" s="189" t="str">
        <f t="shared" ca="1" si="0"/>
        <v>TB prevalence rate</v>
      </c>
      <c r="F14" s="189" t="s">
        <v>750</v>
      </c>
      <c r="G14" s="190"/>
      <c r="H14" s="190"/>
      <c r="I14" s="190"/>
    </row>
    <row r="15" spans="1:9" x14ac:dyDescent="0.2">
      <c r="A15" s="189">
        <v>2</v>
      </c>
      <c r="B15" s="189" t="s">
        <v>1561</v>
      </c>
      <c r="D15" s="189">
        <v>14</v>
      </c>
      <c r="E15" s="189" t="str">
        <f t="shared" ca="1" si="0"/>
        <v>TB mortality rate</v>
      </c>
      <c r="F15" s="189" t="s">
        <v>751</v>
      </c>
      <c r="G15" s="190"/>
      <c r="H15" s="190"/>
      <c r="I15" s="190"/>
    </row>
    <row r="16" spans="1:9" x14ac:dyDescent="0.2">
      <c r="A16" s="189">
        <v>2</v>
      </c>
      <c r="B16" s="189" t="s">
        <v>1561</v>
      </c>
      <c r="D16" s="189">
        <v>15</v>
      </c>
      <c r="E16" s="189" t="str">
        <f t="shared" ca="1" si="0"/>
        <v xml:space="preserve">MDR prevalence  among new TB patients </v>
      </c>
      <c r="F16" s="189" t="s">
        <v>1865</v>
      </c>
      <c r="G16" s="190"/>
      <c r="H16" s="190"/>
      <c r="I16" s="190"/>
    </row>
    <row r="17" spans="1:9" x14ac:dyDescent="0.2">
      <c r="A17" s="189">
        <v>2</v>
      </c>
      <c r="B17" s="189" t="s">
        <v>1561</v>
      </c>
      <c r="D17" s="189">
        <v>16</v>
      </c>
      <c r="E17" s="189" t="str">
        <f t="shared" ca="1" si="0"/>
        <v>Modeled lives saved (based on latest epidemiological data)</v>
      </c>
      <c r="F17" s="189" t="s">
        <v>1866</v>
      </c>
      <c r="G17" s="190"/>
      <c r="H17" s="190"/>
      <c r="I17" s="190"/>
    </row>
    <row r="18" spans="1:9" x14ac:dyDescent="0.2">
      <c r="A18" s="189">
        <v>3</v>
      </c>
      <c r="B18" s="189" t="s">
        <v>1562</v>
      </c>
      <c r="D18" s="189">
        <v>17</v>
      </c>
      <c r="E18" s="189" t="str">
        <f t="shared" ca="1" si="0"/>
        <v xml:space="preserve">Confirmed malaria cases (microscopy or RDT) per 1000 persons per year (disaggregated by sex) </v>
      </c>
      <c r="F18" s="189" t="s">
        <v>1867</v>
      </c>
      <c r="G18" s="190"/>
      <c r="H18" s="190"/>
      <c r="I18" s="190"/>
    </row>
    <row r="19" spans="1:9" x14ac:dyDescent="0.2">
      <c r="A19" s="189">
        <v>3</v>
      </c>
      <c r="B19" s="189" t="s">
        <v>1562</v>
      </c>
      <c r="D19" s="189">
        <v>18</v>
      </c>
      <c r="E19" s="189" t="str">
        <f t="shared" ca="1" si="0"/>
        <v>Reported malaria cases (disaggregated by sex)</v>
      </c>
      <c r="F19" s="189" t="s">
        <v>1868</v>
      </c>
      <c r="G19" s="190"/>
      <c r="H19" s="190"/>
      <c r="I19" s="190"/>
    </row>
    <row r="20" spans="1:9" x14ac:dyDescent="0.2">
      <c r="A20" s="189">
        <v>3</v>
      </c>
      <c r="B20" s="189" t="s">
        <v>1562</v>
      </c>
      <c r="D20" s="189">
        <v>19</v>
      </c>
      <c r="E20" s="189" t="str">
        <f t="shared" ca="1" si="0"/>
        <v>Parasite prevalence: Proportion of children aged 6-59 months with malaria infection</v>
      </c>
      <c r="F20" s="189" t="s">
        <v>1869</v>
      </c>
      <c r="G20" s="190"/>
      <c r="H20" s="190"/>
      <c r="I20" s="190"/>
    </row>
    <row r="21" spans="1:9" x14ac:dyDescent="0.2">
      <c r="A21" s="189">
        <v>3</v>
      </c>
      <c r="B21" s="189" t="s">
        <v>1562</v>
      </c>
      <c r="D21" s="189">
        <v>20</v>
      </c>
      <c r="E21" s="189" t="str">
        <f t="shared" ca="1" si="0"/>
        <v>Inpatient malaria deaths per 100o persons per year</v>
      </c>
      <c r="F21" s="189" t="s">
        <v>1870</v>
      </c>
      <c r="G21" s="190"/>
      <c r="H21" s="190"/>
      <c r="I21" s="190"/>
    </row>
    <row r="22" spans="1:9" x14ac:dyDescent="0.2">
      <c r="A22" s="189">
        <v>3</v>
      </c>
      <c r="B22" s="189" t="s">
        <v>1562</v>
      </c>
      <c r="D22" s="189">
        <v>21</v>
      </c>
      <c r="E22" s="189" t="str">
        <f t="shared" ca="1" si="0"/>
        <v>Malaria test positivity rate</v>
      </c>
      <c r="F22" s="189" t="s">
        <v>1871</v>
      </c>
      <c r="G22" s="190"/>
      <c r="H22" s="190"/>
      <c r="I22" s="190"/>
    </row>
    <row r="23" spans="1:9" x14ac:dyDescent="0.2">
      <c r="A23" s="189">
        <v>3</v>
      </c>
      <c r="B23" s="189" t="s">
        <v>1562</v>
      </c>
      <c r="D23" s="189">
        <v>22</v>
      </c>
      <c r="E23" s="189" t="str">
        <f t="shared" ca="1" si="0"/>
        <v>All-cause under-5 mortality rate</v>
      </c>
      <c r="F23" s="189" t="s">
        <v>1872</v>
      </c>
      <c r="G23" s="190"/>
      <c r="H23" s="190"/>
      <c r="I23" s="190"/>
    </row>
    <row r="24" spans="1:9" x14ac:dyDescent="0.2">
      <c r="A24" s="189">
        <v>3</v>
      </c>
      <c r="B24" s="189" t="s">
        <v>1562</v>
      </c>
      <c r="D24" s="189">
        <v>23</v>
      </c>
      <c r="E24" s="189" t="str">
        <f t="shared" ca="1" si="0"/>
        <v>Modeled lives saved (based on latest epidemiological data)</v>
      </c>
      <c r="F24" s="189" t="s">
        <v>1866</v>
      </c>
      <c r="G24" s="190"/>
      <c r="H24" s="190"/>
      <c r="I24" s="190"/>
    </row>
    <row r="25" spans="1:9" x14ac:dyDescent="0.2">
      <c r="A25" s="189">
        <v>6</v>
      </c>
      <c r="B25" s="189" t="s">
        <v>1563</v>
      </c>
      <c r="D25" s="189">
        <v>24</v>
      </c>
      <c r="E25" s="189" t="str">
        <f t="shared" ca="1" si="0"/>
        <v>Under 5 mortality rate per 1000 live births</v>
      </c>
      <c r="F25" s="189" t="s">
        <v>1873</v>
      </c>
      <c r="G25" s="190"/>
      <c r="H25" s="190"/>
      <c r="I25" s="190"/>
    </row>
    <row r="26" spans="1:9" x14ac:dyDescent="0.2">
      <c r="A26" s="189">
        <v>6</v>
      </c>
      <c r="B26" s="189" t="s">
        <v>1563</v>
      </c>
      <c r="D26" s="189">
        <v>25</v>
      </c>
      <c r="E26" s="189" t="str">
        <f t="shared" ca="1" si="0"/>
        <v xml:space="preserve">Maternal mortality ratio </v>
      </c>
      <c r="F26" s="189" t="s">
        <v>1874</v>
      </c>
      <c r="G26" s="190"/>
      <c r="H26" s="190"/>
      <c r="I26" s="190"/>
    </row>
    <row r="27" spans="1:9" x14ac:dyDescent="0.2">
      <c r="A27" s="189">
        <v>6</v>
      </c>
      <c r="B27" s="189" t="s">
        <v>1563</v>
      </c>
      <c r="D27" s="189">
        <v>26</v>
      </c>
      <c r="E27" s="189" t="str">
        <f t="shared" ca="1" si="0"/>
        <v>Ratio of household out-of-pocket payments for health to total expenditure on health</v>
      </c>
      <c r="F27" s="189" t="s">
        <v>1875</v>
      </c>
      <c r="G27" s="190"/>
      <c r="H27" s="190"/>
      <c r="I27" s="190"/>
    </row>
  </sheetData>
  <customSheetViews>
    <customSheetView guid="{AB7DC012-E038-4AC4-B964-79EBEC1A7DBE}" state="hidden">
      <pane ySplit="1" topLeftCell="A2" activePane="bottomLeft" state="frozenSplit"/>
      <selection pane="bottomLeft" activeCell="F17" sqref="F1:F1048576"/>
      <pageMargins left="0.7" right="0.7" top="0.75" bottom="0.75" header="0.3" footer="0.3"/>
    </customSheetView>
    <customSheetView guid="{8263CC96-2145-451B-AD8A-CC38FD628AC9}" state="hidden">
      <pane ySplit="1" topLeftCell="A2" activePane="bottomLeft" state="frozenSplit"/>
      <selection pane="bottomLeft" activeCell="F17" sqref="F1:F1048576"/>
      <pageMargins left="0.7" right="0.7" top="0.75" bottom="0.75" header="0.3" footer="0.3"/>
    </customSheetView>
    <customSheetView guid="{721132AF-EF29-4C83-8A4A-F17ABB4BD7C0}" state="hidden">
      <pane ySplit="1" topLeftCell="A2" activePane="bottomLeft" state="frozenSplit"/>
      <selection pane="bottomLeft" activeCell="F17" sqref="F1:F1048576"/>
      <pageMargins left="0.7" right="0.7" top="0.75" bottom="0.75" header="0.3" footer="0.3"/>
    </customSheetView>
    <customSheetView guid="{CE0E8020-2C9F-41F1-9136-031F56EB2C71}" state="hidden">
      <pane ySplit="1" topLeftCell="A2" activePane="bottomLeft" state="frozenSplit"/>
      <selection pane="bottomLeft" activeCell="F17" sqref="F1:F1048576"/>
      <pageMargins left="0.7" right="0.7" top="0.75" bottom="0.75" header="0.3" footer="0.3"/>
    </customSheetView>
    <customSheetView guid="{E823EC26-EF2B-442F-BAF4-E4055CE48BD3}" state="hidden">
      <pane ySplit="1" topLeftCell="A2" activePane="bottomLeft" state="frozenSplit"/>
      <selection pane="bottomLeft" activeCell="F17" sqref="F1:F1048576"/>
      <pageMargins left="0.7" right="0.7" top="0.75" bottom="0.75" header="0.3" footer="0.3"/>
    </customSheetView>
    <customSheetView guid="{86255A0E-17F2-0E4B-B055-7B9B2A71C25A}" state="hidden">
      <pane ySplit="1.0769230769230769" topLeftCell="A2" activePane="bottomLeft" state="frozenSplit"/>
      <selection pane="bottomLeft" activeCell="F17" sqref="F1:F1048576"/>
      <pageMargins left="0.7" right="0.7" top="0.75" bottom="0.75" header="0.3" footer="0.3"/>
    </customSheetView>
    <customSheetView guid="{D193A86F-CAEF-42FB-9ABB-073B57B81A50}" state="hidden">
      <pane ySplit="1" topLeftCell="A2" activePane="bottomLeft" state="frozenSplit"/>
      <selection pane="bottomLeft" activeCell="F17" sqref="F1:F1048576"/>
      <pageMargins left="0.7" right="0.7" top="0.75" bottom="0.75" header="0.3" footer="0.3"/>
    </customSheetView>
  </customSheetViews>
  <pageMargins left="0.7" right="0.7" top="0.75" bottom="0.75" header="0.3" footer="0.3"/>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pane ySplit="1" topLeftCell="A2" activePane="bottomLeft" state="frozenSplit"/>
      <selection pane="bottomLeft" activeCell="C3" sqref="C3"/>
    </sheetView>
  </sheetViews>
  <sheetFormatPr defaultColWidth="9.140625" defaultRowHeight="14.25" x14ac:dyDescent="0.2"/>
  <cols>
    <col min="1" max="2" width="9.140625" style="3"/>
    <col min="3" max="3" width="10.7109375" style="3" bestFit="1" customWidth="1"/>
    <col min="4" max="4" width="10.7109375" style="3" customWidth="1"/>
    <col min="5" max="5" width="45.7109375" style="3" bestFit="1" customWidth="1"/>
    <col min="6" max="6" width="27.42578125" style="3" customWidth="1"/>
    <col min="7" max="7" width="27.28515625" style="3" customWidth="1"/>
    <col min="8" max="8" width="27.7109375" style="3" customWidth="1"/>
    <col min="9" max="16384" width="9.140625" style="3"/>
  </cols>
  <sheetData>
    <row r="1" spans="1:8" s="197" customFormat="1" ht="15" x14ac:dyDescent="0.25">
      <c r="A1" s="197" t="s">
        <v>1552</v>
      </c>
      <c r="B1" s="197" t="s">
        <v>1553</v>
      </c>
      <c r="C1" s="197" t="s">
        <v>1876</v>
      </c>
      <c r="D1" s="197" t="s">
        <v>625</v>
      </c>
      <c r="E1" s="197" t="s">
        <v>1877</v>
      </c>
      <c r="F1" s="197" t="s">
        <v>1878</v>
      </c>
      <c r="G1" s="197" t="s">
        <v>1879</v>
      </c>
      <c r="H1" s="197" t="s">
        <v>1880</v>
      </c>
    </row>
    <row r="2" spans="1:8" x14ac:dyDescent="0.2">
      <c r="A2" s="3">
        <v>1</v>
      </c>
      <c r="B2" s="3" t="s">
        <v>1558</v>
      </c>
      <c r="C2" s="3">
        <v>1</v>
      </c>
      <c r="D2" s="3" t="str">
        <f t="shared" ref="D2:D33" ca="1" si="0">OFFSET(E2,0,LangOffset,1,1)</f>
        <v>HMIS</v>
      </c>
      <c r="E2" s="3" t="s">
        <v>44</v>
      </c>
      <c r="F2" s="3" t="s">
        <v>44</v>
      </c>
      <c r="G2" s="3" t="s">
        <v>671</v>
      </c>
      <c r="H2" s="3" t="s">
        <v>1881</v>
      </c>
    </row>
    <row r="3" spans="1:8" x14ac:dyDescent="0.2">
      <c r="A3" s="3">
        <v>1</v>
      </c>
      <c r="B3" s="3" t="s">
        <v>1558</v>
      </c>
      <c r="C3" s="3">
        <v>2</v>
      </c>
      <c r="D3" s="3" t="str">
        <f t="shared" ca="1" si="0"/>
        <v>Patient records</v>
      </c>
      <c r="E3" s="3" t="s">
        <v>43</v>
      </c>
      <c r="F3" s="3" t="s">
        <v>672</v>
      </c>
      <c r="G3" s="3" t="s">
        <v>673</v>
      </c>
      <c r="H3" s="3" t="s">
        <v>1882</v>
      </c>
    </row>
    <row r="4" spans="1:8" x14ac:dyDescent="0.2">
      <c r="A4" s="3">
        <v>1</v>
      </c>
      <c r="B4" s="3" t="s">
        <v>1558</v>
      </c>
      <c r="C4" s="3">
        <v>3</v>
      </c>
      <c r="D4" s="3" t="str">
        <f t="shared" ca="1" si="0"/>
        <v>Training records</v>
      </c>
      <c r="E4" s="3" t="s">
        <v>42</v>
      </c>
      <c r="F4" s="3" t="s">
        <v>674</v>
      </c>
      <c r="G4" s="3" t="s">
        <v>675</v>
      </c>
      <c r="H4" s="3" t="s">
        <v>1883</v>
      </c>
    </row>
    <row r="5" spans="1:8" x14ac:dyDescent="0.2">
      <c r="A5" s="3">
        <v>1</v>
      </c>
      <c r="B5" s="3" t="s">
        <v>1558</v>
      </c>
      <c r="C5" s="3">
        <v>4</v>
      </c>
      <c r="D5" s="3" t="str">
        <f t="shared" ca="1" si="0"/>
        <v>MICS (Multiple Indicator Cluster Survey)</v>
      </c>
      <c r="E5" s="3" t="s">
        <v>41</v>
      </c>
      <c r="F5" s="3" t="s">
        <v>676</v>
      </c>
      <c r="G5" s="3" t="s">
        <v>677</v>
      </c>
      <c r="H5" s="3" t="s">
        <v>678</v>
      </c>
    </row>
    <row r="6" spans="1:8" x14ac:dyDescent="0.2">
      <c r="A6" s="3">
        <v>1</v>
      </c>
      <c r="B6" s="3" t="s">
        <v>1558</v>
      </c>
      <c r="C6" s="3">
        <v>5</v>
      </c>
      <c r="D6" s="3" t="str">
        <f t="shared" ca="1" si="0"/>
        <v>DHS/DHS+ (Demographic and Health
Survey)</v>
      </c>
      <c r="E6" s="3" t="s">
        <v>40</v>
      </c>
      <c r="F6" s="3" t="s">
        <v>679</v>
      </c>
      <c r="G6" s="3" t="s">
        <v>680</v>
      </c>
      <c r="H6" s="3" t="s">
        <v>681</v>
      </c>
    </row>
    <row r="7" spans="1:8" x14ac:dyDescent="0.2">
      <c r="A7" s="3">
        <v>1</v>
      </c>
      <c r="B7" s="3" t="s">
        <v>1558</v>
      </c>
      <c r="C7" s="3">
        <v>6</v>
      </c>
      <c r="D7" s="3" t="str">
        <f t="shared" ca="1" si="0"/>
        <v>AIS (AIDS Indicator Survey)</v>
      </c>
      <c r="E7" s="3" t="s">
        <v>39</v>
      </c>
      <c r="F7" s="3" t="s">
        <v>682</v>
      </c>
      <c r="G7" s="3" t="s">
        <v>683</v>
      </c>
      <c r="H7" s="3" t="s">
        <v>684</v>
      </c>
    </row>
    <row r="8" spans="1:8" x14ac:dyDescent="0.2">
      <c r="A8" s="3">
        <v>1</v>
      </c>
      <c r="B8" s="3" t="s">
        <v>1558</v>
      </c>
      <c r="C8" s="3">
        <v>7</v>
      </c>
      <c r="D8" s="3" t="str">
        <f t="shared" ca="1" si="0"/>
        <v>BSS (Behavioral Surveillance Survey)</v>
      </c>
      <c r="E8" s="3" t="s">
        <v>38</v>
      </c>
      <c r="F8" s="3" t="s">
        <v>685</v>
      </c>
      <c r="G8" s="3" t="s">
        <v>686</v>
      </c>
      <c r="H8" s="3" t="s">
        <v>687</v>
      </c>
    </row>
    <row r="9" spans="1:8" x14ac:dyDescent="0.2">
      <c r="A9" s="3">
        <v>1</v>
      </c>
      <c r="B9" s="3" t="s">
        <v>1558</v>
      </c>
      <c r="C9" s="3">
        <v>8</v>
      </c>
      <c r="D9" s="3" t="str">
        <f t="shared" ca="1" si="0"/>
        <v>Health Facility survey</v>
      </c>
      <c r="E9" s="3" t="s">
        <v>37</v>
      </c>
      <c r="F9" s="3" t="s">
        <v>688</v>
      </c>
      <c r="G9" s="3" t="s">
        <v>689</v>
      </c>
      <c r="H9" s="3" t="s">
        <v>690</v>
      </c>
    </row>
    <row r="10" spans="1:8" x14ac:dyDescent="0.2">
      <c r="A10" s="3">
        <v>1</v>
      </c>
      <c r="B10" s="3" t="s">
        <v>1558</v>
      </c>
      <c r="C10" s="3">
        <v>9</v>
      </c>
      <c r="D10" s="3" t="str">
        <f t="shared" ca="1" si="0"/>
        <v>SAMS (Service Availability Mapping
Survey)</v>
      </c>
      <c r="E10" s="3" t="s">
        <v>36</v>
      </c>
      <c r="F10" s="3" t="s">
        <v>691</v>
      </c>
      <c r="G10" s="3" t="s">
        <v>692</v>
      </c>
      <c r="H10" s="3" t="s">
        <v>693</v>
      </c>
    </row>
    <row r="11" spans="1:8" x14ac:dyDescent="0.2">
      <c r="A11" s="3">
        <v>1</v>
      </c>
      <c r="B11" s="3" t="s">
        <v>1558</v>
      </c>
      <c r="C11" s="3">
        <v>10</v>
      </c>
      <c r="D11" s="3" t="str">
        <f t="shared" ca="1" si="0"/>
        <v>Households survey</v>
      </c>
      <c r="E11" s="3" t="s">
        <v>35</v>
      </c>
      <c r="F11" s="3" t="s">
        <v>694</v>
      </c>
      <c r="G11" s="3" t="s">
        <v>695</v>
      </c>
      <c r="H11" s="3" t="s">
        <v>696</v>
      </c>
    </row>
    <row r="12" spans="1:8" x14ac:dyDescent="0.2">
      <c r="A12" s="3">
        <v>1</v>
      </c>
      <c r="B12" s="3" t="s">
        <v>1558</v>
      </c>
      <c r="C12" s="3">
        <v>11</v>
      </c>
      <c r="D12" s="3" t="str">
        <f t="shared" ca="1" si="0"/>
        <v>Specific surveys and research (specify)</v>
      </c>
      <c r="E12" s="3" t="s">
        <v>34</v>
      </c>
      <c r="F12" s="3" t="s">
        <v>697</v>
      </c>
      <c r="G12" s="3" t="s">
        <v>698</v>
      </c>
      <c r="H12" s="3" t="s">
        <v>699</v>
      </c>
    </row>
    <row r="13" spans="1:8" x14ac:dyDescent="0.2">
      <c r="A13" s="3">
        <v>1</v>
      </c>
      <c r="B13" s="3" t="s">
        <v>1558</v>
      </c>
      <c r="C13" s="3">
        <v>12</v>
      </c>
      <c r="D13" s="3" t="str">
        <f t="shared" ca="1" si="0"/>
        <v>Reports (specify)</v>
      </c>
      <c r="E13" s="3" t="s">
        <v>33</v>
      </c>
      <c r="F13" s="3" t="s">
        <v>700</v>
      </c>
      <c r="G13" s="3" t="s">
        <v>701</v>
      </c>
      <c r="H13" s="3" t="s">
        <v>1884</v>
      </c>
    </row>
    <row r="14" spans="1:8" x14ac:dyDescent="0.2">
      <c r="A14" s="3">
        <v>1</v>
      </c>
      <c r="B14" s="3" t="s">
        <v>1558</v>
      </c>
      <c r="C14" s="3">
        <v>13</v>
      </c>
      <c r="D14" s="3" t="str">
        <f t="shared" ca="1" si="0"/>
        <v>Vital and disease-specific registry</v>
      </c>
      <c r="E14" s="3" t="s">
        <v>32</v>
      </c>
      <c r="F14" s="3" t="s">
        <v>702</v>
      </c>
      <c r="G14" s="3" t="s">
        <v>703</v>
      </c>
      <c r="H14" s="3" t="s">
        <v>1885</v>
      </c>
    </row>
    <row r="15" spans="1:8" x14ac:dyDescent="0.2">
      <c r="A15" s="3">
        <v>1</v>
      </c>
      <c r="B15" s="3" t="s">
        <v>1558</v>
      </c>
      <c r="C15" s="3">
        <v>14</v>
      </c>
      <c r="D15" s="3" t="str">
        <f t="shared" ca="1" si="0"/>
        <v>Operational Research</v>
      </c>
      <c r="E15" s="3" t="s">
        <v>31</v>
      </c>
      <c r="F15" s="3" t="s">
        <v>658</v>
      </c>
      <c r="G15" s="3" t="s">
        <v>659</v>
      </c>
      <c r="H15" s="3" t="s">
        <v>1886</v>
      </c>
    </row>
    <row r="16" spans="1:8" x14ac:dyDescent="0.2">
      <c r="A16" s="3">
        <v>1</v>
      </c>
      <c r="B16" s="3" t="s">
        <v>1558</v>
      </c>
      <c r="C16" s="3">
        <v>15</v>
      </c>
      <c r="D16" s="3" t="str">
        <f t="shared" ca="1" si="0"/>
        <v>Health Provider survey</v>
      </c>
      <c r="E16" s="3" t="s">
        <v>30</v>
      </c>
      <c r="F16" s="3" t="s">
        <v>704</v>
      </c>
      <c r="G16" s="3" t="s">
        <v>705</v>
      </c>
      <c r="H16" s="3" t="s">
        <v>706</v>
      </c>
    </row>
    <row r="17" spans="1:8" x14ac:dyDescent="0.2">
      <c r="A17" s="3">
        <v>1</v>
      </c>
      <c r="B17" s="3" t="s">
        <v>1558</v>
      </c>
      <c r="C17" s="3">
        <v>16</v>
      </c>
      <c r="D17" s="3" t="str">
        <f t="shared" ca="1" si="0"/>
        <v>National Health Account</v>
      </c>
      <c r="E17" s="3" t="s">
        <v>29</v>
      </c>
      <c r="F17" s="3" t="s">
        <v>707</v>
      </c>
      <c r="G17" s="3" t="s">
        <v>708</v>
      </c>
      <c r="H17" s="3" t="s">
        <v>709</v>
      </c>
    </row>
    <row r="18" spans="1:8" x14ac:dyDescent="0.2">
      <c r="A18" s="3">
        <v>1</v>
      </c>
      <c r="B18" s="3" t="s">
        <v>1558</v>
      </c>
      <c r="C18" s="3">
        <v>17</v>
      </c>
      <c r="D18" s="3" t="str">
        <f t="shared" ca="1" si="0"/>
        <v>Administrative records</v>
      </c>
      <c r="E18" s="3" t="s">
        <v>28</v>
      </c>
      <c r="F18" s="3" t="s">
        <v>710</v>
      </c>
      <c r="G18" s="3" t="s">
        <v>711</v>
      </c>
      <c r="H18" s="3" t="s">
        <v>1887</v>
      </c>
    </row>
    <row r="19" spans="1:8" x14ac:dyDescent="0.2">
      <c r="A19" s="3">
        <v>2</v>
      </c>
      <c r="B19" s="3" t="s">
        <v>1561</v>
      </c>
      <c r="C19" s="3">
        <v>18</v>
      </c>
      <c r="D19" s="3" t="str">
        <f t="shared" ca="1" si="0"/>
        <v>R&amp;R TB system, quarterly reports</v>
      </c>
      <c r="E19" s="3" t="s">
        <v>52</v>
      </c>
      <c r="F19" s="3" t="s">
        <v>712</v>
      </c>
      <c r="G19" s="3" t="s">
        <v>713</v>
      </c>
      <c r="H19" s="3" t="s">
        <v>1888</v>
      </c>
    </row>
    <row r="20" spans="1:8" x14ac:dyDescent="0.2">
      <c r="A20" s="3">
        <v>2</v>
      </c>
      <c r="B20" s="3" t="s">
        <v>1561</v>
      </c>
      <c r="C20" s="3">
        <v>19</v>
      </c>
      <c r="D20" s="3" t="str">
        <f t="shared" ca="1" si="0"/>
        <v xml:space="preserve">R&amp;R TB system, yearly management report </v>
      </c>
      <c r="E20" s="3" t="s">
        <v>51</v>
      </c>
      <c r="F20" s="3" t="s">
        <v>714</v>
      </c>
      <c r="G20" s="3" t="s">
        <v>715</v>
      </c>
      <c r="H20" s="3" t="s">
        <v>1889</v>
      </c>
    </row>
    <row r="21" spans="1:8" x14ac:dyDescent="0.2">
      <c r="A21" s="3">
        <v>2</v>
      </c>
      <c r="B21" s="3" t="s">
        <v>1561</v>
      </c>
      <c r="C21" s="3">
        <v>20</v>
      </c>
      <c r="D21" s="3" t="str">
        <f t="shared" ca="1" si="0"/>
        <v>TB prevalence survey</v>
      </c>
      <c r="E21" s="3" t="s">
        <v>50</v>
      </c>
      <c r="F21" s="3" t="s">
        <v>716</v>
      </c>
      <c r="G21" s="3" t="s">
        <v>717</v>
      </c>
      <c r="H21" s="3" t="s">
        <v>1890</v>
      </c>
    </row>
    <row r="22" spans="1:8" x14ac:dyDescent="0.2">
      <c r="A22" s="3">
        <v>2</v>
      </c>
      <c r="B22" s="3" t="s">
        <v>1561</v>
      </c>
      <c r="C22" s="3">
        <v>21</v>
      </c>
      <c r="D22" s="3" t="str">
        <f t="shared" ca="1" si="0"/>
        <v>Vital registration system</v>
      </c>
      <c r="E22" s="3" t="s">
        <v>568</v>
      </c>
      <c r="F22" s="3" t="s">
        <v>758</v>
      </c>
      <c r="G22" s="3" t="s">
        <v>759</v>
      </c>
      <c r="H22" s="3" t="s">
        <v>757</v>
      </c>
    </row>
    <row r="23" spans="1:8" x14ac:dyDescent="0.2">
      <c r="A23" s="3">
        <v>2</v>
      </c>
      <c r="B23" s="3" t="s">
        <v>1561</v>
      </c>
      <c r="C23" s="3">
        <v>22</v>
      </c>
      <c r="D23" s="3" t="str">
        <f t="shared" ca="1" si="0"/>
        <v>TB patient register</v>
      </c>
      <c r="E23" s="3" t="s">
        <v>49</v>
      </c>
      <c r="F23" s="3" t="s">
        <v>718</v>
      </c>
      <c r="G23" s="3" t="s">
        <v>719</v>
      </c>
      <c r="H23" s="3" t="s">
        <v>1891</v>
      </c>
    </row>
    <row r="24" spans="1:8" x14ac:dyDescent="0.2">
      <c r="A24" s="3">
        <v>2</v>
      </c>
      <c r="B24" s="3" t="s">
        <v>1561</v>
      </c>
      <c r="C24" s="3">
        <v>23</v>
      </c>
      <c r="D24" s="3" t="str">
        <f t="shared" ca="1" si="0"/>
        <v>TB laboratory register</v>
      </c>
      <c r="E24" s="3" t="s">
        <v>48</v>
      </c>
      <c r="F24" s="3" t="s">
        <v>720</v>
      </c>
      <c r="G24" s="3" t="s">
        <v>721</v>
      </c>
      <c r="H24" s="3" t="s">
        <v>1892</v>
      </c>
    </row>
    <row r="25" spans="1:8" x14ac:dyDescent="0.2">
      <c r="A25" s="3">
        <v>2</v>
      </c>
      <c r="B25" s="3" t="s">
        <v>1561</v>
      </c>
      <c r="C25" s="3">
        <v>24</v>
      </c>
      <c r="D25" s="3" t="str">
        <f t="shared" ca="1" si="0"/>
        <v>TB treatment card</v>
      </c>
      <c r="E25" s="3" t="s">
        <v>47</v>
      </c>
      <c r="F25" s="3" t="s">
        <v>722</v>
      </c>
      <c r="G25" s="3" t="s">
        <v>723</v>
      </c>
      <c r="H25" s="3" t="s">
        <v>1893</v>
      </c>
    </row>
    <row r="26" spans="1:8" x14ac:dyDescent="0.2">
      <c r="A26" s="3">
        <v>2</v>
      </c>
      <c r="B26" s="3" t="s">
        <v>1561</v>
      </c>
      <c r="C26" s="3">
        <v>25</v>
      </c>
      <c r="D26" s="3" t="str">
        <f t="shared" ca="1" si="0"/>
        <v>Training records</v>
      </c>
      <c r="E26" s="3" t="s">
        <v>42</v>
      </c>
      <c r="F26" s="3" t="s">
        <v>674</v>
      </c>
      <c r="G26" s="3" t="s">
        <v>675</v>
      </c>
      <c r="H26" s="3" t="s">
        <v>1883</v>
      </c>
    </row>
    <row r="27" spans="1:8" x14ac:dyDescent="0.2">
      <c r="A27" s="3">
        <v>2</v>
      </c>
      <c r="B27" s="3" t="s">
        <v>1561</v>
      </c>
      <c r="C27" s="3">
        <v>26</v>
      </c>
      <c r="D27" s="3" t="str">
        <f t="shared" ca="1" si="0"/>
        <v>Specify- Reports, Surveys, Questionnaires etc.</v>
      </c>
      <c r="E27" s="3" t="s">
        <v>46</v>
      </c>
      <c r="F27" s="3" t="s">
        <v>724</v>
      </c>
      <c r="G27" s="3" t="s">
        <v>725</v>
      </c>
      <c r="H27" s="3" t="s">
        <v>1894</v>
      </c>
    </row>
    <row r="28" spans="1:8" x14ac:dyDescent="0.2">
      <c r="A28" s="3">
        <v>2</v>
      </c>
      <c r="B28" s="3" t="s">
        <v>1561</v>
      </c>
      <c r="C28" s="3">
        <v>27</v>
      </c>
      <c r="D28" s="3" t="str">
        <f t="shared" ca="1" si="0"/>
        <v>Health Provider survey</v>
      </c>
      <c r="E28" s="3" t="s">
        <v>30</v>
      </c>
      <c r="F28" s="3" t="s">
        <v>704</v>
      </c>
      <c r="G28" s="3" t="s">
        <v>705</v>
      </c>
      <c r="H28" s="3" t="s">
        <v>706</v>
      </c>
    </row>
    <row r="29" spans="1:8" x14ac:dyDescent="0.2">
      <c r="A29" s="3">
        <v>2</v>
      </c>
      <c r="B29" s="3" t="s">
        <v>1561</v>
      </c>
      <c r="C29" s="3">
        <v>28</v>
      </c>
      <c r="D29" s="3" t="str">
        <f t="shared" ca="1" si="0"/>
        <v>Health Facility survey</v>
      </c>
      <c r="E29" s="3" t="s">
        <v>37</v>
      </c>
      <c r="F29" s="3" t="s">
        <v>688</v>
      </c>
      <c r="G29" s="3" t="s">
        <v>689</v>
      </c>
      <c r="H29" s="3" t="s">
        <v>690</v>
      </c>
    </row>
    <row r="30" spans="1:8" x14ac:dyDescent="0.2">
      <c r="A30" s="3">
        <v>2</v>
      </c>
      <c r="B30" s="3" t="s">
        <v>1561</v>
      </c>
      <c r="C30" s="3">
        <v>29</v>
      </c>
      <c r="D30" s="3" t="str">
        <f t="shared" ca="1" si="0"/>
        <v>National Health Account</v>
      </c>
      <c r="E30" s="3" t="s">
        <v>29</v>
      </c>
      <c r="F30" s="3" t="s">
        <v>707</v>
      </c>
      <c r="G30" s="3" t="s">
        <v>708</v>
      </c>
      <c r="H30" s="3" t="s">
        <v>709</v>
      </c>
    </row>
    <row r="31" spans="1:8" x14ac:dyDescent="0.2">
      <c r="A31" s="3">
        <v>2</v>
      </c>
      <c r="B31" s="3" t="s">
        <v>1561</v>
      </c>
      <c r="C31" s="3">
        <v>30</v>
      </c>
      <c r="D31" s="3" t="str">
        <f t="shared" ca="1" si="0"/>
        <v>Households survey</v>
      </c>
      <c r="E31" s="3" t="s">
        <v>35</v>
      </c>
      <c r="F31" s="3" t="s">
        <v>694</v>
      </c>
      <c r="G31" s="3" t="s">
        <v>695</v>
      </c>
      <c r="H31" s="3" t="s">
        <v>696</v>
      </c>
    </row>
    <row r="32" spans="1:8" x14ac:dyDescent="0.2">
      <c r="A32" s="3">
        <v>2</v>
      </c>
      <c r="B32" s="3" t="s">
        <v>1561</v>
      </c>
      <c r="C32" s="3">
        <v>31</v>
      </c>
      <c r="D32" s="3" t="str">
        <f t="shared" ca="1" si="0"/>
        <v>SAMS (Service Availability Mapping Survey)</v>
      </c>
      <c r="E32" s="3" t="s">
        <v>45</v>
      </c>
      <c r="F32" s="3" t="s">
        <v>691</v>
      </c>
      <c r="G32" s="3" t="s">
        <v>726</v>
      </c>
      <c r="H32" s="3" t="s">
        <v>727</v>
      </c>
    </row>
    <row r="33" spans="1:8" x14ac:dyDescent="0.2">
      <c r="A33" s="3">
        <v>2</v>
      </c>
      <c r="B33" s="3" t="s">
        <v>1561</v>
      </c>
      <c r="C33" s="3">
        <v>32</v>
      </c>
      <c r="D33" s="3" t="str">
        <f t="shared" ca="1" si="0"/>
        <v>Administrative records</v>
      </c>
      <c r="E33" s="3" t="s">
        <v>28</v>
      </c>
      <c r="F33" s="3" t="s">
        <v>728</v>
      </c>
      <c r="G33" s="3" t="s">
        <v>711</v>
      </c>
      <c r="H33" s="3" t="s">
        <v>1887</v>
      </c>
    </row>
    <row r="34" spans="1:8" x14ac:dyDescent="0.2">
      <c r="A34" s="3">
        <v>3</v>
      </c>
      <c r="B34" s="3" t="s">
        <v>1562</v>
      </c>
      <c r="C34" s="3">
        <v>33</v>
      </c>
      <c r="D34" s="3" t="str">
        <f t="shared" ref="D34:D65" ca="1" si="1">OFFSET(E34,0,LangOffset,1,1)</f>
        <v>DHS/DHS+ (Demographic and Health Survey)</v>
      </c>
      <c r="E34" s="3" t="s">
        <v>60</v>
      </c>
      <c r="F34" s="3" t="s">
        <v>679</v>
      </c>
      <c r="G34" s="3" t="s">
        <v>729</v>
      </c>
      <c r="H34" s="3" t="s">
        <v>681</v>
      </c>
    </row>
    <row r="35" spans="1:8" x14ac:dyDescent="0.2">
      <c r="A35" s="3">
        <v>3</v>
      </c>
      <c r="B35" s="3" t="s">
        <v>1562</v>
      </c>
      <c r="C35" s="3">
        <v>34</v>
      </c>
      <c r="D35" s="3" t="str">
        <f t="shared" ca="1" si="1"/>
        <v>MIS (Malaria Indicator Survey)</v>
      </c>
      <c r="E35" s="3" t="s">
        <v>59</v>
      </c>
      <c r="F35" s="3" t="s">
        <v>730</v>
      </c>
      <c r="G35" s="3" t="s">
        <v>731</v>
      </c>
      <c r="H35" s="3" t="s">
        <v>732</v>
      </c>
    </row>
    <row r="36" spans="1:8" x14ac:dyDescent="0.2">
      <c r="A36" s="3">
        <v>3</v>
      </c>
      <c r="B36" s="3" t="s">
        <v>1562</v>
      </c>
      <c r="C36" s="3">
        <v>35</v>
      </c>
      <c r="D36" s="3" t="str">
        <f t="shared" ca="1" si="1"/>
        <v>MICS (Multiple Indicator Cluster Survey)</v>
      </c>
      <c r="E36" s="3" t="s">
        <v>41</v>
      </c>
      <c r="F36" s="3" t="s">
        <v>676</v>
      </c>
      <c r="G36" s="3" t="s">
        <v>677</v>
      </c>
      <c r="H36" s="3" t="s">
        <v>678</v>
      </c>
    </row>
    <row r="37" spans="1:8" x14ac:dyDescent="0.2">
      <c r="A37" s="3">
        <v>3</v>
      </c>
      <c r="B37" s="3" t="s">
        <v>1562</v>
      </c>
      <c r="C37" s="3">
        <v>36</v>
      </c>
      <c r="D37" s="3" t="str">
        <f t="shared" ca="1" si="1"/>
        <v>Situation Analysis</v>
      </c>
      <c r="E37" s="3" t="s">
        <v>58</v>
      </c>
      <c r="F37" s="3" t="s">
        <v>733</v>
      </c>
      <c r="G37" s="3" t="s">
        <v>734</v>
      </c>
      <c r="H37" s="3" t="s">
        <v>735</v>
      </c>
    </row>
    <row r="38" spans="1:8" x14ac:dyDescent="0.2">
      <c r="A38" s="3">
        <v>3</v>
      </c>
      <c r="B38" s="3" t="s">
        <v>1562</v>
      </c>
      <c r="C38" s="3">
        <v>37</v>
      </c>
      <c r="D38" s="3" t="str">
        <f t="shared" ca="1" si="1"/>
        <v>HMIS</v>
      </c>
      <c r="E38" s="3" t="s">
        <v>44</v>
      </c>
      <c r="F38" s="3" t="s">
        <v>44</v>
      </c>
      <c r="G38" s="3" t="s">
        <v>671</v>
      </c>
      <c r="H38" s="3" t="s">
        <v>1881</v>
      </c>
    </row>
    <row r="39" spans="1:8" x14ac:dyDescent="0.2">
      <c r="A39" s="3">
        <v>3</v>
      </c>
      <c r="B39" s="3" t="s">
        <v>1562</v>
      </c>
      <c r="C39" s="3">
        <v>38</v>
      </c>
      <c r="D39" s="3" t="str">
        <f t="shared" ca="1" si="1"/>
        <v>Health Facility survey</v>
      </c>
      <c r="E39" s="3" t="s">
        <v>37</v>
      </c>
      <c r="F39" s="3" t="s">
        <v>688</v>
      </c>
      <c r="G39" s="3" t="s">
        <v>689</v>
      </c>
      <c r="H39" s="3" t="s">
        <v>690</v>
      </c>
    </row>
    <row r="40" spans="1:8" x14ac:dyDescent="0.2">
      <c r="A40" s="3">
        <v>3</v>
      </c>
      <c r="B40" s="3" t="s">
        <v>1562</v>
      </c>
      <c r="C40" s="3">
        <v>39</v>
      </c>
      <c r="D40" s="3" t="str">
        <f t="shared" ca="1" si="1"/>
        <v>Health Provider survey</v>
      </c>
      <c r="E40" s="3" t="s">
        <v>30</v>
      </c>
      <c r="F40" s="3" t="s">
        <v>704</v>
      </c>
      <c r="G40" s="3" t="s">
        <v>705</v>
      </c>
      <c r="H40" s="3" t="s">
        <v>706</v>
      </c>
    </row>
    <row r="41" spans="1:8" x14ac:dyDescent="0.2">
      <c r="A41" s="3">
        <v>3</v>
      </c>
      <c r="B41" s="3" t="s">
        <v>1562</v>
      </c>
      <c r="C41" s="3">
        <v>40</v>
      </c>
      <c r="D41" s="3" t="str">
        <f t="shared" ca="1" si="1"/>
        <v>Key informant survey</v>
      </c>
      <c r="E41" s="3" t="s">
        <v>57</v>
      </c>
      <c r="F41" s="3" t="s">
        <v>736</v>
      </c>
      <c r="G41" s="3" t="s">
        <v>737</v>
      </c>
      <c r="H41" s="3" t="s">
        <v>738</v>
      </c>
    </row>
    <row r="42" spans="1:8" x14ac:dyDescent="0.2">
      <c r="A42" s="3">
        <v>3</v>
      </c>
      <c r="B42" s="3" t="s">
        <v>1562</v>
      </c>
      <c r="C42" s="3">
        <v>41</v>
      </c>
      <c r="D42" s="3" t="str">
        <f t="shared" ca="1" si="1"/>
        <v>Households survey</v>
      </c>
      <c r="E42" s="3" t="s">
        <v>35</v>
      </c>
      <c r="F42" s="3" t="s">
        <v>694</v>
      </c>
      <c r="G42" s="3" t="s">
        <v>695</v>
      </c>
      <c r="H42" s="3" t="s">
        <v>696</v>
      </c>
    </row>
    <row r="43" spans="1:8" x14ac:dyDescent="0.2">
      <c r="A43" s="3">
        <v>3</v>
      </c>
      <c r="B43" s="3" t="s">
        <v>1562</v>
      </c>
      <c r="C43" s="3">
        <v>42</v>
      </c>
      <c r="D43" s="3" t="str">
        <f t="shared" ca="1" si="1"/>
        <v>Vital registration systems</v>
      </c>
      <c r="E43" s="3" t="s">
        <v>739</v>
      </c>
      <c r="F43" s="3" t="s">
        <v>740</v>
      </c>
      <c r="G43" s="3" t="s">
        <v>741</v>
      </c>
      <c r="H43" s="3" t="s">
        <v>1895</v>
      </c>
    </row>
    <row r="44" spans="1:8" x14ac:dyDescent="0.2">
      <c r="A44" s="3">
        <v>3</v>
      </c>
      <c r="B44" s="3" t="s">
        <v>1562</v>
      </c>
      <c r="C44" s="3">
        <v>43</v>
      </c>
      <c r="D44" s="3" t="str">
        <f t="shared" ca="1" si="1"/>
        <v>Training records</v>
      </c>
      <c r="E44" s="3" t="s">
        <v>42</v>
      </c>
      <c r="F44" s="3" t="s">
        <v>674</v>
      </c>
      <c r="G44" s="3" t="s">
        <v>675</v>
      </c>
      <c r="H44" s="3" t="s">
        <v>1883</v>
      </c>
    </row>
    <row r="45" spans="1:8" x14ac:dyDescent="0.2">
      <c r="A45" s="3">
        <v>3</v>
      </c>
      <c r="B45" s="3" t="s">
        <v>1562</v>
      </c>
      <c r="C45" s="3">
        <v>44</v>
      </c>
      <c r="D45" s="3" t="str">
        <f t="shared" ca="1" si="1"/>
        <v>Patients records</v>
      </c>
      <c r="E45" s="3" t="s">
        <v>56</v>
      </c>
      <c r="F45" s="3" t="s">
        <v>672</v>
      </c>
      <c r="G45" s="3" t="s">
        <v>742</v>
      </c>
      <c r="H45" s="3" t="s">
        <v>1882</v>
      </c>
    </row>
    <row r="46" spans="1:8" x14ac:dyDescent="0.2">
      <c r="A46" s="3">
        <v>3</v>
      </c>
      <c r="B46" s="3" t="s">
        <v>1562</v>
      </c>
      <c r="C46" s="3">
        <v>45</v>
      </c>
      <c r="D46" s="3" t="str">
        <f t="shared" ca="1" si="1"/>
        <v>Surveillance systems</v>
      </c>
      <c r="E46" s="3" t="s">
        <v>55</v>
      </c>
      <c r="F46" s="3" t="s">
        <v>743</v>
      </c>
      <c r="G46" s="3" t="s">
        <v>744</v>
      </c>
      <c r="H46" s="3" t="s">
        <v>1896</v>
      </c>
    </row>
    <row r="47" spans="1:8" x14ac:dyDescent="0.2">
      <c r="A47" s="3">
        <v>3</v>
      </c>
      <c r="B47" s="3" t="s">
        <v>1562</v>
      </c>
      <c r="C47" s="3">
        <v>46</v>
      </c>
      <c r="D47" s="3" t="str">
        <f t="shared" ca="1" si="1"/>
        <v>Other report, specify</v>
      </c>
      <c r="E47" s="3" t="s">
        <v>54</v>
      </c>
      <c r="F47" s="3" t="s">
        <v>1897</v>
      </c>
      <c r="G47" s="3" t="s">
        <v>745</v>
      </c>
      <c r="H47" s="3" t="s">
        <v>1898</v>
      </c>
    </row>
    <row r="48" spans="1:8" x14ac:dyDescent="0.2">
      <c r="A48" s="3">
        <v>3</v>
      </c>
      <c r="B48" s="3" t="s">
        <v>1562</v>
      </c>
      <c r="C48" s="3">
        <v>47</v>
      </c>
      <c r="D48" s="3" t="str">
        <f t="shared" ca="1" si="1"/>
        <v>National Health Account</v>
      </c>
      <c r="E48" s="3" t="s">
        <v>29</v>
      </c>
      <c r="F48" s="3" t="s">
        <v>707</v>
      </c>
      <c r="G48" s="3" t="s">
        <v>708</v>
      </c>
      <c r="H48" s="3" t="s">
        <v>709</v>
      </c>
    </row>
    <row r="49" spans="1:8" x14ac:dyDescent="0.2">
      <c r="A49" s="3">
        <v>3</v>
      </c>
      <c r="B49" s="3" t="s">
        <v>1562</v>
      </c>
      <c r="C49" s="3">
        <v>48</v>
      </c>
      <c r="D49" s="3" t="str">
        <f t="shared" ca="1" si="1"/>
        <v>SAMS (Service Availability Mapping Survey)</v>
      </c>
      <c r="E49" s="3" t="s">
        <v>45</v>
      </c>
      <c r="F49" s="3" t="s">
        <v>691</v>
      </c>
      <c r="G49" s="3" t="s">
        <v>726</v>
      </c>
      <c r="H49" s="3" t="s">
        <v>727</v>
      </c>
    </row>
    <row r="50" spans="1:8" x14ac:dyDescent="0.2">
      <c r="A50" s="3">
        <v>3</v>
      </c>
      <c r="B50" s="3" t="s">
        <v>1562</v>
      </c>
      <c r="C50" s="3">
        <v>49</v>
      </c>
      <c r="D50" s="3" t="str">
        <f t="shared" ca="1" si="1"/>
        <v>Other survey, specify</v>
      </c>
      <c r="E50" s="3" t="s">
        <v>53</v>
      </c>
      <c r="F50" s="3" t="s">
        <v>746</v>
      </c>
      <c r="G50" s="3" t="s">
        <v>747</v>
      </c>
      <c r="H50" s="3" t="s">
        <v>748</v>
      </c>
    </row>
    <row r="51" spans="1:8" x14ac:dyDescent="0.2">
      <c r="A51" s="3">
        <v>3</v>
      </c>
      <c r="B51" s="3" t="s">
        <v>1562</v>
      </c>
      <c r="C51" s="3">
        <v>50</v>
      </c>
      <c r="D51" s="3" t="str">
        <f t="shared" ca="1" si="1"/>
        <v>Administrative records</v>
      </c>
      <c r="E51" s="3" t="s">
        <v>28</v>
      </c>
      <c r="F51" s="3" t="s">
        <v>710</v>
      </c>
      <c r="G51" s="3" t="s">
        <v>711</v>
      </c>
      <c r="H51" s="3" t="s">
        <v>1887</v>
      </c>
    </row>
    <row r="52" spans="1:8" x14ac:dyDescent="0.2">
      <c r="A52" s="3">
        <v>6</v>
      </c>
      <c r="B52" s="3" t="s">
        <v>1563</v>
      </c>
      <c r="C52" s="3">
        <v>51</v>
      </c>
      <c r="D52" s="3" t="str">
        <f t="shared" ca="1" si="1"/>
        <v>HMIS</v>
      </c>
      <c r="E52" s="3" t="s">
        <v>44</v>
      </c>
      <c r="F52" s="3" t="s">
        <v>44</v>
      </c>
      <c r="G52" s="3" t="s">
        <v>671</v>
      </c>
      <c r="H52" s="3" t="s">
        <v>1881</v>
      </c>
    </row>
    <row r="53" spans="1:8" x14ac:dyDescent="0.2">
      <c r="A53" s="3">
        <v>6</v>
      </c>
      <c r="B53" s="3" t="s">
        <v>1563</v>
      </c>
      <c r="C53" s="3">
        <v>52</v>
      </c>
      <c r="D53" s="3" t="str">
        <f t="shared" ca="1" si="1"/>
        <v>Patient records</v>
      </c>
      <c r="E53" s="3" t="s">
        <v>43</v>
      </c>
      <c r="F53" s="3" t="s">
        <v>672</v>
      </c>
      <c r="G53" s="3" t="s">
        <v>742</v>
      </c>
      <c r="H53" s="3" t="s">
        <v>1882</v>
      </c>
    </row>
    <row r="54" spans="1:8" x14ac:dyDescent="0.2">
      <c r="A54" s="3">
        <v>7</v>
      </c>
      <c r="B54" s="3" t="s">
        <v>1563</v>
      </c>
      <c r="C54" s="3">
        <v>53</v>
      </c>
      <c r="D54" s="3" t="str">
        <f t="shared" ca="1" si="1"/>
        <v>Training records</v>
      </c>
      <c r="E54" s="3" t="s">
        <v>42</v>
      </c>
      <c r="F54" s="3" t="s">
        <v>674</v>
      </c>
      <c r="G54" s="3" t="s">
        <v>675</v>
      </c>
      <c r="H54" s="3" t="s">
        <v>1883</v>
      </c>
    </row>
    <row r="55" spans="1:8" x14ac:dyDescent="0.2">
      <c r="A55" s="3">
        <v>8</v>
      </c>
      <c r="B55" s="3" t="s">
        <v>1563</v>
      </c>
      <c r="C55" s="3">
        <v>54</v>
      </c>
      <c r="D55" s="3" t="str">
        <f t="shared" ca="1" si="1"/>
        <v>MICS (Multiple Indicator Cluster Survey)</v>
      </c>
      <c r="E55" s="3" t="s">
        <v>41</v>
      </c>
      <c r="F55" s="3" t="s">
        <v>676</v>
      </c>
      <c r="G55" s="3" t="s">
        <v>677</v>
      </c>
      <c r="H55" s="3" t="s">
        <v>678</v>
      </c>
    </row>
    <row r="56" spans="1:8" x14ac:dyDescent="0.2">
      <c r="A56" s="3">
        <v>9</v>
      </c>
      <c r="B56" s="3" t="s">
        <v>1563</v>
      </c>
      <c r="C56" s="3">
        <v>55</v>
      </c>
      <c r="D56" s="3" t="str">
        <f t="shared" ca="1" si="1"/>
        <v>DHS/DHS+ (Demographic and Health Survey)</v>
      </c>
      <c r="E56" s="3" t="s">
        <v>60</v>
      </c>
      <c r="F56" s="3" t="s">
        <v>679</v>
      </c>
      <c r="G56" s="3" t="s">
        <v>680</v>
      </c>
      <c r="H56" s="3" t="s">
        <v>681</v>
      </c>
    </row>
    <row r="57" spans="1:8" x14ac:dyDescent="0.2">
      <c r="A57" s="3">
        <v>10</v>
      </c>
      <c r="B57" s="3" t="s">
        <v>1563</v>
      </c>
      <c r="C57" s="3">
        <v>56</v>
      </c>
      <c r="D57" s="3" t="str">
        <f t="shared" ca="1" si="1"/>
        <v>AIS (AIDS Indicator Survey)</v>
      </c>
      <c r="E57" s="3" t="s">
        <v>39</v>
      </c>
      <c r="F57" s="3" t="s">
        <v>682</v>
      </c>
      <c r="G57" s="3" t="s">
        <v>683</v>
      </c>
      <c r="H57" s="3" t="s">
        <v>684</v>
      </c>
    </row>
    <row r="58" spans="1:8" x14ac:dyDescent="0.2">
      <c r="A58" s="3">
        <v>11</v>
      </c>
      <c r="B58" s="3" t="s">
        <v>1563</v>
      </c>
      <c r="C58" s="3">
        <v>57</v>
      </c>
      <c r="D58" s="3" t="str">
        <f t="shared" ca="1" si="1"/>
        <v>BSS (Behavioral Surveillance Survey)</v>
      </c>
      <c r="E58" s="3" t="s">
        <v>38</v>
      </c>
      <c r="F58" s="3" t="s">
        <v>685</v>
      </c>
      <c r="G58" s="3" t="s">
        <v>686</v>
      </c>
      <c r="H58" s="3" t="s">
        <v>687</v>
      </c>
    </row>
    <row r="59" spans="1:8" x14ac:dyDescent="0.2">
      <c r="A59" s="3">
        <v>12</v>
      </c>
      <c r="B59" s="3" t="s">
        <v>1563</v>
      </c>
      <c r="C59" s="3">
        <v>58</v>
      </c>
      <c r="D59" s="3" t="str">
        <f t="shared" ca="1" si="1"/>
        <v>Health Facility survey</v>
      </c>
      <c r="E59" s="3" t="s">
        <v>37</v>
      </c>
      <c r="F59" s="3" t="s">
        <v>688</v>
      </c>
      <c r="G59" s="3" t="s">
        <v>689</v>
      </c>
      <c r="H59" s="3" t="s">
        <v>690</v>
      </c>
    </row>
    <row r="60" spans="1:8" x14ac:dyDescent="0.2">
      <c r="A60" s="3">
        <v>13</v>
      </c>
      <c r="B60" s="3" t="s">
        <v>1563</v>
      </c>
      <c r="C60" s="3">
        <v>59</v>
      </c>
      <c r="D60" s="3" t="str">
        <f t="shared" ca="1" si="1"/>
        <v>SAMS (Service Availability Mapping Survey)</v>
      </c>
      <c r="E60" s="3" t="s">
        <v>45</v>
      </c>
      <c r="F60" s="3" t="s">
        <v>691</v>
      </c>
      <c r="G60" s="3" t="s">
        <v>692</v>
      </c>
      <c r="H60" s="3" t="s">
        <v>693</v>
      </c>
    </row>
    <row r="61" spans="1:8" x14ac:dyDescent="0.2">
      <c r="A61" s="3">
        <v>14</v>
      </c>
      <c r="B61" s="3" t="s">
        <v>1563</v>
      </c>
      <c r="C61" s="3">
        <v>60</v>
      </c>
      <c r="D61" s="3" t="str">
        <f t="shared" ca="1" si="1"/>
        <v>Households survey</v>
      </c>
      <c r="E61" s="3" t="s">
        <v>35</v>
      </c>
      <c r="F61" s="3" t="s">
        <v>694</v>
      </c>
      <c r="G61" s="3" t="s">
        <v>695</v>
      </c>
      <c r="H61" s="3" t="s">
        <v>696</v>
      </c>
    </row>
    <row r="62" spans="1:8" x14ac:dyDescent="0.2">
      <c r="A62" s="3">
        <v>15</v>
      </c>
      <c r="B62" s="3" t="s">
        <v>1563</v>
      </c>
      <c r="C62" s="3">
        <v>61</v>
      </c>
      <c r="D62" s="3" t="str">
        <f t="shared" ca="1" si="1"/>
        <v>Specific surveys and research (specify)</v>
      </c>
      <c r="E62" s="3" t="s">
        <v>34</v>
      </c>
      <c r="F62" s="3" t="s">
        <v>697</v>
      </c>
      <c r="G62" s="3" t="s">
        <v>698</v>
      </c>
      <c r="H62" s="3" t="s">
        <v>699</v>
      </c>
    </row>
    <row r="63" spans="1:8" x14ac:dyDescent="0.2">
      <c r="A63" s="3">
        <v>16</v>
      </c>
      <c r="B63" s="3" t="s">
        <v>1563</v>
      </c>
      <c r="C63" s="3">
        <v>62</v>
      </c>
      <c r="D63" s="3" t="str">
        <f t="shared" ca="1" si="1"/>
        <v>Reports (specify)</v>
      </c>
      <c r="E63" s="3" t="s">
        <v>33</v>
      </c>
      <c r="F63" s="3" t="s">
        <v>700</v>
      </c>
      <c r="G63" s="3" t="s">
        <v>701</v>
      </c>
      <c r="H63" s="3" t="s">
        <v>1884</v>
      </c>
    </row>
    <row r="64" spans="1:8" x14ac:dyDescent="0.2">
      <c r="A64" s="3">
        <v>17</v>
      </c>
      <c r="B64" s="3" t="s">
        <v>1563</v>
      </c>
      <c r="C64" s="3">
        <v>63</v>
      </c>
      <c r="D64" s="3" t="str">
        <f t="shared" ca="1" si="1"/>
        <v>Vital and disease-specific registry</v>
      </c>
      <c r="E64" s="3" t="s">
        <v>32</v>
      </c>
      <c r="F64" s="3" t="s">
        <v>702</v>
      </c>
      <c r="G64" s="3" t="s">
        <v>703</v>
      </c>
      <c r="H64" s="3" t="s">
        <v>1885</v>
      </c>
    </row>
    <row r="65" spans="1:8" x14ac:dyDescent="0.2">
      <c r="A65" s="3">
        <v>18</v>
      </c>
      <c r="B65" s="3" t="s">
        <v>1563</v>
      </c>
      <c r="C65" s="3">
        <v>64</v>
      </c>
      <c r="D65" s="3" t="str">
        <f t="shared" ca="1" si="1"/>
        <v>Operational Research</v>
      </c>
      <c r="E65" s="3" t="s">
        <v>31</v>
      </c>
      <c r="F65" s="3" t="s">
        <v>658</v>
      </c>
      <c r="G65" s="3" t="s">
        <v>659</v>
      </c>
      <c r="H65" s="3" t="s">
        <v>1886</v>
      </c>
    </row>
    <row r="66" spans="1:8" x14ac:dyDescent="0.2">
      <c r="A66" s="3">
        <v>19</v>
      </c>
      <c r="B66" s="3" t="s">
        <v>1563</v>
      </c>
      <c r="C66" s="3">
        <v>65</v>
      </c>
      <c r="D66" s="3" t="str">
        <f ca="1">OFFSET(E66,0,LangOffset,1,1)</f>
        <v>Health Provider survey</v>
      </c>
      <c r="E66" s="3" t="s">
        <v>30</v>
      </c>
      <c r="F66" s="3" t="s">
        <v>704</v>
      </c>
      <c r="G66" s="3" t="s">
        <v>705</v>
      </c>
      <c r="H66" s="3" t="s">
        <v>706</v>
      </c>
    </row>
  </sheetData>
  <customSheetViews>
    <customSheetView guid="{AB7DC012-E038-4AC4-B964-79EBEC1A7DBE}" state="hidden">
      <pane ySplit="1" topLeftCell="A2" activePane="bottomLeft" state="frozenSplit"/>
      <selection pane="bottomLeft" activeCell="C3" sqref="C3"/>
      <pageMargins left="0.7" right="0.7" top="0.75" bottom="0.75" header="0.3" footer="0.3"/>
    </customSheetView>
    <customSheetView guid="{8263CC96-2145-451B-AD8A-CC38FD628AC9}" state="hidden">
      <pane ySplit="1" topLeftCell="A2" activePane="bottomLeft" state="frozenSplit"/>
      <selection pane="bottomLeft" activeCell="C3" sqref="C3"/>
      <pageMargins left="0.7" right="0.7" top="0.75" bottom="0.75" header="0.3" footer="0.3"/>
    </customSheetView>
    <customSheetView guid="{721132AF-EF29-4C83-8A4A-F17ABB4BD7C0}" state="hidden">
      <pane ySplit="1" topLeftCell="A2" activePane="bottomLeft" state="frozenSplit"/>
      <selection pane="bottomLeft" activeCell="C3" sqref="C3"/>
      <pageMargins left="0.7" right="0.7" top="0.75" bottom="0.75" header="0.3" footer="0.3"/>
    </customSheetView>
    <customSheetView guid="{CE0E8020-2C9F-41F1-9136-031F56EB2C71}" state="hidden">
      <pane ySplit="1" topLeftCell="A2" activePane="bottomLeft" state="frozenSplit"/>
      <selection pane="bottomLeft" activeCell="C3" sqref="C3"/>
      <pageMargins left="0.7" right="0.7" top="0.75" bottom="0.75" header="0.3" footer="0.3"/>
    </customSheetView>
    <customSheetView guid="{E823EC26-EF2B-442F-BAF4-E4055CE48BD3}" state="hidden">
      <pane ySplit="1" topLeftCell="A2" activePane="bottomLeft" state="frozenSplit"/>
      <selection pane="bottomLeft" activeCell="C3" sqref="C3"/>
      <pageMargins left="0.7" right="0.7" top="0.75" bottom="0.75" header="0.3" footer="0.3"/>
    </customSheetView>
    <customSheetView guid="{86255A0E-17F2-0E4B-B055-7B9B2A71C25A}" state="hidden">
      <pane ySplit="1.0769230769230769" topLeftCell="A2" activePane="bottomLeft" state="frozenSplit"/>
      <selection pane="bottomLeft" activeCell="C3" sqref="C3"/>
      <pageMargins left="0.7" right="0.7" top="0.75" bottom="0.75" header="0.3" footer="0.3"/>
    </customSheetView>
    <customSheetView guid="{D193A86F-CAEF-42FB-9ABB-073B57B81A50}" state="hidden">
      <pane ySplit="1" topLeftCell="A2" activePane="bottomLeft" state="frozenSplit"/>
      <selection pane="bottomLeft" activeCell="C3" sqref="C3"/>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autoPageBreaks="0"/>
  </sheetPr>
  <dimension ref="A1:Y401"/>
  <sheetViews>
    <sheetView showRuler="0" topLeftCell="P1" zoomScaleSheetLayoutView="100" workbookViewId="0">
      <selection activeCell="V402" sqref="V402"/>
    </sheetView>
  </sheetViews>
  <sheetFormatPr defaultColWidth="8.7109375" defaultRowHeight="12.75" x14ac:dyDescent="0.2"/>
  <cols>
    <col min="1" max="2" width="14.28515625" style="7" bestFit="1" customWidth="1"/>
    <col min="3" max="3" width="14.42578125" style="7" customWidth="1"/>
    <col min="4" max="4" width="12.42578125" style="7" bestFit="1" customWidth="1"/>
    <col min="5" max="5" width="14.28515625" style="7" customWidth="1"/>
    <col min="6" max="6" width="2.42578125" style="7" customWidth="1"/>
    <col min="7" max="7" width="19.7109375" style="7" bestFit="1" customWidth="1"/>
    <col min="8" max="12" width="19.7109375" style="7" customWidth="1"/>
    <col min="13" max="13" width="11.42578125" style="7" bestFit="1" customWidth="1"/>
    <col min="14" max="15" width="46.42578125" style="7" customWidth="1"/>
    <col min="16" max="16" width="2.140625" style="7" customWidth="1"/>
    <col min="17" max="17" width="43.42578125" style="7" bestFit="1" customWidth="1"/>
    <col min="18" max="18" width="97.28515625" style="7" bestFit="1" customWidth="1"/>
    <col min="19" max="19" width="15.42578125" style="7" bestFit="1" customWidth="1"/>
    <col min="20" max="20" width="4.42578125" style="7" customWidth="1"/>
    <col min="21" max="21" width="24.140625" style="7" bestFit="1" customWidth="1"/>
    <col min="22" max="23" width="24.140625" style="7" customWidth="1"/>
    <col min="24" max="24" width="30.140625" style="7" customWidth="1"/>
    <col min="25" max="25" width="38.42578125" style="7" customWidth="1"/>
    <col min="26" max="26" width="3.7109375" style="7" customWidth="1"/>
    <col min="27" max="16384" width="8.7109375" style="7"/>
  </cols>
  <sheetData>
    <row r="1" spans="1:25" x14ac:dyDescent="0.2">
      <c r="A1" s="35" t="s">
        <v>815</v>
      </c>
      <c r="B1" s="35"/>
      <c r="C1" s="35"/>
      <c r="D1" s="35"/>
      <c r="E1" s="35"/>
      <c r="F1" s="35"/>
      <c r="G1" s="35" t="s">
        <v>73</v>
      </c>
      <c r="H1" s="35"/>
      <c r="I1" s="35"/>
      <c r="J1" s="35"/>
      <c r="K1" s="35"/>
      <c r="L1" s="35"/>
      <c r="M1" s="895" t="s">
        <v>1452</v>
      </c>
      <c r="N1" s="895" t="s">
        <v>1456</v>
      </c>
      <c r="O1" s="896" t="s">
        <v>1457</v>
      </c>
      <c r="P1" s="66"/>
      <c r="Q1" s="895" t="s">
        <v>74</v>
      </c>
      <c r="R1" s="895" t="s">
        <v>75</v>
      </c>
      <c r="S1" s="895" t="s">
        <v>76</v>
      </c>
      <c r="T1" s="895"/>
      <c r="U1" s="895" t="s">
        <v>550</v>
      </c>
      <c r="V1" s="895" t="s">
        <v>664</v>
      </c>
      <c r="W1" s="895" t="s">
        <v>665</v>
      </c>
      <c r="X1" s="895" t="s">
        <v>666</v>
      </c>
      <c r="Y1" s="895" t="s">
        <v>667</v>
      </c>
    </row>
    <row r="2" spans="1:25" x14ac:dyDescent="0.2">
      <c r="A2" s="41" t="s">
        <v>820</v>
      </c>
      <c r="B2" s="41" t="s">
        <v>816</v>
      </c>
      <c r="C2" s="41" t="s">
        <v>817</v>
      </c>
      <c r="D2" s="41" t="s">
        <v>818</v>
      </c>
      <c r="E2" s="41" t="s">
        <v>819</v>
      </c>
      <c r="F2" s="35"/>
      <c r="G2" s="35" t="s">
        <v>73</v>
      </c>
      <c r="H2" s="36" t="s">
        <v>778</v>
      </c>
      <c r="I2" s="36" t="s">
        <v>779</v>
      </c>
      <c r="J2" s="36" t="s">
        <v>780</v>
      </c>
      <c r="K2" s="36" t="s">
        <v>781</v>
      </c>
      <c r="L2" s="36"/>
      <c r="M2" s="895"/>
      <c r="N2" s="895"/>
      <c r="O2" s="897"/>
      <c r="P2" s="67"/>
      <c r="Q2" s="895"/>
      <c r="R2" s="895"/>
      <c r="S2" s="895"/>
      <c r="T2" s="895"/>
      <c r="U2" s="895"/>
      <c r="V2" s="895"/>
      <c r="W2" s="895"/>
      <c r="X2" s="895"/>
      <c r="Y2" s="895"/>
    </row>
    <row r="3" spans="1:25" x14ac:dyDescent="0.2">
      <c r="A3" s="8" t="str">
        <f ca="1">OFFSET($B3,0,LangOffset,1,1)</f>
        <v>Please select…</v>
      </c>
      <c r="B3" s="23" t="s">
        <v>0</v>
      </c>
      <c r="C3" s="24" t="s">
        <v>768</v>
      </c>
      <c r="D3" s="38" t="s">
        <v>752</v>
      </c>
      <c r="E3" s="24" t="s">
        <v>749</v>
      </c>
      <c r="F3" s="8"/>
      <c r="G3" s="8" t="str">
        <f t="shared" ref="G3:G15" ca="1" si="0">OFFSET($H3,0,LangOffset,1,1)</f>
        <v>Please select…</v>
      </c>
      <c r="H3" s="23" t="s">
        <v>0</v>
      </c>
      <c r="I3" s="23" t="s">
        <v>768</v>
      </c>
      <c r="J3" s="38" t="s">
        <v>752</v>
      </c>
      <c r="K3" s="24" t="s">
        <v>749</v>
      </c>
      <c r="L3" s="24"/>
      <c r="M3" s="39">
        <f ca="1">VLOOKUP(MonthSelected,G2:L15,6,FALSE)</f>
        <v>1</v>
      </c>
      <c r="N3" s="64" t="str">
        <f ca="1">Translations!A72</f>
        <v>Please select…</v>
      </c>
      <c r="O3" s="64"/>
      <c r="P3" s="64"/>
      <c r="Q3" s="65" t="s">
        <v>80</v>
      </c>
      <c r="R3" s="65" t="s">
        <v>1015</v>
      </c>
      <c r="S3" s="65" t="s">
        <v>443</v>
      </c>
      <c r="T3" s="8"/>
      <c r="U3" s="31" t="str">
        <f ca="1">OFFSET($V3,0,LangOffset,1,1)</f>
        <v>Please select…</v>
      </c>
      <c r="V3" s="31" t="s">
        <v>0</v>
      </c>
      <c r="W3" s="33" t="s">
        <v>768</v>
      </c>
      <c r="X3" s="40" t="s">
        <v>752</v>
      </c>
      <c r="Y3" s="32" t="s">
        <v>749</v>
      </c>
    </row>
    <row r="4" spans="1:25" x14ac:dyDescent="0.2">
      <c r="A4" s="8">
        <f ca="1">OFFSET($B4,0,LangOffset,1,1)</f>
        <v>2013</v>
      </c>
      <c r="B4" s="10">
        <v>2013</v>
      </c>
      <c r="C4" s="10">
        <v>2013</v>
      </c>
      <c r="D4" s="10">
        <v>2013</v>
      </c>
      <c r="E4" s="10">
        <v>2013</v>
      </c>
      <c r="F4" s="8"/>
      <c r="G4" s="8" t="str">
        <f t="shared" ca="1" si="0"/>
        <v>January</v>
      </c>
      <c r="H4" s="23" t="s">
        <v>69</v>
      </c>
      <c r="I4" s="23" t="s">
        <v>774</v>
      </c>
      <c r="J4" s="37" t="s">
        <v>775</v>
      </c>
      <c r="K4" s="24" t="s">
        <v>776</v>
      </c>
      <c r="L4" s="39">
        <v>1</v>
      </c>
      <c r="N4" s="9" t="s">
        <v>79</v>
      </c>
      <c r="O4" s="9" t="s">
        <v>80</v>
      </c>
      <c r="P4" s="9"/>
      <c r="Q4" s="65" t="s">
        <v>80</v>
      </c>
      <c r="R4" s="65" t="s">
        <v>82</v>
      </c>
      <c r="S4" s="65" t="s">
        <v>1011</v>
      </c>
      <c r="T4" s="8"/>
      <c r="U4" s="31" t="str">
        <f ca="1">OFFSET($V4,0,LangOffset,1,1)</f>
        <v>Current grant</v>
      </c>
      <c r="V4" s="31" t="s">
        <v>551</v>
      </c>
      <c r="W4" s="33" t="s">
        <v>760</v>
      </c>
      <c r="X4" s="30" t="s">
        <v>753</v>
      </c>
      <c r="Y4" s="32" t="s">
        <v>762</v>
      </c>
    </row>
    <row r="5" spans="1:25" x14ac:dyDescent="0.2">
      <c r="A5" s="8">
        <f ca="1">OFFSET($B5,0,LangOffset,1,1)</f>
        <v>2014</v>
      </c>
      <c r="B5" s="10">
        <v>2014</v>
      </c>
      <c r="C5" s="10">
        <v>2014</v>
      </c>
      <c r="D5" s="10">
        <v>2014</v>
      </c>
      <c r="E5" s="10">
        <v>2014</v>
      </c>
      <c r="F5" s="8"/>
      <c r="G5" s="8" t="str">
        <f t="shared" ca="1" si="0"/>
        <v>February</v>
      </c>
      <c r="H5" s="10" t="s">
        <v>527</v>
      </c>
      <c r="I5" s="24" t="s">
        <v>788</v>
      </c>
      <c r="J5" s="37" t="s">
        <v>789</v>
      </c>
      <c r="K5" s="24" t="s">
        <v>813</v>
      </c>
      <c r="L5" s="39">
        <v>2</v>
      </c>
      <c r="N5" s="9" t="s">
        <v>81</v>
      </c>
      <c r="O5" s="9" t="s">
        <v>87</v>
      </c>
      <c r="P5" s="9"/>
      <c r="Q5" s="65" t="s">
        <v>80</v>
      </c>
      <c r="R5" s="65" t="s">
        <v>84</v>
      </c>
      <c r="S5" s="65" t="s">
        <v>1012</v>
      </c>
      <c r="T5" s="8"/>
      <c r="U5" s="31" t="str">
        <f ca="1">OFFSET($V5,0,LangOffset,1,1)</f>
        <v>Multiple Global Fund grants</v>
      </c>
      <c r="V5" s="31" t="s">
        <v>552</v>
      </c>
      <c r="W5" s="34" t="s">
        <v>764</v>
      </c>
      <c r="X5" s="30" t="s">
        <v>754</v>
      </c>
      <c r="Y5" s="32" t="s">
        <v>766</v>
      </c>
    </row>
    <row r="6" spans="1:25" ht="14.25" customHeight="1" x14ac:dyDescent="0.2">
      <c r="A6" s="8">
        <f ca="1">OFFSET($B6,0,LangOffset,1,1)</f>
        <v>2015</v>
      </c>
      <c r="B6" s="8">
        <v>2015</v>
      </c>
      <c r="C6" s="8">
        <v>2015</v>
      </c>
      <c r="D6" s="8">
        <v>2015</v>
      </c>
      <c r="E6" s="8">
        <v>2015</v>
      </c>
      <c r="F6" s="8"/>
      <c r="G6" s="8" t="str">
        <f t="shared" ca="1" si="0"/>
        <v>March</v>
      </c>
      <c r="H6" s="10" t="s">
        <v>528</v>
      </c>
      <c r="I6" s="24" t="s">
        <v>790</v>
      </c>
      <c r="J6" s="37" t="s">
        <v>811</v>
      </c>
      <c r="K6" s="24" t="s">
        <v>812</v>
      </c>
      <c r="L6" s="8">
        <v>3</v>
      </c>
      <c r="N6" s="9" t="s">
        <v>83</v>
      </c>
      <c r="O6" s="9" t="s">
        <v>90</v>
      </c>
      <c r="P6" s="9"/>
      <c r="Q6" s="65" t="s">
        <v>80</v>
      </c>
      <c r="R6" s="65" t="s">
        <v>1010</v>
      </c>
      <c r="S6" s="65" t="s">
        <v>112</v>
      </c>
      <c r="T6" s="8"/>
      <c r="U6" s="31" t="str">
        <f ca="1">OFFSET($V6,0,LangOffset,1,1)</f>
        <v>Global Fund and other donors</v>
      </c>
      <c r="V6" s="31" t="s">
        <v>553</v>
      </c>
      <c r="W6" s="34" t="s">
        <v>765</v>
      </c>
      <c r="X6" s="30" t="s">
        <v>755</v>
      </c>
      <c r="Y6" s="32" t="s">
        <v>767</v>
      </c>
    </row>
    <row r="7" spans="1:25" x14ac:dyDescent="0.2">
      <c r="A7" s="8"/>
      <c r="B7" s="10"/>
      <c r="C7" s="24"/>
      <c r="D7" s="38"/>
      <c r="E7" s="24"/>
      <c r="F7" s="8"/>
      <c r="G7" s="8" t="str">
        <f t="shared" ca="1" si="0"/>
        <v>April</v>
      </c>
      <c r="H7" s="8" t="s">
        <v>70</v>
      </c>
      <c r="I7" s="23" t="s">
        <v>782</v>
      </c>
      <c r="J7" s="38" t="s">
        <v>783</v>
      </c>
      <c r="K7" s="24" t="s">
        <v>814</v>
      </c>
      <c r="L7" s="39">
        <v>4</v>
      </c>
      <c r="N7" s="9" t="s">
        <v>85</v>
      </c>
      <c r="O7" s="9" t="s">
        <v>92</v>
      </c>
      <c r="P7" s="9"/>
      <c r="Q7" s="65" t="s">
        <v>80</v>
      </c>
      <c r="R7" s="65" t="s">
        <v>1013</v>
      </c>
      <c r="S7" s="65" t="s">
        <v>1014</v>
      </c>
      <c r="T7" s="8"/>
      <c r="U7" s="31" t="str">
        <f ca="1">OFFSET($V7,0,LangOffset,1,1)</f>
        <v>National program</v>
      </c>
      <c r="V7" s="31" t="s">
        <v>554</v>
      </c>
      <c r="W7" s="33" t="s">
        <v>761</v>
      </c>
      <c r="X7" s="30" t="s">
        <v>756</v>
      </c>
      <c r="Y7" s="32" t="s">
        <v>763</v>
      </c>
    </row>
    <row r="8" spans="1:25" x14ac:dyDescent="0.2">
      <c r="A8" s="8"/>
      <c r="B8" s="8"/>
      <c r="C8" s="23"/>
      <c r="D8" s="23"/>
      <c r="E8" s="24"/>
      <c r="F8" s="8"/>
      <c r="G8" s="8" t="str">
        <f t="shared" ca="1" si="0"/>
        <v>May</v>
      </c>
      <c r="H8" s="10" t="s">
        <v>529</v>
      </c>
      <c r="I8" s="24" t="s">
        <v>791</v>
      </c>
      <c r="J8" s="38" t="s">
        <v>809</v>
      </c>
      <c r="K8" s="24" t="s">
        <v>808</v>
      </c>
      <c r="L8" s="8">
        <v>5</v>
      </c>
      <c r="N8" s="9" t="s">
        <v>86</v>
      </c>
      <c r="O8" s="9" t="s">
        <v>96</v>
      </c>
      <c r="P8" s="9"/>
      <c r="Q8" s="65" t="s">
        <v>87</v>
      </c>
      <c r="R8" s="65" t="s">
        <v>88</v>
      </c>
      <c r="S8" s="65" t="s">
        <v>443</v>
      </c>
      <c r="T8" s="8"/>
      <c r="U8" s="8"/>
      <c r="V8" s="8"/>
      <c r="W8" s="8"/>
      <c r="X8" s="8"/>
      <c r="Y8" s="8"/>
    </row>
    <row r="9" spans="1:25" x14ac:dyDescent="0.2">
      <c r="A9" s="8"/>
      <c r="B9" s="10"/>
      <c r="C9" s="24"/>
      <c r="D9" s="24"/>
      <c r="E9" s="24"/>
      <c r="F9" s="8"/>
      <c r="G9" s="8" t="str">
        <f t="shared" ca="1" si="0"/>
        <v>June</v>
      </c>
      <c r="H9" s="10" t="s">
        <v>530</v>
      </c>
      <c r="I9" s="24" t="s">
        <v>792</v>
      </c>
      <c r="J9" s="38" t="s">
        <v>810</v>
      </c>
      <c r="K9" s="24" t="s">
        <v>807</v>
      </c>
      <c r="L9" s="39">
        <v>6</v>
      </c>
      <c r="N9" s="9" t="s">
        <v>89</v>
      </c>
      <c r="O9" s="9" t="s">
        <v>101</v>
      </c>
      <c r="P9" s="9"/>
      <c r="Q9" s="65" t="s">
        <v>90</v>
      </c>
      <c r="R9" s="65" t="s">
        <v>1016</v>
      </c>
      <c r="S9" s="65" t="s">
        <v>443</v>
      </c>
      <c r="T9" s="8"/>
      <c r="U9" s="8"/>
      <c r="V9" s="8"/>
      <c r="W9" s="8"/>
      <c r="X9" s="8"/>
      <c r="Y9" s="8"/>
    </row>
    <row r="10" spans="1:25" x14ac:dyDescent="0.2">
      <c r="A10" s="8"/>
      <c r="B10" s="10"/>
      <c r="C10" s="24"/>
      <c r="D10" s="24"/>
      <c r="E10" s="24"/>
      <c r="F10" s="8"/>
      <c r="G10" s="8" t="str">
        <f t="shared" ca="1" si="0"/>
        <v>July</v>
      </c>
      <c r="H10" s="8" t="s">
        <v>71</v>
      </c>
      <c r="I10" s="23" t="s">
        <v>784</v>
      </c>
      <c r="J10" s="23" t="s">
        <v>785</v>
      </c>
      <c r="K10" s="24" t="s">
        <v>806</v>
      </c>
      <c r="L10" s="8">
        <v>7</v>
      </c>
      <c r="N10" s="9" t="s">
        <v>91</v>
      </c>
      <c r="O10" s="9" t="s">
        <v>107</v>
      </c>
      <c r="P10" s="9"/>
      <c r="Q10" s="65" t="s">
        <v>92</v>
      </c>
      <c r="R10" s="65" t="s">
        <v>93</v>
      </c>
      <c r="S10" s="65" t="s">
        <v>1315</v>
      </c>
      <c r="T10" s="8"/>
      <c r="U10" s="8"/>
      <c r="V10" s="8"/>
      <c r="W10" s="8"/>
      <c r="X10" s="8"/>
      <c r="Y10" s="8"/>
    </row>
    <row r="11" spans="1:25" x14ac:dyDescent="0.2">
      <c r="A11" s="8"/>
      <c r="B11" s="8"/>
      <c r="C11" s="23"/>
      <c r="D11" s="23"/>
      <c r="E11" s="24"/>
      <c r="F11" s="8"/>
      <c r="G11" s="8" t="str">
        <f t="shared" ca="1" si="0"/>
        <v>August</v>
      </c>
      <c r="H11" s="10" t="s">
        <v>531</v>
      </c>
      <c r="I11" s="24" t="s">
        <v>803</v>
      </c>
      <c r="J11" s="24" t="s">
        <v>804</v>
      </c>
      <c r="K11" s="24" t="s">
        <v>805</v>
      </c>
      <c r="L11" s="39">
        <v>8</v>
      </c>
      <c r="N11" s="9" t="s">
        <v>94</v>
      </c>
      <c r="O11" s="9" t="s">
        <v>110</v>
      </c>
      <c r="P11" s="9"/>
      <c r="Q11" s="65" t="s">
        <v>92</v>
      </c>
      <c r="R11" s="65" t="s">
        <v>1017</v>
      </c>
      <c r="S11" s="65" t="s">
        <v>443</v>
      </c>
      <c r="T11" s="8"/>
      <c r="U11" s="8"/>
      <c r="V11" s="8"/>
      <c r="W11" s="8"/>
      <c r="X11" s="8"/>
      <c r="Y11" s="8"/>
    </row>
    <row r="12" spans="1:25" x14ac:dyDescent="0.2">
      <c r="A12" s="8"/>
      <c r="B12" s="10"/>
      <c r="C12" s="10"/>
      <c r="D12" s="10"/>
      <c r="E12" s="10"/>
      <c r="F12" s="8"/>
      <c r="G12" s="8" t="str">
        <f t="shared" ca="1" si="0"/>
        <v>September</v>
      </c>
      <c r="H12" s="10" t="s">
        <v>532</v>
      </c>
      <c r="I12" s="24" t="s">
        <v>793</v>
      </c>
      <c r="J12" s="24" t="s">
        <v>802</v>
      </c>
      <c r="K12" s="24" t="s">
        <v>801</v>
      </c>
      <c r="L12" s="8">
        <v>9</v>
      </c>
      <c r="N12" s="9" t="s">
        <v>1458</v>
      </c>
      <c r="O12" s="9"/>
      <c r="P12" s="9"/>
      <c r="Q12" s="65" t="s">
        <v>96</v>
      </c>
      <c r="R12" s="65" t="s">
        <v>97</v>
      </c>
      <c r="S12" s="65" t="s">
        <v>1315</v>
      </c>
      <c r="T12" s="8"/>
      <c r="U12" s="8"/>
      <c r="V12" s="8"/>
      <c r="W12" s="8"/>
      <c r="X12" s="8"/>
      <c r="Y12" s="8"/>
    </row>
    <row r="13" spans="1:25" x14ac:dyDescent="0.2">
      <c r="A13" s="8"/>
      <c r="B13" s="10"/>
      <c r="C13" s="10"/>
      <c r="D13" s="10"/>
      <c r="E13" s="10"/>
      <c r="F13" s="8"/>
      <c r="G13" s="8" t="str">
        <f t="shared" ca="1" si="0"/>
        <v>October</v>
      </c>
      <c r="H13" s="8" t="s">
        <v>72</v>
      </c>
      <c r="I13" s="23" t="s">
        <v>786</v>
      </c>
      <c r="J13" s="23" t="s">
        <v>787</v>
      </c>
      <c r="K13" s="24" t="s">
        <v>800</v>
      </c>
      <c r="L13" s="39">
        <v>10</v>
      </c>
      <c r="N13" s="9" t="s">
        <v>95</v>
      </c>
      <c r="O13" s="9" t="s">
        <v>118</v>
      </c>
      <c r="P13" s="9"/>
      <c r="Q13" s="65" t="s">
        <v>96</v>
      </c>
      <c r="R13" s="65" t="s">
        <v>99</v>
      </c>
      <c r="S13" s="65" t="s">
        <v>1316</v>
      </c>
      <c r="T13" s="8"/>
      <c r="U13" s="8"/>
      <c r="V13" s="8"/>
      <c r="W13" s="8"/>
      <c r="X13" s="8"/>
      <c r="Y13" s="8"/>
    </row>
    <row r="14" spans="1:25" x14ac:dyDescent="0.2">
      <c r="A14" s="8"/>
      <c r="B14" s="10"/>
      <c r="C14" s="10"/>
      <c r="D14" s="10"/>
      <c r="E14" s="10"/>
      <c r="F14" s="8"/>
      <c r="G14" s="8" t="str">
        <f t="shared" ca="1" si="0"/>
        <v>Novermber</v>
      </c>
      <c r="H14" s="10" t="s">
        <v>533</v>
      </c>
      <c r="I14" s="10" t="s">
        <v>794</v>
      </c>
      <c r="J14" s="10" t="s">
        <v>798</v>
      </c>
      <c r="K14" s="10" t="s">
        <v>799</v>
      </c>
      <c r="L14" s="8">
        <v>11</v>
      </c>
      <c r="N14" s="9" t="s">
        <v>98</v>
      </c>
      <c r="O14" s="9" t="s">
        <v>121</v>
      </c>
      <c r="P14" s="9"/>
      <c r="Q14" s="65" t="s">
        <v>101</v>
      </c>
      <c r="R14" s="65" t="s">
        <v>1317</v>
      </c>
      <c r="S14" s="65" t="s">
        <v>1318</v>
      </c>
      <c r="T14" s="8"/>
      <c r="U14" s="8"/>
      <c r="V14" s="8"/>
      <c r="W14" s="8"/>
      <c r="X14" s="8"/>
      <c r="Y14" s="8"/>
    </row>
    <row r="15" spans="1:25" x14ac:dyDescent="0.2">
      <c r="A15" s="8"/>
      <c r="B15" s="8"/>
      <c r="C15" s="8"/>
      <c r="D15" s="8"/>
      <c r="E15" s="8"/>
      <c r="F15" s="8"/>
      <c r="G15" s="8" t="str">
        <f t="shared" ca="1" si="0"/>
        <v>December</v>
      </c>
      <c r="H15" s="10" t="s">
        <v>534</v>
      </c>
      <c r="I15" s="10" t="s">
        <v>796</v>
      </c>
      <c r="J15" s="10" t="s">
        <v>797</v>
      </c>
      <c r="K15" s="10" t="s">
        <v>795</v>
      </c>
      <c r="L15" s="39">
        <v>12</v>
      </c>
      <c r="N15" s="9" t="s">
        <v>100</v>
      </c>
      <c r="O15" s="9" t="s">
        <v>124</v>
      </c>
      <c r="P15" s="9"/>
      <c r="Q15" s="65" t="s">
        <v>101</v>
      </c>
      <c r="R15" s="65" t="s">
        <v>1018</v>
      </c>
      <c r="S15" s="65" t="s">
        <v>1019</v>
      </c>
      <c r="T15" s="8"/>
      <c r="U15" s="8"/>
      <c r="V15" s="8"/>
      <c r="W15" s="8"/>
      <c r="X15" s="8"/>
      <c r="Y15" s="8"/>
    </row>
    <row r="16" spans="1:25" x14ac:dyDescent="0.2">
      <c r="A16" s="8"/>
      <c r="B16" s="8"/>
      <c r="C16" s="10"/>
      <c r="D16" s="10"/>
      <c r="E16" s="10"/>
      <c r="F16" s="8"/>
      <c r="G16" s="8"/>
      <c r="H16" s="10"/>
      <c r="I16" s="10"/>
      <c r="J16" s="10"/>
      <c r="K16" s="10"/>
      <c r="L16" s="10"/>
      <c r="M16" s="8"/>
      <c r="N16" s="9" t="s">
        <v>102</v>
      </c>
      <c r="O16" s="9" t="s">
        <v>133</v>
      </c>
      <c r="P16" s="9"/>
      <c r="Q16" s="65" t="s">
        <v>101</v>
      </c>
      <c r="R16" s="65" t="s">
        <v>104</v>
      </c>
      <c r="S16" s="65" t="s">
        <v>105</v>
      </c>
      <c r="T16" s="8"/>
      <c r="U16" s="8"/>
      <c r="V16" s="8"/>
      <c r="W16" s="8"/>
      <c r="X16" s="8"/>
      <c r="Y16" s="8"/>
    </row>
    <row r="17" spans="1:25" x14ac:dyDescent="0.2">
      <c r="A17" s="8"/>
      <c r="B17" s="8"/>
      <c r="C17" s="10"/>
      <c r="D17" s="10"/>
      <c r="E17" s="10"/>
      <c r="F17" s="8"/>
      <c r="G17" s="8"/>
      <c r="H17" s="8"/>
      <c r="I17" s="8"/>
      <c r="J17" s="8"/>
      <c r="K17" s="8"/>
      <c r="L17" s="8"/>
      <c r="M17" s="8"/>
      <c r="N17" s="9" t="s">
        <v>103</v>
      </c>
      <c r="O17" s="9" t="s">
        <v>134</v>
      </c>
      <c r="P17" s="9"/>
      <c r="Q17" s="65" t="s">
        <v>107</v>
      </c>
      <c r="R17" s="65" t="s">
        <v>1020</v>
      </c>
      <c r="S17" s="65" t="s">
        <v>443</v>
      </c>
      <c r="T17" s="8"/>
      <c r="U17" s="8"/>
      <c r="V17" s="8"/>
      <c r="W17" s="8"/>
      <c r="X17" s="8"/>
      <c r="Y17" s="8"/>
    </row>
    <row r="18" spans="1:25" x14ac:dyDescent="0.2">
      <c r="A18" s="8"/>
      <c r="B18" s="8"/>
      <c r="C18" s="8"/>
      <c r="D18" s="8"/>
      <c r="E18" s="8"/>
      <c r="F18" s="8"/>
      <c r="G18" s="8"/>
      <c r="H18" s="8"/>
      <c r="I18" s="10"/>
      <c r="J18" s="10"/>
      <c r="K18" s="10"/>
      <c r="L18" s="10"/>
      <c r="M18" s="8"/>
      <c r="N18" s="9" t="s">
        <v>106</v>
      </c>
      <c r="O18" s="9" t="s">
        <v>140</v>
      </c>
      <c r="P18" s="9"/>
      <c r="Q18" s="65" t="s">
        <v>107</v>
      </c>
      <c r="R18" s="65" t="s">
        <v>1021</v>
      </c>
      <c r="S18" s="65" t="s">
        <v>443</v>
      </c>
      <c r="T18" s="8"/>
      <c r="U18" s="8"/>
      <c r="V18" s="8"/>
      <c r="W18" s="8"/>
      <c r="X18" s="8"/>
      <c r="Y18" s="8"/>
    </row>
    <row r="19" spans="1:25" x14ac:dyDescent="0.2">
      <c r="A19" s="8"/>
      <c r="B19" s="8"/>
      <c r="C19" s="10"/>
      <c r="D19" s="10"/>
      <c r="E19" s="10"/>
      <c r="F19" s="8"/>
      <c r="G19" s="8"/>
      <c r="H19" s="8"/>
      <c r="I19" s="10"/>
      <c r="J19" s="10"/>
      <c r="K19" s="10"/>
      <c r="L19" s="10"/>
      <c r="M19" s="8"/>
      <c r="N19" s="9" t="s">
        <v>108</v>
      </c>
      <c r="O19" s="9" t="s">
        <v>142</v>
      </c>
      <c r="P19" s="9"/>
      <c r="Q19" s="65" t="s">
        <v>110</v>
      </c>
      <c r="R19" s="65" t="s">
        <v>1025</v>
      </c>
      <c r="S19" s="65" t="s">
        <v>1026</v>
      </c>
      <c r="T19" s="8"/>
      <c r="U19" s="8"/>
      <c r="V19" s="8"/>
      <c r="W19" s="8"/>
      <c r="X19" s="8"/>
      <c r="Y19" s="8"/>
    </row>
    <row r="20" spans="1:25" x14ac:dyDescent="0.2">
      <c r="A20" s="8"/>
      <c r="B20" s="8"/>
      <c r="C20" s="10"/>
      <c r="D20" s="10"/>
      <c r="E20" s="10"/>
      <c r="F20" s="8"/>
      <c r="G20" s="8"/>
      <c r="H20" s="8"/>
      <c r="I20" s="8"/>
      <c r="J20" s="8"/>
      <c r="K20" s="8"/>
      <c r="L20" s="8"/>
      <c r="M20" s="8"/>
      <c r="N20" s="9" t="s">
        <v>109</v>
      </c>
      <c r="O20" s="9" t="s">
        <v>145</v>
      </c>
      <c r="P20" s="9"/>
      <c r="Q20" s="65" t="s">
        <v>110</v>
      </c>
      <c r="R20" s="65" t="s">
        <v>1022</v>
      </c>
      <c r="S20" s="65" t="s">
        <v>112</v>
      </c>
      <c r="T20" s="8"/>
      <c r="U20" s="8"/>
      <c r="V20" s="8"/>
      <c r="W20" s="8"/>
      <c r="X20" s="8"/>
      <c r="Y20" s="8"/>
    </row>
    <row r="21" spans="1:25" x14ac:dyDescent="0.2">
      <c r="A21" s="8"/>
      <c r="B21" s="8"/>
      <c r="C21" s="8"/>
      <c r="D21" s="8"/>
      <c r="E21" s="8"/>
      <c r="F21" s="8"/>
      <c r="G21" s="8"/>
      <c r="H21" s="8"/>
      <c r="I21" s="10"/>
      <c r="J21" s="10"/>
      <c r="K21" s="10"/>
      <c r="L21" s="10"/>
      <c r="M21" s="8"/>
      <c r="N21" s="9" t="s">
        <v>111</v>
      </c>
      <c r="O21" s="9" t="s">
        <v>150</v>
      </c>
      <c r="P21" s="9"/>
      <c r="Q21" s="65" t="s">
        <v>110</v>
      </c>
      <c r="R21" s="65" t="s">
        <v>114</v>
      </c>
      <c r="S21" s="65" t="s">
        <v>443</v>
      </c>
      <c r="T21" s="8"/>
      <c r="U21" s="8"/>
      <c r="V21" s="8"/>
      <c r="W21" s="8"/>
      <c r="X21" s="8"/>
      <c r="Y21" s="8"/>
    </row>
    <row r="22" spans="1:25" x14ac:dyDescent="0.2">
      <c r="A22" s="8"/>
      <c r="B22" s="8"/>
      <c r="C22" s="8"/>
      <c r="D22" s="8"/>
      <c r="E22" s="8"/>
      <c r="F22" s="8"/>
      <c r="G22" s="8"/>
      <c r="H22" s="8"/>
      <c r="I22" s="10"/>
      <c r="J22" s="10"/>
      <c r="K22" s="10"/>
      <c r="L22" s="10"/>
      <c r="M22" s="8"/>
      <c r="N22" s="9" t="s">
        <v>113</v>
      </c>
      <c r="O22" s="9" t="s">
        <v>152</v>
      </c>
      <c r="P22" s="9"/>
      <c r="Q22" s="65" t="s">
        <v>110</v>
      </c>
      <c r="R22" s="65" t="s">
        <v>1319</v>
      </c>
      <c r="S22" s="65" t="s">
        <v>1320</v>
      </c>
      <c r="T22" s="8"/>
      <c r="U22" s="8"/>
      <c r="V22" s="8"/>
      <c r="W22" s="8"/>
      <c r="X22" s="8"/>
      <c r="Y22" s="8"/>
    </row>
    <row r="23" spans="1:25" x14ac:dyDescent="0.2">
      <c r="A23" s="8"/>
      <c r="B23" s="8"/>
      <c r="C23" s="8"/>
      <c r="D23" s="8"/>
      <c r="E23" s="8"/>
      <c r="F23" s="8"/>
      <c r="G23" s="8"/>
      <c r="H23" s="8"/>
      <c r="I23" s="8"/>
      <c r="J23" s="8"/>
      <c r="K23" s="8"/>
      <c r="L23" s="8"/>
      <c r="M23" s="8"/>
      <c r="N23" s="9" t="s">
        <v>115</v>
      </c>
      <c r="O23" s="9" t="s">
        <v>160</v>
      </c>
      <c r="P23" s="9"/>
      <c r="Q23" s="65" t="s">
        <v>110</v>
      </c>
      <c r="R23" s="65" t="s">
        <v>1023</v>
      </c>
      <c r="S23" s="65" t="s">
        <v>1024</v>
      </c>
      <c r="T23" s="8"/>
      <c r="U23" s="8"/>
      <c r="V23" s="8"/>
      <c r="W23" s="8"/>
      <c r="X23" s="8"/>
      <c r="Y23" s="8"/>
    </row>
    <row r="24" spans="1:25" x14ac:dyDescent="0.2">
      <c r="A24" s="8"/>
      <c r="B24" s="8"/>
      <c r="C24" s="8"/>
      <c r="D24" s="8"/>
      <c r="E24" s="8"/>
      <c r="F24" s="8"/>
      <c r="G24" s="8"/>
      <c r="H24" s="8"/>
      <c r="I24" s="8"/>
      <c r="J24" s="8"/>
      <c r="K24" s="8"/>
      <c r="L24" s="8"/>
      <c r="M24" s="8"/>
      <c r="N24" s="9" t="s">
        <v>116</v>
      </c>
      <c r="O24" s="9" t="s">
        <v>168</v>
      </c>
      <c r="P24" s="9"/>
      <c r="Q24" s="65" t="s">
        <v>118</v>
      </c>
      <c r="R24" s="65" t="s">
        <v>119</v>
      </c>
      <c r="S24" s="65" t="s">
        <v>1315</v>
      </c>
      <c r="T24" s="8"/>
      <c r="U24" s="8"/>
      <c r="V24" s="8"/>
      <c r="W24" s="8"/>
      <c r="X24" s="8"/>
      <c r="Y24" s="8"/>
    </row>
    <row r="25" spans="1:25" x14ac:dyDescent="0.2">
      <c r="A25" s="8"/>
      <c r="B25" s="8"/>
      <c r="C25" s="8"/>
      <c r="D25" s="8"/>
      <c r="E25" s="8"/>
      <c r="F25" s="8"/>
      <c r="G25" s="8"/>
      <c r="H25" s="8"/>
      <c r="I25" s="8"/>
      <c r="J25" s="8"/>
      <c r="K25" s="8"/>
      <c r="L25" s="8"/>
      <c r="M25" s="8"/>
      <c r="N25" s="9" t="s">
        <v>117</v>
      </c>
      <c r="O25" s="9" t="s">
        <v>173</v>
      </c>
      <c r="P25" s="9"/>
      <c r="Q25" s="65" t="s">
        <v>121</v>
      </c>
      <c r="R25" s="65" t="s">
        <v>1027</v>
      </c>
      <c r="S25" s="65" t="s">
        <v>1028</v>
      </c>
      <c r="T25" s="8"/>
      <c r="U25" s="8"/>
      <c r="V25" s="8"/>
      <c r="W25" s="8"/>
      <c r="X25" s="8"/>
      <c r="Y25" s="8"/>
    </row>
    <row r="26" spans="1:25" x14ac:dyDescent="0.2">
      <c r="A26" s="8"/>
      <c r="B26" s="8"/>
      <c r="C26" s="8"/>
      <c r="D26" s="8"/>
      <c r="E26" s="8"/>
      <c r="F26" s="8"/>
      <c r="G26" s="8"/>
      <c r="H26" s="8"/>
      <c r="I26" s="8"/>
      <c r="J26" s="8"/>
      <c r="K26" s="8"/>
      <c r="L26" s="8"/>
      <c r="M26" s="8"/>
      <c r="N26" s="9" t="s">
        <v>120</v>
      </c>
      <c r="O26" s="9" t="s">
        <v>179</v>
      </c>
      <c r="P26" s="9"/>
      <c r="Q26" s="65" t="s">
        <v>121</v>
      </c>
      <c r="R26" s="65" t="s">
        <v>1321</v>
      </c>
      <c r="S26" s="65" t="s">
        <v>1315</v>
      </c>
      <c r="T26" s="8"/>
      <c r="U26" s="8"/>
      <c r="V26" s="8"/>
      <c r="W26" s="8"/>
      <c r="X26" s="8"/>
      <c r="Y26" s="8"/>
    </row>
    <row r="27" spans="1:25" x14ac:dyDescent="0.2">
      <c r="A27" s="8"/>
      <c r="B27" s="8"/>
      <c r="C27" s="8"/>
      <c r="D27" s="8"/>
      <c r="E27" s="8"/>
      <c r="F27" s="8"/>
      <c r="G27" s="8"/>
      <c r="H27" s="8"/>
      <c r="I27" s="8"/>
      <c r="J27" s="8"/>
      <c r="K27" s="8"/>
      <c r="L27" s="8"/>
      <c r="M27" s="8"/>
      <c r="N27" s="9" t="s">
        <v>122</v>
      </c>
      <c r="O27" s="9" t="s">
        <v>182</v>
      </c>
      <c r="P27" s="9"/>
      <c r="Q27" s="65" t="s">
        <v>124</v>
      </c>
      <c r="R27" s="65" t="s">
        <v>125</v>
      </c>
      <c r="S27" s="65" t="s">
        <v>1315</v>
      </c>
      <c r="T27" s="8"/>
      <c r="U27" s="8"/>
      <c r="V27" s="8"/>
      <c r="W27" s="8"/>
      <c r="X27" s="8"/>
      <c r="Y27" s="8"/>
    </row>
    <row r="28" spans="1:25" x14ac:dyDescent="0.2">
      <c r="A28" s="8"/>
      <c r="B28" s="8"/>
      <c r="C28" s="8"/>
      <c r="D28" s="8"/>
      <c r="E28" s="8"/>
      <c r="F28" s="8"/>
      <c r="G28" s="8"/>
      <c r="H28" s="8"/>
      <c r="I28" s="8"/>
      <c r="J28" s="8"/>
      <c r="K28" s="8"/>
      <c r="L28" s="8"/>
      <c r="M28" s="8"/>
      <c r="N28" s="9" t="s">
        <v>123</v>
      </c>
      <c r="O28" s="9" t="s">
        <v>186</v>
      </c>
      <c r="P28" s="9"/>
      <c r="Q28" s="65" t="s">
        <v>124</v>
      </c>
      <c r="R28" s="65" t="s">
        <v>1029</v>
      </c>
      <c r="S28" s="65" t="s">
        <v>1030</v>
      </c>
      <c r="T28" s="8"/>
      <c r="U28" s="8"/>
      <c r="V28" s="8"/>
      <c r="W28" s="8"/>
      <c r="X28" s="8"/>
      <c r="Y28" s="8"/>
    </row>
    <row r="29" spans="1:25" x14ac:dyDescent="0.2">
      <c r="A29" s="8"/>
      <c r="B29" s="8"/>
      <c r="C29" s="8"/>
      <c r="D29" s="8"/>
      <c r="E29" s="8"/>
      <c r="F29" s="8"/>
      <c r="G29" s="8"/>
      <c r="H29" s="8"/>
      <c r="I29" s="8"/>
      <c r="J29" s="8"/>
      <c r="K29" s="8"/>
      <c r="L29" s="8"/>
      <c r="M29" s="8"/>
      <c r="N29" s="9" t="s">
        <v>126</v>
      </c>
      <c r="O29" s="9" t="s">
        <v>193</v>
      </c>
      <c r="P29" s="9"/>
      <c r="Q29" s="65" t="s">
        <v>124</v>
      </c>
      <c r="R29" s="65" t="s">
        <v>1035</v>
      </c>
      <c r="S29" s="65" t="s">
        <v>443</v>
      </c>
      <c r="T29" s="8"/>
      <c r="U29" s="8"/>
      <c r="V29" s="8"/>
      <c r="W29" s="8"/>
      <c r="X29" s="8"/>
      <c r="Y29" s="8"/>
    </row>
    <row r="30" spans="1:25" x14ac:dyDescent="0.2">
      <c r="A30" s="8"/>
      <c r="B30" s="8"/>
      <c r="C30" s="8"/>
      <c r="D30" s="8"/>
      <c r="E30" s="8"/>
      <c r="F30" s="8"/>
      <c r="G30" s="8"/>
      <c r="H30" s="8"/>
      <c r="I30" s="8"/>
      <c r="J30" s="8"/>
      <c r="K30" s="8"/>
      <c r="L30" s="8"/>
      <c r="M30" s="8"/>
      <c r="N30" s="9" t="s">
        <v>127</v>
      </c>
      <c r="O30" s="9" t="s">
        <v>196</v>
      </c>
      <c r="P30" s="9"/>
      <c r="Q30" s="65" t="s">
        <v>124</v>
      </c>
      <c r="R30" s="65" t="s">
        <v>1031</v>
      </c>
      <c r="S30" s="65" t="s">
        <v>1032</v>
      </c>
      <c r="T30" s="8"/>
      <c r="U30" s="8"/>
      <c r="V30" s="8"/>
      <c r="W30" s="8"/>
      <c r="X30" s="8"/>
      <c r="Y30" s="8"/>
    </row>
    <row r="31" spans="1:25" x14ac:dyDescent="0.2">
      <c r="A31" s="8"/>
      <c r="B31" s="8"/>
      <c r="C31" s="8"/>
      <c r="D31" s="8"/>
      <c r="E31" s="8"/>
      <c r="F31" s="8"/>
      <c r="G31" s="8"/>
      <c r="H31" s="8"/>
      <c r="I31" s="8"/>
      <c r="J31" s="8"/>
      <c r="K31" s="8"/>
      <c r="L31" s="8"/>
      <c r="M31" s="8"/>
      <c r="N31" s="9" t="s">
        <v>128</v>
      </c>
      <c r="O31" s="9" t="s">
        <v>199</v>
      </c>
      <c r="P31" s="9"/>
      <c r="Q31" s="65" t="s">
        <v>124</v>
      </c>
      <c r="R31" s="65" t="s">
        <v>130</v>
      </c>
      <c r="S31" s="65" t="s">
        <v>1322</v>
      </c>
      <c r="T31" s="8"/>
      <c r="U31" s="8"/>
      <c r="V31" s="8"/>
      <c r="W31" s="8"/>
      <c r="X31" s="8"/>
      <c r="Y31" s="8"/>
    </row>
    <row r="32" spans="1:25" x14ac:dyDescent="0.2">
      <c r="A32" s="8"/>
      <c r="B32" s="8"/>
      <c r="C32" s="8"/>
      <c r="D32" s="8"/>
      <c r="E32" s="8"/>
      <c r="F32" s="8"/>
      <c r="G32" s="8"/>
      <c r="H32" s="8"/>
      <c r="I32" s="8"/>
      <c r="J32" s="8"/>
      <c r="K32" s="8"/>
      <c r="L32" s="8"/>
      <c r="M32" s="8"/>
      <c r="N32" s="9" t="s">
        <v>129</v>
      </c>
      <c r="O32" s="9" t="s">
        <v>207</v>
      </c>
      <c r="P32" s="9"/>
      <c r="Q32" s="65" t="s">
        <v>124</v>
      </c>
      <c r="R32" s="65" t="s">
        <v>1033</v>
      </c>
      <c r="S32" s="65" t="s">
        <v>1034</v>
      </c>
      <c r="T32" s="8"/>
      <c r="U32" s="8"/>
      <c r="V32" s="8"/>
      <c r="W32" s="8"/>
      <c r="X32" s="8"/>
      <c r="Y32" s="8"/>
    </row>
    <row r="33" spans="1:25" x14ac:dyDescent="0.2">
      <c r="A33" s="8"/>
      <c r="B33" s="8"/>
      <c r="C33" s="8"/>
      <c r="D33" s="8"/>
      <c r="E33" s="8"/>
      <c r="F33" s="8"/>
      <c r="G33" s="8"/>
      <c r="H33" s="8"/>
      <c r="I33" s="8"/>
      <c r="J33" s="8"/>
      <c r="K33" s="8"/>
      <c r="L33" s="8"/>
      <c r="M33" s="8"/>
      <c r="N33" s="9" t="s">
        <v>1459</v>
      </c>
      <c r="O33" s="9" t="s">
        <v>216</v>
      </c>
      <c r="P33" s="9"/>
      <c r="Q33" s="65" t="s">
        <v>133</v>
      </c>
      <c r="R33" s="65" t="s">
        <v>1036</v>
      </c>
      <c r="S33" s="65" t="s">
        <v>443</v>
      </c>
      <c r="T33" s="8"/>
      <c r="U33" s="8"/>
      <c r="V33" s="8"/>
      <c r="W33" s="8"/>
      <c r="X33" s="8"/>
      <c r="Y33" s="8"/>
    </row>
    <row r="34" spans="1:25" x14ac:dyDescent="0.2">
      <c r="A34" s="8"/>
      <c r="B34" s="8"/>
      <c r="C34" s="8"/>
      <c r="D34" s="8"/>
      <c r="E34" s="8"/>
      <c r="F34" s="8"/>
      <c r="G34" s="8"/>
      <c r="H34" s="8"/>
      <c r="I34" s="8"/>
      <c r="J34" s="8"/>
      <c r="K34" s="8"/>
      <c r="L34" s="8"/>
      <c r="M34" s="8"/>
      <c r="N34" s="9" t="s">
        <v>131</v>
      </c>
      <c r="O34" s="9" t="s">
        <v>212</v>
      </c>
      <c r="P34" s="9"/>
      <c r="Q34" s="65" t="s">
        <v>134</v>
      </c>
      <c r="R34" s="65" t="s">
        <v>1038</v>
      </c>
      <c r="S34" s="65" t="s">
        <v>1039</v>
      </c>
      <c r="T34" s="8"/>
      <c r="U34" s="8"/>
      <c r="V34" s="8"/>
      <c r="W34" s="8"/>
      <c r="X34" s="8"/>
      <c r="Y34" s="8"/>
    </row>
    <row r="35" spans="1:25" x14ac:dyDescent="0.2">
      <c r="A35" s="8"/>
      <c r="B35" s="8"/>
      <c r="C35" s="8"/>
      <c r="D35" s="8"/>
      <c r="E35" s="8"/>
      <c r="F35" s="8"/>
      <c r="G35" s="8"/>
      <c r="H35" s="8"/>
      <c r="I35" s="8"/>
      <c r="J35" s="8"/>
      <c r="K35" s="8"/>
      <c r="L35" s="8"/>
      <c r="M35" s="8"/>
      <c r="N35" s="9" t="s">
        <v>135</v>
      </c>
      <c r="O35" s="9" t="s">
        <v>223</v>
      </c>
      <c r="P35" s="9"/>
      <c r="Q35" s="65" t="s">
        <v>134</v>
      </c>
      <c r="R35" s="65" t="s">
        <v>136</v>
      </c>
      <c r="S35" s="65" t="s">
        <v>1315</v>
      </c>
      <c r="T35" s="8"/>
      <c r="U35" s="8"/>
      <c r="V35" s="8"/>
      <c r="W35" s="8"/>
      <c r="X35" s="8"/>
      <c r="Y35" s="8"/>
    </row>
    <row r="36" spans="1:25" x14ac:dyDescent="0.2">
      <c r="A36" s="8"/>
      <c r="B36" s="8"/>
      <c r="C36" s="8"/>
      <c r="D36" s="8"/>
      <c r="E36" s="8"/>
      <c r="F36" s="8"/>
      <c r="G36" s="8"/>
      <c r="H36" s="8"/>
      <c r="I36" s="8"/>
      <c r="J36" s="8"/>
      <c r="K36" s="8"/>
      <c r="L36" s="8"/>
      <c r="M36" s="8"/>
      <c r="N36" s="9" t="s">
        <v>137</v>
      </c>
      <c r="O36" s="9" t="s">
        <v>226</v>
      </c>
      <c r="P36" s="9"/>
      <c r="Q36" s="65" t="s">
        <v>134</v>
      </c>
      <c r="R36" s="65" t="s">
        <v>138</v>
      </c>
      <c r="S36" s="65" t="s">
        <v>1037</v>
      </c>
      <c r="T36" s="8"/>
      <c r="U36" s="8"/>
      <c r="V36" s="8"/>
      <c r="W36" s="8"/>
      <c r="X36" s="8"/>
      <c r="Y36" s="8"/>
    </row>
    <row r="37" spans="1:25" x14ac:dyDescent="0.2">
      <c r="A37" s="8"/>
      <c r="B37" s="8"/>
      <c r="C37" s="8"/>
      <c r="D37" s="8"/>
      <c r="E37" s="8"/>
      <c r="F37" s="8"/>
      <c r="G37" s="8"/>
      <c r="H37" s="8"/>
      <c r="I37" s="8"/>
      <c r="J37" s="8"/>
      <c r="K37" s="8"/>
      <c r="L37" s="8"/>
      <c r="M37" s="8"/>
      <c r="N37" s="9" t="s">
        <v>139</v>
      </c>
      <c r="O37" s="9" t="s">
        <v>230</v>
      </c>
      <c r="P37" s="9"/>
      <c r="Q37" s="65" t="s">
        <v>134</v>
      </c>
      <c r="R37" s="65" t="s">
        <v>1323</v>
      </c>
      <c r="S37" s="65" t="s">
        <v>1324</v>
      </c>
      <c r="T37" s="8"/>
      <c r="U37" s="8"/>
      <c r="V37" s="8"/>
      <c r="W37" s="8"/>
      <c r="X37" s="8"/>
      <c r="Y37" s="8"/>
    </row>
    <row r="38" spans="1:25" x14ac:dyDescent="0.2">
      <c r="A38" s="8"/>
      <c r="B38" s="8"/>
      <c r="C38" s="8"/>
      <c r="D38" s="8"/>
      <c r="E38" s="8"/>
      <c r="F38" s="8"/>
      <c r="G38" s="8"/>
      <c r="H38" s="8"/>
      <c r="I38" s="8"/>
      <c r="J38" s="8"/>
      <c r="K38" s="8"/>
      <c r="L38" s="8"/>
      <c r="M38" s="8"/>
      <c r="N38" s="9" t="s">
        <v>141</v>
      </c>
      <c r="O38" s="9" t="s">
        <v>231</v>
      </c>
      <c r="P38" s="9"/>
      <c r="Q38" s="65" t="s">
        <v>140</v>
      </c>
      <c r="R38" s="65" t="s">
        <v>1325</v>
      </c>
      <c r="S38" s="65" t="s">
        <v>1315</v>
      </c>
      <c r="T38" s="8"/>
      <c r="U38" s="8"/>
      <c r="V38" s="8"/>
      <c r="W38" s="8"/>
      <c r="X38" s="8"/>
      <c r="Y38" s="8"/>
    </row>
    <row r="39" spans="1:25" x14ac:dyDescent="0.2">
      <c r="A39" s="8"/>
      <c r="B39" s="8"/>
      <c r="C39" s="8"/>
      <c r="D39" s="8"/>
      <c r="E39" s="8"/>
      <c r="F39" s="8"/>
      <c r="G39" s="8"/>
      <c r="H39" s="8"/>
      <c r="I39" s="8"/>
      <c r="J39" s="8"/>
      <c r="K39" s="8"/>
      <c r="L39" s="8"/>
      <c r="M39" s="8"/>
      <c r="N39" s="9" t="s">
        <v>144</v>
      </c>
      <c r="O39" s="9" t="s">
        <v>233</v>
      </c>
      <c r="P39" s="9"/>
      <c r="Q39" s="65" t="s">
        <v>142</v>
      </c>
      <c r="R39" s="65" t="s">
        <v>143</v>
      </c>
      <c r="S39" s="65" t="s">
        <v>1026</v>
      </c>
      <c r="T39" s="8"/>
      <c r="U39" s="8"/>
      <c r="V39" s="8"/>
      <c r="W39" s="8"/>
      <c r="X39" s="8"/>
      <c r="Y39" s="8"/>
    </row>
    <row r="40" spans="1:25" x14ac:dyDescent="0.2">
      <c r="A40" s="8"/>
      <c r="B40" s="8"/>
      <c r="C40" s="8"/>
      <c r="D40" s="8"/>
      <c r="E40" s="8"/>
      <c r="F40" s="8"/>
      <c r="G40" s="8"/>
      <c r="H40" s="8"/>
      <c r="I40" s="8"/>
      <c r="J40" s="8"/>
      <c r="K40" s="8"/>
      <c r="L40" s="8"/>
      <c r="M40" s="8"/>
      <c r="N40" s="9" t="s">
        <v>146</v>
      </c>
      <c r="O40" s="9" t="s">
        <v>235</v>
      </c>
      <c r="P40" s="9"/>
      <c r="Q40" s="65" t="s">
        <v>145</v>
      </c>
      <c r="R40" s="65" t="s">
        <v>1040</v>
      </c>
      <c r="S40" s="65" t="s">
        <v>1041</v>
      </c>
      <c r="T40" s="8"/>
      <c r="U40" s="8"/>
      <c r="V40" s="8"/>
      <c r="W40" s="8"/>
      <c r="X40" s="8"/>
      <c r="Y40" s="8"/>
    </row>
    <row r="41" spans="1:25" x14ac:dyDescent="0.2">
      <c r="A41" s="8"/>
      <c r="B41" s="8"/>
      <c r="C41" s="8"/>
      <c r="D41" s="8"/>
      <c r="E41" s="8"/>
      <c r="F41" s="8"/>
      <c r="G41" s="8"/>
      <c r="H41" s="8"/>
      <c r="I41" s="8"/>
      <c r="J41" s="8"/>
      <c r="K41" s="8"/>
      <c r="L41" s="8"/>
      <c r="M41" s="8"/>
      <c r="N41" s="9" t="s">
        <v>189</v>
      </c>
      <c r="O41" s="9" t="s">
        <v>352</v>
      </c>
      <c r="P41" s="9"/>
      <c r="Q41" s="65" t="s">
        <v>145</v>
      </c>
      <c r="R41" s="65" t="s">
        <v>1046</v>
      </c>
      <c r="S41" s="65" t="s">
        <v>1047</v>
      </c>
      <c r="T41" s="8"/>
      <c r="U41" s="8"/>
      <c r="V41" s="8"/>
      <c r="W41" s="8"/>
      <c r="X41" s="8"/>
      <c r="Y41" s="8"/>
    </row>
    <row r="42" spans="1:25" x14ac:dyDescent="0.2">
      <c r="A42" s="8"/>
      <c r="B42" s="8"/>
      <c r="C42" s="8"/>
      <c r="D42" s="8"/>
      <c r="E42" s="8"/>
      <c r="F42" s="8"/>
      <c r="G42" s="8"/>
      <c r="H42" s="8"/>
      <c r="I42" s="8"/>
      <c r="J42" s="8"/>
      <c r="K42" s="8"/>
      <c r="L42" s="8"/>
      <c r="M42" s="8"/>
      <c r="N42" s="9" t="s">
        <v>147</v>
      </c>
      <c r="O42" s="9" t="s">
        <v>239</v>
      </c>
      <c r="P42" s="9"/>
      <c r="Q42" s="65" t="s">
        <v>145</v>
      </c>
      <c r="R42" s="65" t="s">
        <v>1042</v>
      </c>
      <c r="S42" s="65" t="s">
        <v>1043</v>
      </c>
      <c r="T42" s="8"/>
      <c r="U42" s="8"/>
      <c r="V42" s="8"/>
      <c r="W42" s="8"/>
      <c r="X42" s="8"/>
      <c r="Y42" s="8"/>
    </row>
    <row r="43" spans="1:25" x14ac:dyDescent="0.2">
      <c r="A43" s="8"/>
      <c r="B43" s="8"/>
      <c r="C43" s="8"/>
      <c r="D43" s="8"/>
      <c r="E43" s="8"/>
      <c r="F43" s="8"/>
      <c r="G43" s="8"/>
      <c r="H43" s="8"/>
      <c r="I43" s="8"/>
      <c r="J43" s="8"/>
      <c r="K43" s="8"/>
      <c r="L43" s="8"/>
      <c r="M43" s="8"/>
      <c r="N43" s="9" t="s">
        <v>148</v>
      </c>
      <c r="O43" s="9" t="s">
        <v>244</v>
      </c>
      <c r="P43" s="9"/>
      <c r="Q43" s="65" t="s">
        <v>145</v>
      </c>
      <c r="R43" s="65" t="s">
        <v>1044</v>
      </c>
      <c r="S43" s="65" t="s">
        <v>1045</v>
      </c>
      <c r="T43" s="8"/>
      <c r="U43" s="8"/>
      <c r="V43" s="8"/>
      <c r="W43" s="8"/>
      <c r="X43" s="8"/>
      <c r="Y43" s="8"/>
    </row>
    <row r="44" spans="1:25" x14ac:dyDescent="0.2">
      <c r="A44" s="8"/>
      <c r="B44" s="8"/>
      <c r="C44" s="8"/>
      <c r="D44" s="8"/>
      <c r="E44" s="8"/>
      <c r="F44" s="8"/>
      <c r="G44" s="8"/>
      <c r="H44" s="8"/>
      <c r="I44" s="8"/>
      <c r="J44" s="8"/>
      <c r="K44" s="8"/>
      <c r="L44" s="8"/>
      <c r="M44" s="8"/>
      <c r="N44" s="9" t="s">
        <v>149</v>
      </c>
      <c r="O44" s="9" t="s">
        <v>249</v>
      </c>
      <c r="P44" s="9"/>
      <c r="Q44" s="65" t="s">
        <v>150</v>
      </c>
      <c r="R44" s="65" t="s">
        <v>1048</v>
      </c>
      <c r="S44" s="65" t="s">
        <v>443</v>
      </c>
      <c r="T44" s="8"/>
      <c r="U44" s="8"/>
      <c r="V44" s="8"/>
      <c r="W44" s="8"/>
      <c r="X44" s="8"/>
      <c r="Y44" s="8"/>
    </row>
    <row r="45" spans="1:25" x14ac:dyDescent="0.2">
      <c r="A45" s="8"/>
      <c r="B45" s="8"/>
      <c r="C45" s="8"/>
      <c r="D45" s="8"/>
      <c r="E45" s="8"/>
      <c r="F45" s="8"/>
      <c r="G45" s="8"/>
      <c r="H45" s="8"/>
      <c r="I45" s="8"/>
      <c r="J45" s="8"/>
      <c r="K45" s="8"/>
      <c r="L45" s="8"/>
      <c r="M45" s="8"/>
      <c r="N45" s="9" t="s">
        <v>151</v>
      </c>
      <c r="O45" s="9" t="s">
        <v>253</v>
      </c>
      <c r="P45" s="9"/>
      <c r="Q45" s="65" t="s">
        <v>152</v>
      </c>
      <c r="R45" s="65" t="s">
        <v>153</v>
      </c>
      <c r="S45" s="65" t="s">
        <v>1315</v>
      </c>
      <c r="T45" s="8"/>
      <c r="U45" s="8"/>
      <c r="V45" s="8"/>
      <c r="W45" s="8"/>
      <c r="X45" s="8"/>
      <c r="Y45" s="8"/>
    </row>
    <row r="46" spans="1:25" x14ac:dyDescent="0.2">
      <c r="A46" s="8"/>
      <c r="B46" s="8"/>
      <c r="C46" s="8"/>
      <c r="D46" s="8"/>
      <c r="E46" s="8"/>
      <c r="F46" s="8"/>
      <c r="G46" s="8"/>
      <c r="H46" s="8"/>
      <c r="I46" s="8"/>
      <c r="J46" s="8"/>
      <c r="K46" s="8"/>
      <c r="L46" s="8"/>
      <c r="M46" s="8"/>
      <c r="N46" s="9" t="s">
        <v>154</v>
      </c>
      <c r="O46" s="9" t="s">
        <v>258</v>
      </c>
      <c r="P46" s="9"/>
      <c r="Q46" s="65" t="s">
        <v>152</v>
      </c>
      <c r="R46" s="65" t="s">
        <v>155</v>
      </c>
      <c r="S46" s="65" t="s">
        <v>1051</v>
      </c>
      <c r="T46" s="8"/>
      <c r="U46" s="8"/>
      <c r="V46" s="8"/>
      <c r="W46" s="8"/>
      <c r="X46" s="8"/>
      <c r="Y46" s="8"/>
    </row>
    <row r="47" spans="1:25" x14ac:dyDescent="0.2">
      <c r="A47" s="8"/>
      <c r="B47" s="8"/>
      <c r="C47" s="8"/>
      <c r="D47" s="8"/>
      <c r="E47" s="8"/>
      <c r="F47" s="8"/>
      <c r="G47" s="8"/>
      <c r="H47" s="8"/>
      <c r="I47" s="8"/>
      <c r="J47" s="8"/>
      <c r="K47" s="8"/>
      <c r="L47" s="8"/>
      <c r="M47" s="8"/>
      <c r="N47" s="9" t="s">
        <v>156</v>
      </c>
      <c r="O47" s="9" t="s">
        <v>260</v>
      </c>
      <c r="P47" s="9"/>
      <c r="Q47" s="65" t="s">
        <v>152</v>
      </c>
      <c r="R47" s="65" t="s">
        <v>1326</v>
      </c>
      <c r="S47" s="65" t="s">
        <v>1327</v>
      </c>
      <c r="T47" s="8"/>
      <c r="U47" s="8"/>
      <c r="V47" s="8"/>
      <c r="W47" s="8"/>
      <c r="X47" s="8"/>
      <c r="Y47" s="8"/>
    </row>
    <row r="48" spans="1:25" x14ac:dyDescent="0.2">
      <c r="A48" s="8"/>
      <c r="B48" s="8"/>
      <c r="C48" s="8"/>
      <c r="D48" s="8"/>
      <c r="E48" s="8"/>
      <c r="F48" s="8"/>
      <c r="G48" s="8"/>
      <c r="H48" s="8"/>
      <c r="I48" s="8"/>
      <c r="J48" s="8"/>
      <c r="K48" s="8"/>
      <c r="L48" s="8"/>
      <c r="M48" s="8"/>
      <c r="N48" s="9" t="s">
        <v>157</v>
      </c>
      <c r="O48" s="9" t="s">
        <v>263</v>
      </c>
      <c r="P48" s="9"/>
      <c r="Q48" s="65" t="s">
        <v>152</v>
      </c>
      <c r="R48" s="65" t="s">
        <v>1328</v>
      </c>
      <c r="S48" s="65" t="s">
        <v>1329</v>
      </c>
      <c r="T48" s="8"/>
      <c r="U48" s="8"/>
      <c r="V48" s="8"/>
      <c r="W48" s="8"/>
      <c r="X48" s="8"/>
      <c r="Y48" s="8"/>
    </row>
    <row r="49" spans="1:25" x14ac:dyDescent="0.2">
      <c r="A49" s="8"/>
      <c r="B49" s="8"/>
      <c r="C49" s="8"/>
      <c r="D49" s="8"/>
      <c r="E49" s="8"/>
      <c r="F49" s="8"/>
      <c r="G49" s="8"/>
      <c r="H49" s="8"/>
      <c r="I49" s="8"/>
      <c r="J49" s="8"/>
      <c r="K49" s="8"/>
      <c r="L49" s="8"/>
      <c r="M49" s="8"/>
      <c r="N49" s="9" t="s">
        <v>158</v>
      </c>
      <c r="O49" s="9" t="s">
        <v>268</v>
      </c>
      <c r="P49" s="9"/>
      <c r="Q49" s="65" t="s">
        <v>152</v>
      </c>
      <c r="R49" s="65" t="s">
        <v>1049</v>
      </c>
      <c r="S49" s="65" t="s">
        <v>1050</v>
      </c>
      <c r="T49" s="8"/>
      <c r="U49" s="8"/>
      <c r="V49" s="8"/>
      <c r="W49" s="8"/>
      <c r="X49" s="8"/>
      <c r="Y49" s="8"/>
    </row>
    <row r="50" spans="1:25" x14ac:dyDescent="0.2">
      <c r="A50" s="8"/>
      <c r="B50" s="8"/>
      <c r="C50" s="8"/>
      <c r="D50" s="8"/>
      <c r="E50" s="8"/>
      <c r="F50" s="8"/>
      <c r="G50" s="8"/>
      <c r="H50" s="8"/>
      <c r="I50" s="8"/>
      <c r="J50" s="8"/>
      <c r="K50" s="8"/>
      <c r="L50" s="8"/>
      <c r="M50" s="8"/>
      <c r="N50" s="9" t="s">
        <v>159</v>
      </c>
      <c r="O50" s="9" t="s">
        <v>271</v>
      </c>
      <c r="P50" s="9"/>
      <c r="Q50" s="65" t="s">
        <v>152</v>
      </c>
      <c r="R50" s="65" t="s">
        <v>1330</v>
      </c>
      <c r="S50" s="65" t="s">
        <v>1331</v>
      </c>
      <c r="T50" s="8"/>
      <c r="U50" s="8"/>
      <c r="V50" s="8"/>
      <c r="W50" s="8"/>
      <c r="X50" s="8"/>
      <c r="Y50" s="8"/>
    </row>
    <row r="51" spans="1:25" x14ac:dyDescent="0.2">
      <c r="A51" s="8"/>
      <c r="B51" s="8"/>
      <c r="C51" s="8"/>
      <c r="D51" s="8"/>
      <c r="E51" s="8"/>
      <c r="F51" s="8"/>
      <c r="G51" s="8"/>
      <c r="H51" s="8"/>
      <c r="I51" s="8"/>
      <c r="J51" s="8"/>
      <c r="K51" s="8"/>
      <c r="L51" s="8"/>
      <c r="M51" s="8"/>
      <c r="N51" s="9" t="s">
        <v>162</v>
      </c>
      <c r="O51" s="9" t="s">
        <v>275</v>
      </c>
      <c r="P51" s="9"/>
      <c r="Q51" s="65" t="s">
        <v>160</v>
      </c>
      <c r="R51" s="65" t="s">
        <v>161</v>
      </c>
      <c r="S51" s="65" t="s">
        <v>1053</v>
      </c>
      <c r="T51" s="8"/>
      <c r="U51" s="8"/>
      <c r="V51" s="8"/>
      <c r="W51" s="8"/>
      <c r="X51" s="8"/>
      <c r="Y51" s="8"/>
    </row>
    <row r="52" spans="1:25" x14ac:dyDescent="0.2">
      <c r="A52" s="8"/>
      <c r="B52" s="8"/>
      <c r="C52" s="8"/>
      <c r="D52" s="8"/>
      <c r="E52" s="8"/>
      <c r="F52" s="8"/>
      <c r="G52" s="8"/>
      <c r="H52" s="8"/>
      <c r="I52" s="8"/>
      <c r="J52" s="8"/>
      <c r="K52" s="8"/>
      <c r="L52" s="8"/>
      <c r="M52" s="8"/>
      <c r="N52" s="9" t="s">
        <v>163</v>
      </c>
      <c r="O52" s="9" t="s">
        <v>284</v>
      </c>
      <c r="P52" s="9"/>
      <c r="Q52" s="65" t="s">
        <v>160</v>
      </c>
      <c r="R52" s="65" t="s">
        <v>1332</v>
      </c>
      <c r="S52" s="65" t="s">
        <v>1333</v>
      </c>
      <c r="T52" s="8"/>
      <c r="U52" s="8"/>
      <c r="V52" s="8"/>
      <c r="W52" s="8"/>
      <c r="X52" s="8"/>
      <c r="Y52" s="8"/>
    </row>
    <row r="53" spans="1:25" x14ac:dyDescent="0.2">
      <c r="A53" s="8"/>
      <c r="B53" s="8"/>
      <c r="C53" s="8"/>
      <c r="D53" s="8"/>
      <c r="E53" s="8"/>
      <c r="F53" s="8"/>
      <c r="G53" s="8"/>
      <c r="H53" s="8"/>
      <c r="I53" s="8"/>
      <c r="J53" s="8"/>
      <c r="K53" s="8"/>
      <c r="L53" s="8"/>
      <c r="M53" s="8"/>
      <c r="N53" s="9" t="s">
        <v>164</v>
      </c>
      <c r="O53" s="9" t="s">
        <v>287</v>
      </c>
      <c r="P53" s="9"/>
      <c r="Q53" s="65" t="s">
        <v>160</v>
      </c>
      <c r="R53" s="65" t="s">
        <v>1334</v>
      </c>
      <c r="S53" s="65" t="s">
        <v>1103</v>
      </c>
      <c r="T53" s="8"/>
      <c r="U53" s="8"/>
      <c r="V53" s="8"/>
      <c r="W53" s="8"/>
      <c r="X53" s="8"/>
      <c r="Y53" s="8"/>
    </row>
    <row r="54" spans="1:25" x14ac:dyDescent="0.2">
      <c r="A54" s="8"/>
      <c r="B54" s="8"/>
      <c r="C54" s="8"/>
      <c r="D54" s="8"/>
      <c r="E54" s="8"/>
      <c r="F54" s="8"/>
      <c r="G54" s="8"/>
      <c r="H54" s="8"/>
      <c r="I54" s="8"/>
      <c r="J54" s="8"/>
      <c r="K54" s="8"/>
      <c r="L54" s="8"/>
      <c r="M54" s="8"/>
      <c r="N54" s="9" t="s">
        <v>165</v>
      </c>
      <c r="O54" s="9" t="s">
        <v>294</v>
      </c>
      <c r="P54" s="9"/>
      <c r="Q54" s="65" t="s">
        <v>160</v>
      </c>
      <c r="R54" s="65" t="s">
        <v>1335</v>
      </c>
      <c r="S54" s="65" t="s">
        <v>1336</v>
      </c>
      <c r="T54" s="8"/>
      <c r="U54" s="8"/>
      <c r="V54" s="8"/>
      <c r="W54" s="8"/>
      <c r="X54" s="8"/>
      <c r="Y54" s="8"/>
    </row>
    <row r="55" spans="1:25" x14ac:dyDescent="0.2">
      <c r="A55" s="8"/>
      <c r="B55" s="8"/>
      <c r="C55" s="8"/>
      <c r="D55" s="8"/>
      <c r="E55" s="8"/>
      <c r="F55" s="8"/>
      <c r="G55" s="8"/>
      <c r="H55" s="8"/>
      <c r="I55" s="8"/>
      <c r="J55" s="8"/>
      <c r="K55" s="8"/>
      <c r="L55" s="8"/>
      <c r="M55" s="8"/>
      <c r="N55" s="9" t="s">
        <v>167</v>
      </c>
      <c r="O55" s="9" t="s">
        <v>298</v>
      </c>
      <c r="P55" s="9"/>
      <c r="Q55" s="65" t="s">
        <v>160</v>
      </c>
      <c r="R55" s="65" t="s">
        <v>166</v>
      </c>
      <c r="S55" s="65" t="s">
        <v>1052</v>
      </c>
      <c r="T55" s="8"/>
      <c r="U55" s="8"/>
      <c r="V55" s="8"/>
      <c r="W55" s="8"/>
      <c r="X55" s="8"/>
      <c r="Y55" s="8"/>
    </row>
    <row r="56" spans="1:25" x14ac:dyDescent="0.2">
      <c r="A56" s="8"/>
      <c r="B56" s="8"/>
      <c r="C56" s="8"/>
      <c r="D56" s="8"/>
      <c r="E56" s="8"/>
      <c r="F56" s="8"/>
      <c r="G56" s="8"/>
      <c r="H56" s="8"/>
      <c r="I56" s="8"/>
      <c r="J56" s="8"/>
      <c r="K56" s="8"/>
      <c r="L56" s="8"/>
      <c r="M56" s="8"/>
      <c r="N56" s="9" t="s">
        <v>1460</v>
      </c>
      <c r="O56" s="9" t="s">
        <v>299</v>
      </c>
      <c r="P56" s="9"/>
      <c r="Q56" s="65" t="s">
        <v>168</v>
      </c>
      <c r="R56" s="65" t="s">
        <v>169</v>
      </c>
      <c r="S56" s="65" t="s">
        <v>443</v>
      </c>
      <c r="T56" s="8"/>
      <c r="U56" s="8"/>
      <c r="V56" s="8"/>
      <c r="W56" s="8"/>
      <c r="X56" s="8"/>
      <c r="Y56" s="8"/>
    </row>
    <row r="57" spans="1:25" x14ac:dyDescent="0.2">
      <c r="A57" s="8"/>
      <c r="B57" s="8"/>
      <c r="C57" s="8"/>
      <c r="D57" s="8"/>
      <c r="E57" s="8"/>
      <c r="F57" s="8"/>
      <c r="G57" s="8"/>
      <c r="H57" s="8"/>
      <c r="I57" s="8"/>
      <c r="J57" s="8"/>
      <c r="K57" s="8"/>
      <c r="L57" s="8"/>
      <c r="M57" s="8"/>
      <c r="N57" s="9" t="s">
        <v>170</v>
      </c>
      <c r="O57" s="9" t="s">
        <v>303</v>
      </c>
      <c r="P57" s="9"/>
      <c r="Q57" s="65" t="s">
        <v>168</v>
      </c>
      <c r="R57" s="65" t="s">
        <v>1054</v>
      </c>
      <c r="S57" s="65" t="s">
        <v>1055</v>
      </c>
      <c r="T57" s="8"/>
      <c r="U57" s="8"/>
      <c r="V57" s="8"/>
      <c r="W57" s="8"/>
      <c r="X57" s="8"/>
      <c r="Y57" s="8"/>
    </row>
    <row r="58" spans="1:25" x14ac:dyDescent="0.2">
      <c r="A58" s="8"/>
      <c r="B58" s="8"/>
      <c r="C58" s="8"/>
      <c r="D58" s="8"/>
      <c r="E58" s="8"/>
      <c r="F58" s="8"/>
      <c r="G58" s="8"/>
      <c r="H58" s="8"/>
      <c r="I58" s="8"/>
      <c r="J58" s="8"/>
      <c r="K58" s="8"/>
      <c r="L58" s="8"/>
      <c r="M58" s="8"/>
      <c r="N58" s="9" t="s">
        <v>171</v>
      </c>
      <c r="O58" s="9" t="s">
        <v>306</v>
      </c>
      <c r="P58" s="9"/>
      <c r="Q58" s="65" t="s">
        <v>168</v>
      </c>
      <c r="R58" s="65" t="s">
        <v>1056</v>
      </c>
      <c r="S58" s="65" t="s">
        <v>1057</v>
      </c>
      <c r="T58" s="8"/>
      <c r="U58" s="8"/>
      <c r="V58" s="8"/>
      <c r="W58" s="8"/>
      <c r="X58" s="8"/>
      <c r="Y58" s="8"/>
    </row>
    <row r="59" spans="1:25" x14ac:dyDescent="0.2">
      <c r="A59" s="8"/>
      <c r="B59" s="8"/>
      <c r="C59" s="8"/>
      <c r="D59" s="8"/>
      <c r="E59" s="8"/>
      <c r="F59" s="8"/>
      <c r="G59" s="8"/>
      <c r="H59" s="8"/>
      <c r="I59" s="8"/>
      <c r="J59" s="8"/>
      <c r="K59" s="8"/>
      <c r="L59" s="8"/>
      <c r="M59" s="8"/>
      <c r="N59" s="9" t="s">
        <v>172</v>
      </c>
      <c r="O59" s="9" t="s">
        <v>311</v>
      </c>
      <c r="P59" s="9"/>
      <c r="Q59" s="65" t="s">
        <v>168</v>
      </c>
      <c r="R59" s="65" t="s">
        <v>1058</v>
      </c>
      <c r="S59" s="65" t="s">
        <v>1059</v>
      </c>
      <c r="T59" s="8"/>
      <c r="U59" s="8"/>
      <c r="V59" s="8"/>
      <c r="W59" s="8"/>
      <c r="X59" s="8"/>
      <c r="Y59" s="8"/>
    </row>
    <row r="60" spans="1:25" x14ac:dyDescent="0.2">
      <c r="A60" s="8"/>
      <c r="B60" s="8"/>
      <c r="C60" s="8"/>
      <c r="D60" s="8"/>
      <c r="E60" s="8"/>
      <c r="F60" s="8"/>
      <c r="G60" s="8"/>
      <c r="H60" s="8"/>
      <c r="I60" s="8"/>
      <c r="J60" s="8"/>
      <c r="K60" s="8"/>
      <c r="L60" s="8"/>
      <c r="M60" s="8"/>
      <c r="N60" s="9" t="s">
        <v>174</v>
      </c>
      <c r="O60" s="9" t="s">
        <v>316</v>
      </c>
      <c r="P60" s="9"/>
      <c r="Q60" s="65" t="s">
        <v>168</v>
      </c>
      <c r="R60" s="65" t="s">
        <v>1337</v>
      </c>
      <c r="S60" s="65" t="s">
        <v>1338</v>
      </c>
      <c r="T60" s="8"/>
      <c r="U60" s="8"/>
      <c r="V60" s="8"/>
      <c r="W60" s="8"/>
      <c r="X60" s="8"/>
      <c r="Y60" s="8"/>
    </row>
    <row r="61" spans="1:25" x14ac:dyDescent="0.2">
      <c r="A61" s="8"/>
      <c r="B61" s="8"/>
      <c r="C61" s="8"/>
      <c r="D61" s="8"/>
      <c r="E61" s="8"/>
      <c r="F61" s="8"/>
      <c r="G61" s="8"/>
      <c r="H61" s="8"/>
      <c r="I61" s="8"/>
      <c r="J61" s="8"/>
      <c r="K61" s="8"/>
      <c r="L61" s="8"/>
      <c r="M61" s="8"/>
      <c r="N61" s="9" t="s">
        <v>176</v>
      </c>
      <c r="O61" s="9" t="s">
        <v>334</v>
      </c>
      <c r="P61" s="9"/>
      <c r="Q61" s="65" t="s">
        <v>173</v>
      </c>
      <c r="R61" s="65" t="s">
        <v>1063</v>
      </c>
      <c r="S61" s="65" t="s">
        <v>443</v>
      </c>
      <c r="T61" s="8"/>
      <c r="U61" s="8"/>
      <c r="V61" s="8"/>
      <c r="W61" s="8"/>
      <c r="X61" s="8"/>
      <c r="Y61" s="8"/>
    </row>
    <row r="62" spans="1:25" x14ac:dyDescent="0.2">
      <c r="A62" s="8"/>
      <c r="B62" s="8"/>
      <c r="C62" s="8"/>
      <c r="D62" s="8"/>
      <c r="E62" s="8"/>
      <c r="F62" s="8"/>
      <c r="G62" s="8"/>
      <c r="H62" s="8"/>
      <c r="I62" s="8"/>
      <c r="J62" s="8"/>
      <c r="K62" s="8"/>
      <c r="L62" s="8"/>
      <c r="M62" s="8"/>
      <c r="N62" s="9" t="s">
        <v>178</v>
      </c>
      <c r="O62" s="9" t="s">
        <v>341</v>
      </c>
      <c r="P62" s="9"/>
      <c r="Q62" s="65" t="s">
        <v>173</v>
      </c>
      <c r="R62" s="65" t="s">
        <v>175</v>
      </c>
      <c r="S62" s="65" t="s">
        <v>1062</v>
      </c>
      <c r="T62" s="8"/>
      <c r="U62" s="8"/>
      <c r="V62" s="8"/>
      <c r="W62" s="8"/>
      <c r="X62" s="8"/>
      <c r="Y62" s="8"/>
    </row>
    <row r="63" spans="1:25" x14ac:dyDescent="0.2">
      <c r="A63" s="8"/>
      <c r="B63" s="8"/>
      <c r="C63" s="8"/>
      <c r="D63" s="8"/>
      <c r="E63" s="8"/>
      <c r="F63" s="8"/>
      <c r="G63" s="8"/>
      <c r="H63" s="8"/>
      <c r="I63" s="8"/>
      <c r="J63" s="8"/>
      <c r="K63" s="8"/>
      <c r="L63" s="8"/>
      <c r="M63" s="8"/>
      <c r="N63" s="9" t="s">
        <v>180</v>
      </c>
      <c r="O63" s="9" t="s">
        <v>342</v>
      </c>
      <c r="P63" s="9"/>
      <c r="Q63" s="65" t="s">
        <v>173</v>
      </c>
      <c r="R63" s="65" t="s">
        <v>1060</v>
      </c>
      <c r="S63" s="65" t="s">
        <v>1061</v>
      </c>
      <c r="T63" s="8"/>
      <c r="U63" s="8"/>
      <c r="V63" s="8"/>
      <c r="W63" s="8"/>
      <c r="X63" s="8"/>
      <c r="Y63" s="8"/>
    </row>
    <row r="64" spans="1:25" x14ac:dyDescent="0.2">
      <c r="A64" s="8"/>
      <c r="B64" s="8"/>
      <c r="C64" s="8"/>
      <c r="D64" s="8"/>
      <c r="E64" s="8"/>
      <c r="F64" s="8"/>
      <c r="G64" s="8"/>
      <c r="H64" s="8"/>
      <c r="I64" s="8"/>
      <c r="J64" s="8"/>
      <c r="K64" s="8"/>
      <c r="L64" s="8"/>
      <c r="M64" s="8"/>
      <c r="N64" s="9" t="s">
        <v>181</v>
      </c>
      <c r="O64" s="9" t="s">
        <v>344</v>
      </c>
      <c r="P64" s="9"/>
      <c r="Q64" s="65" t="s">
        <v>173</v>
      </c>
      <c r="R64" s="65" t="s">
        <v>177</v>
      </c>
      <c r="S64" s="65" t="s">
        <v>1339</v>
      </c>
      <c r="T64" s="8"/>
      <c r="U64" s="8"/>
      <c r="V64" s="8"/>
      <c r="W64" s="8"/>
      <c r="X64" s="8"/>
      <c r="Y64" s="8"/>
    </row>
    <row r="65" spans="1:25" x14ac:dyDescent="0.2">
      <c r="A65" s="8"/>
      <c r="B65" s="8"/>
      <c r="C65" s="8"/>
      <c r="D65" s="8"/>
      <c r="E65" s="8"/>
      <c r="F65" s="8"/>
      <c r="G65" s="8"/>
      <c r="H65" s="8"/>
      <c r="I65" s="8"/>
      <c r="J65" s="8"/>
      <c r="K65" s="8"/>
      <c r="L65" s="8"/>
      <c r="M65" s="8"/>
      <c r="N65" s="9" t="s">
        <v>184</v>
      </c>
      <c r="O65" s="9" t="s">
        <v>346</v>
      </c>
      <c r="P65" s="9"/>
      <c r="Q65" s="65" t="s">
        <v>490</v>
      </c>
      <c r="R65" s="65" t="s">
        <v>177</v>
      </c>
      <c r="S65" s="65" t="s">
        <v>1339</v>
      </c>
      <c r="T65" s="8"/>
      <c r="U65" s="8"/>
      <c r="V65" s="8"/>
      <c r="W65" s="8"/>
      <c r="X65" s="8"/>
      <c r="Y65" s="8"/>
    </row>
    <row r="66" spans="1:25" x14ac:dyDescent="0.2">
      <c r="A66" s="8"/>
      <c r="B66" s="8"/>
      <c r="C66" s="8"/>
      <c r="D66" s="8"/>
      <c r="E66" s="8"/>
      <c r="F66" s="8"/>
      <c r="G66" s="8"/>
      <c r="H66" s="8"/>
      <c r="I66" s="8"/>
      <c r="J66" s="8"/>
      <c r="K66" s="8"/>
      <c r="L66" s="8"/>
      <c r="M66" s="8"/>
      <c r="N66" s="9" t="s">
        <v>185</v>
      </c>
      <c r="O66" s="9" t="s">
        <v>348</v>
      </c>
      <c r="P66" s="9"/>
      <c r="Q66" s="65" t="s">
        <v>179</v>
      </c>
      <c r="R66" s="65" t="s">
        <v>1066</v>
      </c>
      <c r="S66" s="65" t="s">
        <v>1067</v>
      </c>
      <c r="T66" s="8"/>
      <c r="U66" s="8"/>
      <c r="V66" s="8"/>
      <c r="W66" s="8"/>
      <c r="X66" s="8"/>
      <c r="Y66" s="8"/>
    </row>
    <row r="67" spans="1:25" x14ac:dyDescent="0.2">
      <c r="A67" s="8"/>
      <c r="B67" s="8"/>
      <c r="C67" s="8"/>
      <c r="D67" s="8"/>
      <c r="E67" s="8"/>
      <c r="F67" s="8"/>
      <c r="G67" s="8"/>
      <c r="H67" s="8"/>
      <c r="I67" s="8"/>
      <c r="J67" s="8"/>
      <c r="K67" s="8"/>
      <c r="L67" s="8"/>
      <c r="M67" s="8"/>
      <c r="N67" s="9" t="s">
        <v>187</v>
      </c>
      <c r="O67" s="9" t="s">
        <v>349</v>
      </c>
      <c r="P67" s="9"/>
      <c r="Q67" s="65" t="s">
        <v>179</v>
      </c>
      <c r="R67" s="65" t="s">
        <v>1064</v>
      </c>
      <c r="S67" s="65" t="s">
        <v>1065</v>
      </c>
      <c r="T67" s="8"/>
      <c r="U67" s="8"/>
      <c r="V67" s="8"/>
      <c r="W67" s="8"/>
      <c r="X67" s="8"/>
      <c r="Y67" s="8"/>
    </row>
    <row r="68" spans="1:25" x14ac:dyDescent="0.2">
      <c r="A68" s="8"/>
      <c r="B68" s="8"/>
      <c r="C68" s="8"/>
      <c r="D68" s="8"/>
      <c r="E68" s="8"/>
      <c r="F68" s="8"/>
      <c r="G68" s="8"/>
      <c r="H68" s="8"/>
      <c r="I68" s="8"/>
      <c r="J68" s="8"/>
      <c r="K68" s="8"/>
      <c r="L68" s="8"/>
      <c r="M68" s="8"/>
      <c r="N68" s="9" t="s">
        <v>191</v>
      </c>
      <c r="O68" s="9" t="s">
        <v>353</v>
      </c>
      <c r="P68" s="9"/>
      <c r="Q68" s="65" t="s">
        <v>182</v>
      </c>
      <c r="R68" s="65" t="s">
        <v>183</v>
      </c>
      <c r="S68" s="65" t="s">
        <v>1315</v>
      </c>
      <c r="T68" s="8"/>
      <c r="U68" s="8"/>
      <c r="V68" s="8"/>
      <c r="W68" s="8"/>
      <c r="X68" s="8"/>
      <c r="Y68" s="8"/>
    </row>
    <row r="69" spans="1:25" x14ac:dyDescent="0.2">
      <c r="A69" s="8"/>
      <c r="B69" s="8"/>
      <c r="C69" s="8"/>
      <c r="D69" s="8"/>
      <c r="E69" s="8"/>
      <c r="F69" s="8"/>
      <c r="G69" s="8"/>
      <c r="H69" s="8"/>
      <c r="I69" s="8"/>
      <c r="J69" s="8"/>
      <c r="K69" s="8"/>
      <c r="L69" s="8"/>
      <c r="M69" s="8"/>
      <c r="N69" s="9" t="s">
        <v>192</v>
      </c>
      <c r="O69" s="9" t="s">
        <v>355</v>
      </c>
      <c r="P69" s="9"/>
      <c r="Q69" s="65" t="s">
        <v>182</v>
      </c>
      <c r="R69" s="65" t="s">
        <v>1068</v>
      </c>
      <c r="S69" s="65" t="s">
        <v>1053</v>
      </c>
      <c r="T69" s="8"/>
      <c r="U69" s="8"/>
      <c r="V69" s="8"/>
      <c r="W69" s="8"/>
      <c r="X69" s="8"/>
      <c r="Y69" s="8"/>
    </row>
    <row r="70" spans="1:25" x14ac:dyDescent="0.2">
      <c r="A70" s="8"/>
      <c r="B70" s="8"/>
      <c r="C70" s="8"/>
      <c r="D70" s="8"/>
      <c r="E70" s="8"/>
      <c r="F70" s="8"/>
      <c r="G70" s="8"/>
      <c r="H70" s="8"/>
      <c r="I70" s="8"/>
      <c r="J70" s="8"/>
      <c r="K70" s="8"/>
      <c r="L70" s="8"/>
      <c r="M70" s="8"/>
      <c r="N70" s="9" t="s">
        <v>198</v>
      </c>
      <c r="O70" s="9" t="s">
        <v>361</v>
      </c>
      <c r="P70" s="9"/>
      <c r="Q70" s="65" t="s">
        <v>182</v>
      </c>
      <c r="R70" s="65" t="s">
        <v>1069</v>
      </c>
      <c r="S70" s="65" t="s">
        <v>443</v>
      </c>
      <c r="T70" s="8"/>
      <c r="U70" s="8"/>
      <c r="V70" s="8"/>
      <c r="W70" s="8"/>
      <c r="X70" s="8"/>
      <c r="Y70" s="8"/>
    </row>
    <row r="71" spans="1:25" x14ac:dyDescent="0.2">
      <c r="A71" s="8"/>
      <c r="B71" s="8"/>
      <c r="C71" s="8"/>
      <c r="D71" s="8"/>
      <c r="E71" s="8"/>
      <c r="F71" s="8"/>
      <c r="G71" s="8"/>
      <c r="H71" s="8"/>
      <c r="I71" s="8"/>
      <c r="J71" s="8"/>
      <c r="K71" s="8"/>
      <c r="L71" s="8"/>
      <c r="M71" s="8"/>
      <c r="N71" s="9" t="s">
        <v>1461</v>
      </c>
      <c r="O71" s="9"/>
      <c r="P71" s="9"/>
      <c r="Q71" s="65" t="s">
        <v>186</v>
      </c>
      <c r="R71" s="65" t="s">
        <v>1071</v>
      </c>
      <c r="S71" s="65" t="s">
        <v>1072</v>
      </c>
      <c r="T71" s="8"/>
      <c r="U71" s="8"/>
      <c r="V71" s="8"/>
      <c r="W71" s="8"/>
      <c r="X71" s="8"/>
      <c r="Y71" s="8"/>
    </row>
    <row r="72" spans="1:25" x14ac:dyDescent="0.2">
      <c r="A72" s="8"/>
      <c r="B72" s="8"/>
      <c r="C72" s="8"/>
      <c r="D72" s="8"/>
      <c r="E72" s="8"/>
      <c r="F72" s="8"/>
      <c r="G72" s="8"/>
      <c r="H72" s="8"/>
      <c r="I72" s="8"/>
      <c r="J72" s="8"/>
      <c r="K72" s="8"/>
      <c r="L72" s="8"/>
      <c r="M72" s="8"/>
      <c r="N72" s="9" t="s">
        <v>200</v>
      </c>
      <c r="O72" s="9" t="s">
        <v>362</v>
      </c>
      <c r="P72" s="9"/>
      <c r="Q72" s="65" t="s">
        <v>186</v>
      </c>
      <c r="R72" s="65" t="s">
        <v>188</v>
      </c>
      <c r="S72" s="65" t="s">
        <v>1315</v>
      </c>
      <c r="T72" s="8"/>
      <c r="U72" s="8"/>
      <c r="V72" s="8"/>
      <c r="W72" s="8"/>
      <c r="X72" s="8"/>
      <c r="Y72" s="8"/>
    </row>
    <row r="73" spans="1:25" x14ac:dyDescent="0.2">
      <c r="A73" s="8"/>
      <c r="B73" s="8"/>
      <c r="C73" s="8"/>
      <c r="D73" s="8"/>
      <c r="E73" s="8"/>
      <c r="F73" s="8"/>
      <c r="G73" s="8"/>
      <c r="H73" s="8"/>
      <c r="I73" s="8"/>
      <c r="J73" s="8"/>
      <c r="K73" s="8"/>
      <c r="L73" s="8"/>
      <c r="M73" s="8"/>
      <c r="N73" s="9" t="s">
        <v>203</v>
      </c>
      <c r="O73" s="9" t="s">
        <v>364</v>
      </c>
      <c r="P73" s="9"/>
      <c r="Q73" s="65" t="s">
        <v>186</v>
      </c>
      <c r="R73" s="65" t="s">
        <v>190</v>
      </c>
      <c r="S73" s="65" t="s">
        <v>1070</v>
      </c>
      <c r="T73" s="8"/>
      <c r="U73" s="8"/>
      <c r="V73" s="8"/>
      <c r="W73" s="8"/>
      <c r="X73" s="8"/>
      <c r="Y73" s="8"/>
    </row>
    <row r="74" spans="1:25" x14ac:dyDescent="0.2">
      <c r="A74" s="8"/>
      <c r="B74" s="8"/>
      <c r="C74" s="8"/>
      <c r="D74" s="8"/>
      <c r="E74" s="8"/>
      <c r="F74" s="8"/>
      <c r="G74" s="8"/>
      <c r="H74" s="8"/>
      <c r="I74" s="8"/>
      <c r="J74" s="8"/>
      <c r="K74" s="8"/>
      <c r="L74" s="8"/>
      <c r="M74" s="8"/>
      <c r="N74" s="9" t="s">
        <v>205</v>
      </c>
      <c r="O74" s="9" t="s">
        <v>369</v>
      </c>
      <c r="P74" s="9"/>
      <c r="Q74" s="65" t="s">
        <v>186</v>
      </c>
      <c r="R74" s="65" t="s">
        <v>1340</v>
      </c>
      <c r="S74" s="65" t="s">
        <v>1341</v>
      </c>
      <c r="T74" s="8"/>
      <c r="U74" s="8"/>
      <c r="V74" s="8"/>
      <c r="W74" s="8"/>
      <c r="X74" s="8"/>
      <c r="Y74" s="8"/>
    </row>
    <row r="75" spans="1:25" x14ac:dyDescent="0.2">
      <c r="A75" s="8"/>
      <c r="B75" s="8"/>
      <c r="C75" s="8"/>
      <c r="D75" s="8"/>
      <c r="E75" s="8"/>
      <c r="F75" s="8"/>
      <c r="G75" s="8"/>
      <c r="H75" s="8"/>
      <c r="I75" s="8"/>
      <c r="J75" s="8"/>
      <c r="K75" s="8"/>
      <c r="L75" s="8"/>
      <c r="M75" s="8"/>
      <c r="N75" s="9" t="s">
        <v>206</v>
      </c>
      <c r="O75" s="9" t="s">
        <v>370</v>
      </c>
      <c r="P75" s="9"/>
      <c r="Q75" s="65" t="s">
        <v>193</v>
      </c>
      <c r="R75" s="65" t="s">
        <v>194</v>
      </c>
      <c r="S75" s="65" t="s">
        <v>1073</v>
      </c>
      <c r="T75" s="8"/>
      <c r="U75" s="8"/>
      <c r="V75" s="8"/>
      <c r="W75" s="8"/>
      <c r="X75" s="8"/>
      <c r="Y75" s="8"/>
    </row>
    <row r="76" spans="1:25" x14ac:dyDescent="0.2">
      <c r="A76" s="8"/>
      <c r="B76" s="8"/>
      <c r="C76" s="8"/>
      <c r="D76" s="8"/>
      <c r="E76" s="8"/>
      <c r="F76" s="8"/>
      <c r="G76" s="8"/>
      <c r="H76" s="8"/>
      <c r="I76" s="8"/>
      <c r="J76" s="8"/>
      <c r="K76" s="8"/>
      <c r="L76" s="8"/>
      <c r="M76" s="8"/>
      <c r="N76" s="9" t="s">
        <v>209</v>
      </c>
      <c r="O76" s="9" t="s">
        <v>376</v>
      </c>
      <c r="P76" s="9"/>
      <c r="Q76" s="65" t="s">
        <v>196</v>
      </c>
      <c r="R76" s="65" t="s">
        <v>197</v>
      </c>
      <c r="S76" s="65" t="s">
        <v>1074</v>
      </c>
      <c r="T76" s="8"/>
      <c r="U76" s="8"/>
      <c r="V76" s="8"/>
      <c r="W76" s="8"/>
      <c r="X76" s="8"/>
      <c r="Y76" s="8"/>
    </row>
    <row r="77" spans="1:25" x14ac:dyDescent="0.2">
      <c r="A77" s="8"/>
      <c r="B77" s="8"/>
      <c r="C77" s="8"/>
      <c r="D77" s="8"/>
      <c r="E77" s="8"/>
      <c r="F77" s="8"/>
      <c r="G77" s="8"/>
      <c r="H77" s="8"/>
      <c r="I77" s="8"/>
      <c r="J77" s="8"/>
      <c r="K77" s="8"/>
      <c r="L77" s="8"/>
      <c r="M77" s="8"/>
      <c r="N77" s="9" t="s">
        <v>211</v>
      </c>
      <c r="O77" s="9" t="s">
        <v>1192</v>
      </c>
      <c r="P77" s="9"/>
      <c r="Q77" s="65" t="s">
        <v>199</v>
      </c>
      <c r="R77" s="65" t="s">
        <v>1077</v>
      </c>
      <c r="S77" s="65" t="s">
        <v>1078</v>
      </c>
      <c r="T77" s="8"/>
      <c r="U77" s="8"/>
      <c r="V77" s="8"/>
      <c r="W77" s="8"/>
      <c r="X77" s="8"/>
      <c r="Y77" s="8"/>
    </row>
    <row r="78" spans="1:25" x14ac:dyDescent="0.2">
      <c r="A78" s="8"/>
      <c r="B78" s="8"/>
      <c r="C78" s="8"/>
      <c r="D78" s="8"/>
      <c r="E78" s="8"/>
      <c r="F78" s="8"/>
      <c r="G78" s="8"/>
      <c r="H78" s="8"/>
      <c r="I78" s="8"/>
      <c r="J78" s="8"/>
      <c r="K78" s="8"/>
      <c r="L78" s="8"/>
      <c r="M78" s="8"/>
      <c r="N78" s="9" t="s">
        <v>213</v>
      </c>
      <c r="O78" s="9" t="s">
        <v>377</v>
      </c>
      <c r="P78" s="9"/>
      <c r="Q78" s="65" t="s">
        <v>199</v>
      </c>
      <c r="R78" s="65" t="s">
        <v>1075</v>
      </c>
      <c r="S78" s="65" t="s">
        <v>314</v>
      </c>
      <c r="T78" s="8"/>
      <c r="U78" s="8"/>
      <c r="V78" s="8"/>
      <c r="W78" s="8"/>
      <c r="X78" s="8"/>
      <c r="Y78" s="8"/>
    </row>
    <row r="79" spans="1:25" x14ac:dyDescent="0.2">
      <c r="A79" s="8"/>
      <c r="B79" s="8"/>
      <c r="C79" s="8"/>
      <c r="D79" s="8"/>
      <c r="E79" s="8"/>
      <c r="F79" s="8"/>
      <c r="G79" s="8"/>
      <c r="H79" s="8"/>
      <c r="I79" s="8"/>
      <c r="J79" s="8"/>
      <c r="K79" s="8"/>
      <c r="L79" s="8"/>
      <c r="M79" s="8"/>
      <c r="N79" s="9" t="s">
        <v>214</v>
      </c>
      <c r="O79" s="9" t="s">
        <v>379</v>
      </c>
      <c r="P79" s="9"/>
      <c r="Q79" s="65" t="s">
        <v>199</v>
      </c>
      <c r="R79" s="65" t="s">
        <v>201</v>
      </c>
      <c r="S79" s="65" t="s">
        <v>202</v>
      </c>
      <c r="T79" s="8"/>
      <c r="U79" s="8"/>
      <c r="V79" s="8"/>
      <c r="W79" s="8"/>
      <c r="X79" s="8"/>
      <c r="Y79" s="8"/>
    </row>
    <row r="80" spans="1:25" x14ac:dyDescent="0.2">
      <c r="A80" s="8"/>
      <c r="B80" s="8"/>
      <c r="C80" s="8"/>
      <c r="D80" s="8"/>
      <c r="E80" s="8"/>
      <c r="F80" s="8"/>
      <c r="G80" s="8"/>
      <c r="H80" s="8"/>
      <c r="I80" s="8"/>
      <c r="J80" s="8"/>
      <c r="K80" s="8"/>
      <c r="L80" s="8"/>
      <c r="M80" s="8"/>
      <c r="N80" s="9" t="s">
        <v>215</v>
      </c>
      <c r="O80" s="9" t="s">
        <v>382</v>
      </c>
      <c r="P80" s="9"/>
      <c r="Q80" s="65" t="s">
        <v>199</v>
      </c>
      <c r="R80" s="65" t="s">
        <v>1076</v>
      </c>
      <c r="S80" s="65" t="s">
        <v>204</v>
      </c>
      <c r="T80" s="8"/>
      <c r="U80" s="8"/>
      <c r="V80" s="8"/>
      <c r="W80" s="8"/>
      <c r="X80" s="8"/>
      <c r="Y80" s="8"/>
    </row>
    <row r="81" spans="1:25" x14ac:dyDescent="0.2">
      <c r="A81" s="8"/>
      <c r="B81" s="8"/>
      <c r="C81" s="8"/>
      <c r="D81" s="8"/>
      <c r="E81" s="8"/>
      <c r="F81" s="8"/>
      <c r="G81" s="8"/>
      <c r="H81" s="8"/>
      <c r="I81" s="8"/>
      <c r="J81" s="8"/>
      <c r="K81" s="8"/>
      <c r="L81" s="8"/>
      <c r="M81" s="8"/>
      <c r="N81" s="9" t="s">
        <v>218</v>
      </c>
      <c r="O81" s="9" t="s">
        <v>385</v>
      </c>
      <c r="P81" s="9"/>
      <c r="Q81" s="65" t="s">
        <v>207</v>
      </c>
      <c r="R81" s="65" t="s">
        <v>208</v>
      </c>
      <c r="S81" s="65" t="s">
        <v>1079</v>
      </c>
      <c r="T81" s="8"/>
      <c r="U81" s="8"/>
      <c r="V81" s="8"/>
      <c r="W81" s="8"/>
      <c r="X81" s="8"/>
      <c r="Y81" s="8"/>
    </row>
    <row r="82" spans="1:25" x14ac:dyDescent="0.2">
      <c r="A82" s="8"/>
      <c r="B82" s="8"/>
      <c r="C82" s="8"/>
      <c r="D82" s="8"/>
      <c r="E82" s="8"/>
      <c r="F82" s="8"/>
      <c r="G82" s="8"/>
      <c r="H82" s="8"/>
      <c r="I82" s="8"/>
      <c r="J82" s="8"/>
      <c r="K82" s="8"/>
      <c r="L82" s="8"/>
      <c r="M82" s="8"/>
      <c r="N82" s="9" t="s">
        <v>219</v>
      </c>
      <c r="O82" s="9" t="s">
        <v>387</v>
      </c>
      <c r="P82" s="9"/>
      <c r="Q82" s="65" t="s">
        <v>207</v>
      </c>
      <c r="R82" s="65" t="s">
        <v>210</v>
      </c>
      <c r="S82" s="65" t="s">
        <v>443</v>
      </c>
      <c r="T82" s="8"/>
      <c r="U82" s="8"/>
      <c r="V82" s="8"/>
      <c r="W82" s="8"/>
      <c r="X82" s="8"/>
      <c r="Y82" s="8"/>
    </row>
    <row r="83" spans="1:25" x14ac:dyDescent="0.2">
      <c r="A83" s="8"/>
      <c r="B83" s="8"/>
      <c r="C83" s="8"/>
      <c r="D83" s="8"/>
      <c r="E83" s="8"/>
      <c r="F83" s="8"/>
      <c r="G83" s="8"/>
      <c r="H83" s="8"/>
      <c r="I83" s="8"/>
      <c r="J83" s="8"/>
      <c r="K83" s="8"/>
      <c r="L83" s="8"/>
      <c r="M83" s="8"/>
      <c r="N83" s="9" t="s">
        <v>220</v>
      </c>
      <c r="O83" s="9" t="s">
        <v>388</v>
      </c>
      <c r="P83" s="9"/>
      <c r="Q83" s="65" t="s">
        <v>212</v>
      </c>
      <c r="R83" s="65" t="s">
        <v>1080</v>
      </c>
      <c r="S83" s="65" t="s">
        <v>1053</v>
      </c>
      <c r="T83" s="8"/>
      <c r="U83" s="8"/>
      <c r="V83" s="8"/>
      <c r="W83" s="8"/>
      <c r="X83" s="8"/>
      <c r="Y83" s="8"/>
    </row>
    <row r="84" spans="1:25" x14ac:dyDescent="0.2">
      <c r="A84" s="8"/>
      <c r="B84" s="8"/>
      <c r="C84" s="8"/>
      <c r="D84" s="8"/>
      <c r="E84" s="8"/>
      <c r="F84" s="8"/>
      <c r="G84" s="8"/>
      <c r="H84" s="8"/>
      <c r="I84" s="8"/>
      <c r="J84" s="8"/>
      <c r="K84" s="8"/>
      <c r="L84" s="8"/>
      <c r="M84" s="8"/>
      <c r="N84" s="9" t="s">
        <v>222</v>
      </c>
      <c r="O84" s="9" t="s">
        <v>390</v>
      </c>
      <c r="P84" s="9"/>
      <c r="Q84" s="65" t="s">
        <v>212</v>
      </c>
      <c r="R84" s="65" t="s">
        <v>1085</v>
      </c>
      <c r="S84" s="65" t="s">
        <v>443</v>
      </c>
      <c r="T84" s="8"/>
      <c r="U84" s="8"/>
      <c r="V84" s="8"/>
      <c r="W84" s="8"/>
      <c r="X84" s="8"/>
      <c r="Y84" s="8"/>
    </row>
    <row r="85" spans="1:25" x14ac:dyDescent="0.2">
      <c r="A85" s="8"/>
      <c r="B85" s="8"/>
      <c r="C85" s="8"/>
      <c r="D85" s="8"/>
      <c r="E85" s="8"/>
      <c r="F85" s="8"/>
      <c r="G85" s="8"/>
      <c r="H85" s="8"/>
      <c r="I85" s="8"/>
      <c r="J85" s="8"/>
      <c r="K85" s="8"/>
      <c r="L85" s="8"/>
      <c r="M85" s="8"/>
      <c r="N85" s="9" t="s">
        <v>224</v>
      </c>
      <c r="O85" s="9" t="s">
        <v>392</v>
      </c>
      <c r="P85" s="9"/>
      <c r="Q85" s="65" t="s">
        <v>212</v>
      </c>
      <c r="R85" s="65" t="s">
        <v>1083</v>
      </c>
      <c r="S85" s="65" t="s">
        <v>1084</v>
      </c>
      <c r="T85" s="8"/>
      <c r="U85" s="8"/>
      <c r="V85" s="8"/>
      <c r="W85" s="8"/>
      <c r="X85" s="8"/>
      <c r="Y85" s="8"/>
    </row>
    <row r="86" spans="1:25" x14ac:dyDescent="0.2">
      <c r="A86" s="8"/>
      <c r="B86" s="8"/>
      <c r="C86" s="8"/>
      <c r="D86" s="8"/>
      <c r="E86" s="8"/>
      <c r="F86" s="8"/>
      <c r="G86" s="8"/>
      <c r="H86" s="8"/>
      <c r="I86" s="8"/>
      <c r="J86" s="8"/>
      <c r="K86" s="8"/>
      <c r="L86" s="8"/>
      <c r="M86" s="8"/>
      <c r="N86" s="9" t="s">
        <v>225</v>
      </c>
      <c r="O86" s="9" t="s">
        <v>394</v>
      </c>
      <c r="P86" s="9"/>
      <c r="Q86" s="65" t="s">
        <v>212</v>
      </c>
      <c r="R86" s="65" t="s">
        <v>1081</v>
      </c>
      <c r="S86" s="65" t="s">
        <v>1082</v>
      </c>
      <c r="T86" s="8"/>
      <c r="U86" s="8"/>
      <c r="V86" s="8"/>
      <c r="W86" s="8"/>
      <c r="X86" s="8"/>
      <c r="Y86" s="8"/>
    </row>
    <row r="87" spans="1:25" x14ac:dyDescent="0.2">
      <c r="A87" s="8"/>
      <c r="B87" s="8"/>
      <c r="C87" s="8"/>
      <c r="D87" s="8"/>
      <c r="E87" s="8"/>
      <c r="F87" s="8"/>
      <c r="G87" s="8"/>
      <c r="H87" s="8"/>
      <c r="I87" s="8"/>
      <c r="J87" s="8"/>
      <c r="K87" s="8"/>
      <c r="L87" s="8"/>
      <c r="M87" s="8"/>
      <c r="N87" s="9" t="s">
        <v>228</v>
      </c>
      <c r="O87" s="9" t="s">
        <v>396</v>
      </c>
      <c r="P87" s="9"/>
      <c r="Q87" s="65" t="s">
        <v>216</v>
      </c>
      <c r="R87" s="65" t="s">
        <v>217</v>
      </c>
      <c r="S87" s="65" t="s">
        <v>1315</v>
      </c>
      <c r="T87" s="8"/>
      <c r="U87" s="8"/>
      <c r="V87" s="8"/>
      <c r="W87" s="8"/>
      <c r="X87" s="8"/>
      <c r="Y87" s="8"/>
    </row>
    <row r="88" spans="1:25" x14ac:dyDescent="0.2">
      <c r="A88" s="8"/>
      <c r="B88" s="8"/>
      <c r="C88" s="8"/>
      <c r="D88" s="8"/>
      <c r="E88" s="8"/>
      <c r="F88" s="8"/>
      <c r="G88" s="8"/>
      <c r="H88" s="8"/>
      <c r="I88" s="8"/>
      <c r="J88" s="8"/>
      <c r="K88" s="8"/>
      <c r="L88" s="8"/>
      <c r="M88" s="8"/>
      <c r="N88" s="9" t="s">
        <v>241</v>
      </c>
      <c r="O88" s="9" t="s">
        <v>412</v>
      </c>
      <c r="P88" s="9"/>
      <c r="Q88" s="65" t="s">
        <v>216</v>
      </c>
      <c r="R88" s="65" t="s">
        <v>1090</v>
      </c>
      <c r="S88" s="65" t="s">
        <v>443</v>
      </c>
      <c r="T88" s="8"/>
      <c r="U88" s="8"/>
      <c r="V88" s="8"/>
      <c r="W88" s="8"/>
      <c r="X88" s="8"/>
      <c r="Y88" s="8"/>
    </row>
    <row r="89" spans="1:25" x14ac:dyDescent="0.2">
      <c r="A89" s="8"/>
      <c r="B89" s="8"/>
      <c r="C89" s="8"/>
      <c r="D89" s="8"/>
      <c r="E89" s="8"/>
      <c r="F89" s="8"/>
      <c r="G89" s="8"/>
      <c r="H89" s="8"/>
      <c r="I89" s="8"/>
      <c r="J89" s="8"/>
      <c r="K89" s="8"/>
      <c r="L89" s="8"/>
      <c r="M89" s="8"/>
      <c r="N89" s="9" t="s">
        <v>243</v>
      </c>
      <c r="O89" s="9" t="s">
        <v>414</v>
      </c>
      <c r="P89" s="9"/>
      <c r="Q89" s="65" t="s">
        <v>216</v>
      </c>
      <c r="R89" s="65" t="s">
        <v>1086</v>
      </c>
      <c r="S89" s="65" t="s">
        <v>1052</v>
      </c>
      <c r="T89" s="8"/>
      <c r="U89" s="8"/>
      <c r="V89" s="8"/>
      <c r="W89" s="8"/>
      <c r="X89" s="8"/>
      <c r="Y89" s="8"/>
    </row>
    <row r="90" spans="1:25" x14ac:dyDescent="0.2">
      <c r="A90" s="8"/>
      <c r="B90" s="8"/>
      <c r="C90" s="8"/>
      <c r="D90" s="8"/>
      <c r="E90" s="8"/>
      <c r="F90" s="8"/>
      <c r="G90" s="8"/>
      <c r="H90" s="8"/>
      <c r="I90" s="8"/>
      <c r="J90" s="8"/>
      <c r="K90" s="8"/>
      <c r="L90" s="8"/>
      <c r="M90" s="8"/>
      <c r="N90" s="9" t="s">
        <v>246</v>
      </c>
      <c r="O90" s="9" t="s">
        <v>416</v>
      </c>
      <c r="P90" s="9"/>
      <c r="Q90" s="65" t="s">
        <v>216</v>
      </c>
      <c r="R90" s="65" t="s">
        <v>1342</v>
      </c>
      <c r="S90" s="65" t="s">
        <v>1343</v>
      </c>
      <c r="T90" s="8"/>
      <c r="U90" s="8"/>
      <c r="V90" s="8"/>
      <c r="W90" s="8"/>
      <c r="X90" s="8"/>
      <c r="Y90" s="8"/>
    </row>
    <row r="91" spans="1:25" x14ac:dyDescent="0.2">
      <c r="A91" s="8"/>
      <c r="B91" s="8"/>
      <c r="C91" s="8"/>
      <c r="D91" s="8"/>
      <c r="E91" s="8"/>
      <c r="F91" s="8"/>
      <c r="G91" s="8"/>
      <c r="H91" s="8"/>
      <c r="I91" s="8"/>
      <c r="J91" s="8"/>
      <c r="K91" s="8"/>
      <c r="L91" s="8"/>
      <c r="M91" s="8"/>
      <c r="N91" s="9" t="s">
        <v>248</v>
      </c>
      <c r="O91" s="9" t="s">
        <v>420</v>
      </c>
      <c r="P91" s="9"/>
      <c r="Q91" s="65" t="s">
        <v>216</v>
      </c>
      <c r="R91" s="65" t="s">
        <v>1088</v>
      </c>
      <c r="S91" s="65" t="s">
        <v>1089</v>
      </c>
      <c r="T91" s="8"/>
      <c r="U91" s="8"/>
      <c r="V91" s="8"/>
      <c r="W91" s="8"/>
      <c r="X91" s="8"/>
      <c r="Y91" s="8"/>
    </row>
    <row r="92" spans="1:25" x14ac:dyDescent="0.2">
      <c r="A92" s="8"/>
      <c r="B92" s="8"/>
      <c r="C92" s="8"/>
      <c r="D92" s="8"/>
      <c r="E92" s="8"/>
      <c r="F92" s="8"/>
      <c r="G92" s="8"/>
      <c r="H92" s="8"/>
      <c r="I92" s="8"/>
      <c r="J92" s="8"/>
      <c r="K92" s="8"/>
      <c r="L92" s="8"/>
      <c r="M92" s="8"/>
      <c r="N92" s="9" t="s">
        <v>250</v>
      </c>
      <c r="O92" s="9" t="s">
        <v>421</v>
      </c>
      <c r="P92" s="9"/>
      <c r="Q92" s="65" t="s">
        <v>216</v>
      </c>
      <c r="R92" s="65" t="s">
        <v>1087</v>
      </c>
      <c r="S92" s="65" t="s">
        <v>221</v>
      </c>
      <c r="T92" s="8"/>
      <c r="U92" s="8"/>
      <c r="V92" s="8"/>
      <c r="W92" s="8"/>
      <c r="X92" s="8"/>
      <c r="Y92" s="8"/>
    </row>
    <row r="93" spans="1:25" x14ac:dyDescent="0.2">
      <c r="A93" s="8"/>
      <c r="B93" s="8"/>
      <c r="C93" s="8"/>
      <c r="D93" s="8"/>
      <c r="E93" s="8"/>
      <c r="F93" s="8"/>
      <c r="G93" s="8"/>
      <c r="H93" s="8"/>
      <c r="I93" s="8"/>
      <c r="J93" s="8"/>
      <c r="K93" s="8"/>
      <c r="L93" s="8"/>
      <c r="M93" s="8"/>
      <c r="N93" s="9" t="s">
        <v>252</v>
      </c>
      <c r="O93" s="9" t="s">
        <v>423</v>
      </c>
      <c r="P93" s="9"/>
      <c r="Q93" s="65" t="s">
        <v>216</v>
      </c>
      <c r="R93" s="65" t="s">
        <v>1344</v>
      </c>
      <c r="S93" s="65" t="s">
        <v>1343</v>
      </c>
      <c r="T93" s="8"/>
      <c r="U93" s="8"/>
      <c r="V93" s="8"/>
      <c r="W93" s="8"/>
      <c r="X93" s="8"/>
      <c r="Y93" s="8"/>
    </row>
    <row r="94" spans="1:25" x14ac:dyDescent="0.2">
      <c r="A94" s="8"/>
      <c r="B94" s="8"/>
      <c r="C94" s="8"/>
      <c r="D94" s="8"/>
      <c r="E94" s="8"/>
      <c r="F94" s="8"/>
      <c r="G94" s="8"/>
      <c r="H94" s="8"/>
      <c r="I94" s="8"/>
      <c r="J94" s="8"/>
      <c r="K94" s="8"/>
      <c r="L94" s="8"/>
      <c r="M94" s="8"/>
      <c r="N94" s="9" t="s">
        <v>255</v>
      </c>
      <c r="O94" s="9" t="s">
        <v>429</v>
      </c>
      <c r="P94" s="9"/>
      <c r="Q94" s="65" t="s">
        <v>1345</v>
      </c>
      <c r="R94" s="65" t="s">
        <v>1344</v>
      </c>
      <c r="S94" s="65" t="s">
        <v>1343</v>
      </c>
      <c r="T94" s="8"/>
      <c r="U94" s="8"/>
      <c r="V94" s="8"/>
      <c r="W94" s="8"/>
      <c r="X94" s="8"/>
      <c r="Y94" s="8"/>
    </row>
    <row r="95" spans="1:25" x14ac:dyDescent="0.2">
      <c r="A95" s="8"/>
      <c r="B95" s="8"/>
      <c r="C95" s="8"/>
      <c r="D95" s="8"/>
      <c r="E95" s="8"/>
      <c r="F95" s="8"/>
      <c r="G95" s="8"/>
      <c r="H95" s="8"/>
      <c r="I95" s="8"/>
      <c r="J95" s="8"/>
      <c r="K95" s="8"/>
      <c r="L95" s="8"/>
      <c r="M95" s="8"/>
      <c r="N95" s="9" t="s">
        <v>257</v>
      </c>
      <c r="O95" s="9" t="s">
        <v>433</v>
      </c>
      <c r="P95" s="9"/>
      <c r="Q95" s="65" t="s">
        <v>486</v>
      </c>
      <c r="R95" s="65" t="s">
        <v>1344</v>
      </c>
      <c r="S95" s="65" t="s">
        <v>1343</v>
      </c>
      <c r="T95" s="8"/>
      <c r="U95" s="8"/>
      <c r="V95" s="8"/>
      <c r="W95" s="8"/>
      <c r="X95" s="8"/>
      <c r="Y95" s="8"/>
    </row>
    <row r="96" spans="1:25" x14ac:dyDescent="0.2">
      <c r="A96" s="8"/>
      <c r="B96" s="8"/>
      <c r="C96" s="8"/>
      <c r="D96" s="8"/>
      <c r="E96" s="8"/>
      <c r="F96" s="8"/>
      <c r="G96" s="8"/>
      <c r="H96" s="8"/>
      <c r="I96" s="8"/>
      <c r="J96" s="8"/>
      <c r="K96" s="8"/>
      <c r="L96" s="8"/>
      <c r="M96" s="8"/>
      <c r="N96" s="9" t="s">
        <v>259</v>
      </c>
      <c r="O96" s="9" t="s">
        <v>435</v>
      </c>
      <c r="P96" s="9"/>
      <c r="Q96" s="65" t="s">
        <v>223</v>
      </c>
      <c r="R96" s="65" t="s">
        <v>1091</v>
      </c>
      <c r="S96" s="65" t="s">
        <v>1092</v>
      </c>
      <c r="T96" s="8"/>
      <c r="U96" s="8"/>
      <c r="V96" s="8"/>
      <c r="W96" s="8"/>
      <c r="X96" s="8"/>
      <c r="Y96" s="8"/>
    </row>
    <row r="97" spans="1:25" x14ac:dyDescent="0.2">
      <c r="A97" s="8"/>
      <c r="B97" s="8"/>
      <c r="C97" s="8"/>
      <c r="D97" s="8"/>
      <c r="E97" s="8"/>
      <c r="F97" s="8"/>
      <c r="G97" s="8"/>
      <c r="H97" s="8"/>
      <c r="I97" s="8"/>
      <c r="J97" s="8"/>
      <c r="K97" s="8"/>
      <c r="L97" s="8"/>
      <c r="M97" s="8"/>
      <c r="N97" s="9" t="s">
        <v>262</v>
      </c>
      <c r="O97" s="9" t="s">
        <v>437</v>
      </c>
      <c r="P97" s="9"/>
      <c r="Q97" s="65" t="s">
        <v>223</v>
      </c>
      <c r="R97" s="65" t="s">
        <v>1093</v>
      </c>
      <c r="S97" s="65" t="s">
        <v>1094</v>
      </c>
      <c r="T97" s="8"/>
      <c r="U97" s="8"/>
      <c r="V97" s="8"/>
      <c r="W97" s="8"/>
      <c r="X97" s="8"/>
      <c r="Y97" s="8"/>
    </row>
    <row r="98" spans="1:25" x14ac:dyDescent="0.2">
      <c r="A98" s="8"/>
      <c r="B98" s="8"/>
      <c r="C98" s="8"/>
      <c r="D98" s="8"/>
      <c r="E98" s="8"/>
      <c r="F98" s="8"/>
      <c r="G98" s="8"/>
      <c r="H98" s="8"/>
      <c r="I98" s="8"/>
      <c r="J98" s="8"/>
      <c r="K98" s="8"/>
      <c r="L98" s="8"/>
      <c r="M98" s="8"/>
      <c r="N98" s="9" t="s">
        <v>264</v>
      </c>
      <c r="O98" s="9" t="s">
        <v>439</v>
      </c>
      <c r="P98" s="9"/>
      <c r="Q98" s="65" t="s">
        <v>226</v>
      </c>
      <c r="R98" s="65" t="s">
        <v>227</v>
      </c>
      <c r="S98" s="65" t="s">
        <v>1315</v>
      </c>
      <c r="T98" s="8"/>
      <c r="U98" s="8"/>
      <c r="V98" s="8"/>
      <c r="W98" s="8"/>
      <c r="X98" s="8"/>
      <c r="Y98" s="8"/>
    </row>
    <row r="99" spans="1:25" x14ac:dyDescent="0.2">
      <c r="A99" s="8"/>
      <c r="B99" s="8"/>
      <c r="C99" s="8"/>
      <c r="D99" s="8"/>
      <c r="E99" s="8"/>
      <c r="F99" s="8"/>
      <c r="G99" s="8"/>
      <c r="H99" s="8"/>
      <c r="I99" s="8"/>
      <c r="J99" s="8"/>
      <c r="K99" s="8"/>
      <c r="L99" s="8"/>
      <c r="M99" s="8"/>
      <c r="N99" s="9" t="s">
        <v>265</v>
      </c>
      <c r="O99" s="9" t="s">
        <v>444</v>
      </c>
      <c r="P99" s="9"/>
      <c r="Q99" s="65" t="s">
        <v>226</v>
      </c>
      <c r="R99" s="65" t="s">
        <v>229</v>
      </c>
      <c r="S99" s="65" t="s">
        <v>1062</v>
      </c>
      <c r="T99" s="8"/>
      <c r="U99" s="8"/>
      <c r="V99" s="8"/>
      <c r="W99" s="8"/>
      <c r="X99" s="8"/>
      <c r="Y99" s="8"/>
    </row>
    <row r="100" spans="1:25" x14ac:dyDescent="0.2">
      <c r="A100" s="8"/>
      <c r="B100" s="8"/>
      <c r="C100" s="8"/>
      <c r="D100" s="8"/>
      <c r="E100" s="8"/>
      <c r="F100" s="8"/>
      <c r="G100" s="8"/>
      <c r="H100" s="8"/>
      <c r="I100" s="8"/>
      <c r="J100" s="8"/>
      <c r="K100" s="8"/>
      <c r="L100" s="8"/>
      <c r="M100" s="8"/>
      <c r="N100" s="9" t="s">
        <v>1462</v>
      </c>
      <c r="O100" s="9" t="s">
        <v>1463</v>
      </c>
      <c r="P100" s="9"/>
      <c r="Q100" s="65" t="s">
        <v>226</v>
      </c>
      <c r="R100" s="65" t="s">
        <v>1102</v>
      </c>
      <c r="S100" s="65" t="s">
        <v>1103</v>
      </c>
      <c r="T100" s="8"/>
      <c r="U100" s="8"/>
      <c r="V100" s="8"/>
      <c r="W100" s="8"/>
      <c r="X100" s="8"/>
      <c r="Y100" s="8"/>
    </row>
    <row r="101" spans="1:25" x14ac:dyDescent="0.2">
      <c r="A101" s="8"/>
      <c r="B101" s="8"/>
      <c r="C101" s="8"/>
      <c r="D101" s="8"/>
      <c r="E101" s="8"/>
      <c r="F101" s="8"/>
      <c r="G101" s="8"/>
      <c r="H101" s="8"/>
      <c r="I101" s="8"/>
      <c r="J101" s="8"/>
      <c r="K101" s="8"/>
      <c r="L101" s="8"/>
      <c r="M101" s="8"/>
      <c r="N101" s="9" t="s">
        <v>266</v>
      </c>
      <c r="O101" s="9" t="s">
        <v>446</v>
      </c>
      <c r="P101" s="9"/>
      <c r="Q101" s="65" t="s">
        <v>226</v>
      </c>
      <c r="R101" s="65" t="s">
        <v>1098</v>
      </c>
      <c r="S101" s="65" t="s">
        <v>1099</v>
      </c>
      <c r="T101" s="8"/>
      <c r="U101" s="8"/>
      <c r="V101" s="8"/>
      <c r="W101" s="8"/>
      <c r="X101" s="8"/>
      <c r="Y101" s="8"/>
    </row>
    <row r="102" spans="1:25" x14ac:dyDescent="0.2">
      <c r="A102" s="8"/>
      <c r="B102" s="8"/>
      <c r="C102" s="8"/>
      <c r="D102" s="8"/>
      <c r="E102" s="8"/>
      <c r="F102" s="8"/>
      <c r="G102" s="8"/>
      <c r="H102" s="8"/>
      <c r="I102" s="8"/>
      <c r="J102" s="8"/>
      <c r="K102" s="8"/>
      <c r="L102" s="8"/>
      <c r="M102" s="8"/>
      <c r="N102" s="9" t="s">
        <v>270</v>
      </c>
      <c r="O102" s="9" t="s">
        <v>449</v>
      </c>
      <c r="P102" s="9"/>
      <c r="Q102" s="65" t="s">
        <v>226</v>
      </c>
      <c r="R102" s="65" t="s">
        <v>1100</v>
      </c>
      <c r="S102" s="65" t="s">
        <v>1101</v>
      </c>
      <c r="T102" s="8"/>
      <c r="U102" s="8"/>
      <c r="V102" s="8"/>
      <c r="W102" s="8"/>
      <c r="X102" s="8"/>
      <c r="Y102" s="8"/>
    </row>
    <row r="103" spans="1:25" x14ac:dyDescent="0.2">
      <c r="A103" s="8"/>
      <c r="B103" s="8"/>
      <c r="C103" s="8"/>
      <c r="D103" s="8"/>
      <c r="E103" s="8"/>
      <c r="F103" s="8"/>
      <c r="G103" s="8"/>
      <c r="H103" s="8"/>
      <c r="I103" s="8"/>
      <c r="J103" s="8"/>
      <c r="K103" s="8"/>
      <c r="L103" s="8"/>
      <c r="M103" s="8"/>
      <c r="N103" s="9" t="s">
        <v>274</v>
      </c>
      <c r="O103" s="9" t="s">
        <v>456</v>
      </c>
      <c r="P103" s="9"/>
      <c r="Q103" s="65" t="s">
        <v>226</v>
      </c>
      <c r="R103" s="65" t="s">
        <v>1095</v>
      </c>
      <c r="S103" s="65" t="s">
        <v>1096</v>
      </c>
      <c r="T103" s="8"/>
      <c r="U103" s="8"/>
      <c r="V103" s="8"/>
      <c r="W103" s="8"/>
      <c r="X103" s="8"/>
      <c r="Y103" s="8"/>
    </row>
    <row r="104" spans="1:25" x14ac:dyDescent="0.2">
      <c r="A104" s="8"/>
      <c r="B104" s="8"/>
      <c r="C104" s="8"/>
      <c r="D104" s="8"/>
      <c r="E104" s="8"/>
      <c r="F104" s="8"/>
      <c r="G104" s="8"/>
      <c r="H104" s="8"/>
      <c r="I104" s="8"/>
      <c r="J104" s="8"/>
      <c r="K104" s="8"/>
      <c r="L104" s="8"/>
      <c r="M104" s="8"/>
      <c r="N104" s="9" t="s">
        <v>1464</v>
      </c>
      <c r="O104" s="9" t="s">
        <v>458</v>
      </c>
      <c r="P104" s="9"/>
      <c r="Q104" s="65" t="s">
        <v>226</v>
      </c>
      <c r="R104" s="65" t="s">
        <v>1097</v>
      </c>
      <c r="S104" s="65" t="s">
        <v>1052</v>
      </c>
      <c r="T104" s="8"/>
      <c r="U104" s="8"/>
      <c r="V104" s="8"/>
      <c r="W104" s="8"/>
      <c r="X104" s="8"/>
      <c r="Y104" s="8"/>
    </row>
    <row r="105" spans="1:25" x14ac:dyDescent="0.2">
      <c r="A105" s="8"/>
      <c r="B105" s="8"/>
      <c r="C105" s="8"/>
      <c r="D105" s="8"/>
      <c r="E105" s="8"/>
      <c r="F105" s="8"/>
      <c r="G105" s="8"/>
      <c r="H105" s="8"/>
      <c r="I105" s="8"/>
      <c r="J105" s="8"/>
      <c r="K105" s="8"/>
      <c r="L105" s="8"/>
      <c r="M105" s="8"/>
      <c r="N105" s="9" t="s">
        <v>278</v>
      </c>
      <c r="O105" s="9" t="s">
        <v>460</v>
      </c>
      <c r="P105" s="9"/>
      <c r="Q105" s="65" t="s">
        <v>230</v>
      </c>
      <c r="R105" s="65" t="s">
        <v>1104</v>
      </c>
      <c r="S105" s="65" t="s">
        <v>443</v>
      </c>
      <c r="T105" s="8"/>
      <c r="U105" s="8"/>
      <c r="V105" s="8"/>
      <c r="W105" s="8"/>
      <c r="X105" s="8"/>
      <c r="Y105" s="8"/>
    </row>
    <row r="106" spans="1:25" x14ac:dyDescent="0.2">
      <c r="A106" s="8"/>
      <c r="B106" s="8"/>
      <c r="C106" s="8"/>
      <c r="D106" s="8"/>
      <c r="E106" s="8"/>
      <c r="F106" s="8"/>
      <c r="G106" s="8"/>
      <c r="H106" s="8"/>
      <c r="I106" s="8"/>
      <c r="J106" s="8"/>
      <c r="K106" s="8"/>
      <c r="L106" s="8"/>
      <c r="M106" s="8"/>
      <c r="N106" s="9" t="s">
        <v>280</v>
      </c>
      <c r="O106" s="9" t="s">
        <v>461</v>
      </c>
      <c r="P106" s="9"/>
      <c r="Q106" s="65" t="s">
        <v>231</v>
      </c>
      <c r="R106" s="65" t="s">
        <v>232</v>
      </c>
      <c r="S106" s="65" t="s">
        <v>1315</v>
      </c>
      <c r="T106" s="8"/>
      <c r="U106" s="8"/>
      <c r="V106" s="8"/>
      <c r="W106" s="8"/>
      <c r="X106" s="8"/>
      <c r="Y106" s="8"/>
    </row>
    <row r="107" spans="1:25" x14ac:dyDescent="0.2">
      <c r="A107" s="8"/>
      <c r="B107" s="8"/>
      <c r="C107" s="8"/>
      <c r="D107" s="8"/>
      <c r="E107" s="8"/>
      <c r="F107" s="8"/>
      <c r="G107" s="8"/>
      <c r="H107" s="8"/>
      <c r="I107" s="8"/>
      <c r="J107" s="8"/>
      <c r="K107" s="8"/>
      <c r="L107" s="8"/>
      <c r="M107" s="8"/>
      <c r="N107" s="9" t="s">
        <v>297</v>
      </c>
      <c r="O107" s="9" t="s">
        <v>1425</v>
      </c>
      <c r="P107" s="9"/>
      <c r="Q107" s="65" t="s">
        <v>233</v>
      </c>
      <c r="R107" s="65" t="s">
        <v>234</v>
      </c>
      <c r="S107" s="65" t="s">
        <v>1346</v>
      </c>
      <c r="T107" s="8"/>
      <c r="U107" s="8"/>
      <c r="V107" s="8"/>
      <c r="W107" s="8"/>
      <c r="X107" s="8"/>
      <c r="Y107" s="8"/>
    </row>
    <row r="108" spans="1:25" x14ac:dyDescent="0.2">
      <c r="A108" s="8"/>
      <c r="B108" s="8"/>
      <c r="C108" s="8"/>
      <c r="D108" s="8"/>
      <c r="E108" s="8"/>
      <c r="F108" s="8"/>
      <c r="G108" s="8"/>
      <c r="H108" s="8"/>
      <c r="I108" s="8"/>
      <c r="J108" s="8"/>
      <c r="K108" s="8"/>
      <c r="L108" s="8"/>
      <c r="M108" s="8"/>
      <c r="N108" s="9" t="s">
        <v>1465</v>
      </c>
      <c r="O108" s="9" t="s">
        <v>1466</v>
      </c>
      <c r="P108" s="9"/>
      <c r="Q108" s="65" t="s">
        <v>235</v>
      </c>
      <c r="R108" s="65" t="s">
        <v>1108</v>
      </c>
      <c r="S108" s="65" t="s">
        <v>1109</v>
      </c>
      <c r="T108" s="8"/>
      <c r="U108" s="8"/>
      <c r="V108" s="8"/>
      <c r="W108" s="8"/>
      <c r="X108" s="8"/>
      <c r="Y108" s="8"/>
    </row>
    <row r="109" spans="1:25" x14ac:dyDescent="0.2">
      <c r="A109" s="8"/>
      <c r="B109" s="8"/>
      <c r="C109" s="8"/>
      <c r="D109" s="8"/>
      <c r="E109" s="8"/>
      <c r="F109" s="8"/>
      <c r="G109" s="8"/>
      <c r="H109" s="8"/>
      <c r="I109" s="8"/>
      <c r="J109" s="8"/>
      <c r="K109" s="8"/>
      <c r="L109" s="8"/>
      <c r="M109" s="8"/>
      <c r="N109" s="9" t="s">
        <v>281</v>
      </c>
      <c r="O109" s="9" t="s">
        <v>465</v>
      </c>
      <c r="P109" s="9"/>
      <c r="Q109" s="65" t="s">
        <v>235</v>
      </c>
      <c r="R109" s="65" t="s">
        <v>236</v>
      </c>
      <c r="S109" s="65" t="s">
        <v>1105</v>
      </c>
      <c r="T109" s="8"/>
      <c r="U109" s="8"/>
      <c r="V109" s="8"/>
      <c r="W109" s="8"/>
      <c r="X109" s="8"/>
      <c r="Y109" s="8"/>
    </row>
    <row r="110" spans="1:25" x14ac:dyDescent="0.2">
      <c r="A110" s="8"/>
      <c r="B110" s="8"/>
      <c r="C110" s="8"/>
      <c r="D110" s="8"/>
      <c r="E110" s="8"/>
      <c r="F110" s="8"/>
      <c r="G110" s="8"/>
      <c r="H110" s="8"/>
      <c r="I110" s="8"/>
      <c r="J110" s="8"/>
      <c r="K110" s="8"/>
      <c r="L110" s="8"/>
      <c r="M110" s="8"/>
      <c r="N110" s="9" t="s">
        <v>283</v>
      </c>
      <c r="O110" s="9" t="s">
        <v>1385</v>
      </c>
      <c r="P110" s="9"/>
      <c r="Q110" s="65" t="s">
        <v>235</v>
      </c>
      <c r="R110" s="65" t="s">
        <v>237</v>
      </c>
      <c r="S110" s="65" t="s">
        <v>1110</v>
      </c>
      <c r="T110" s="8"/>
      <c r="U110" s="8"/>
      <c r="V110" s="8"/>
      <c r="W110" s="8"/>
      <c r="X110" s="8"/>
      <c r="Y110" s="8"/>
    </row>
    <row r="111" spans="1:25" x14ac:dyDescent="0.2">
      <c r="A111" s="8"/>
      <c r="B111" s="8"/>
      <c r="C111" s="8"/>
      <c r="D111" s="8"/>
      <c r="E111" s="8"/>
      <c r="F111" s="8"/>
      <c r="G111" s="8"/>
      <c r="H111" s="8"/>
      <c r="I111" s="8"/>
      <c r="J111" s="8"/>
      <c r="K111" s="8"/>
      <c r="L111" s="8"/>
      <c r="M111" s="8"/>
      <c r="N111" s="9" t="s">
        <v>288</v>
      </c>
      <c r="O111" s="9" t="s">
        <v>470</v>
      </c>
      <c r="P111" s="9"/>
      <c r="Q111" s="65" t="s">
        <v>235</v>
      </c>
      <c r="R111" s="65" t="s">
        <v>1106</v>
      </c>
      <c r="S111" s="65" t="s">
        <v>1107</v>
      </c>
      <c r="T111" s="8"/>
      <c r="U111" s="8"/>
      <c r="V111" s="8"/>
      <c r="W111" s="8"/>
      <c r="X111" s="8"/>
      <c r="Y111" s="8"/>
    </row>
    <row r="112" spans="1:25" x14ac:dyDescent="0.2">
      <c r="A112" s="8"/>
      <c r="B112" s="8"/>
      <c r="C112" s="8"/>
      <c r="D112" s="8"/>
      <c r="E112" s="8"/>
      <c r="F112" s="8"/>
      <c r="G112" s="8"/>
      <c r="H112" s="8"/>
      <c r="I112" s="8"/>
      <c r="J112" s="8"/>
      <c r="K112" s="8"/>
      <c r="L112" s="8"/>
      <c r="M112" s="8"/>
      <c r="N112" s="9" t="s">
        <v>1467</v>
      </c>
      <c r="O112" s="9" t="s">
        <v>1345</v>
      </c>
      <c r="P112" s="9"/>
      <c r="Q112" s="65" t="s">
        <v>235</v>
      </c>
      <c r="R112" s="65" t="s">
        <v>238</v>
      </c>
      <c r="S112" s="65" t="s">
        <v>1347</v>
      </c>
      <c r="T112" s="8"/>
      <c r="U112" s="8"/>
      <c r="V112" s="8"/>
      <c r="W112" s="8"/>
      <c r="X112" s="8"/>
      <c r="Y112" s="8"/>
    </row>
    <row r="113" spans="1:25" x14ac:dyDescent="0.2">
      <c r="A113" s="8"/>
      <c r="B113" s="8"/>
      <c r="C113" s="8"/>
      <c r="D113" s="8"/>
      <c r="E113" s="8"/>
      <c r="F113" s="8"/>
      <c r="G113" s="8"/>
      <c r="H113" s="8"/>
      <c r="I113" s="8"/>
      <c r="J113" s="8"/>
      <c r="K113" s="8"/>
      <c r="L113" s="8"/>
      <c r="M113" s="8"/>
      <c r="N113" s="9" t="s">
        <v>290</v>
      </c>
      <c r="O113" s="9" t="s">
        <v>473</v>
      </c>
      <c r="P113" s="9"/>
      <c r="Q113" s="65" t="s">
        <v>239</v>
      </c>
      <c r="R113" s="65" t="s">
        <v>1112</v>
      </c>
      <c r="S113" s="65" t="s">
        <v>443</v>
      </c>
      <c r="T113" s="8"/>
      <c r="U113" s="8"/>
      <c r="V113" s="8"/>
      <c r="W113" s="8"/>
      <c r="X113" s="8"/>
      <c r="Y113" s="8"/>
    </row>
    <row r="114" spans="1:25" x14ac:dyDescent="0.2">
      <c r="A114" s="8"/>
      <c r="B114" s="8"/>
      <c r="C114" s="8"/>
      <c r="D114" s="8"/>
      <c r="E114" s="8"/>
      <c r="F114" s="8"/>
      <c r="G114" s="8"/>
      <c r="H114" s="8"/>
      <c r="I114" s="8"/>
      <c r="J114" s="8"/>
      <c r="K114" s="8"/>
      <c r="L114" s="8"/>
      <c r="M114" s="8"/>
      <c r="N114" s="9" t="s">
        <v>292</v>
      </c>
      <c r="O114" s="9" t="s">
        <v>475</v>
      </c>
      <c r="P114" s="9"/>
      <c r="Q114" s="65" t="s">
        <v>239</v>
      </c>
      <c r="R114" s="65" t="s">
        <v>240</v>
      </c>
      <c r="S114" s="65" t="s">
        <v>1062</v>
      </c>
      <c r="T114" s="8"/>
      <c r="U114" s="8"/>
      <c r="V114" s="8"/>
      <c r="W114" s="8"/>
      <c r="X114" s="8"/>
      <c r="Y114" s="8"/>
    </row>
    <row r="115" spans="1:25" x14ac:dyDescent="0.2">
      <c r="A115" s="8"/>
      <c r="B115" s="8"/>
      <c r="C115" s="8"/>
      <c r="D115" s="8"/>
      <c r="E115" s="8"/>
      <c r="F115" s="8"/>
      <c r="G115" s="8"/>
      <c r="H115" s="8"/>
      <c r="I115" s="8"/>
      <c r="J115" s="8"/>
      <c r="K115" s="8"/>
      <c r="L115" s="8"/>
      <c r="M115" s="8"/>
      <c r="N115" s="9" t="s">
        <v>293</v>
      </c>
      <c r="O115" s="9" t="s">
        <v>478</v>
      </c>
      <c r="P115" s="9"/>
      <c r="Q115" s="65" t="s">
        <v>239</v>
      </c>
      <c r="R115" s="65" t="s">
        <v>1348</v>
      </c>
      <c r="S115" s="65" t="s">
        <v>443</v>
      </c>
      <c r="T115" s="8"/>
      <c r="U115" s="8"/>
      <c r="V115" s="8"/>
      <c r="W115" s="8"/>
      <c r="X115" s="8"/>
      <c r="Y115" s="8"/>
    </row>
    <row r="116" spans="1:25" x14ac:dyDescent="0.2">
      <c r="A116" s="8"/>
      <c r="B116" s="8"/>
      <c r="C116" s="8"/>
      <c r="D116" s="8"/>
      <c r="E116" s="8"/>
      <c r="F116" s="8"/>
      <c r="G116" s="8"/>
      <c r="H116" s="8"/>
      <c r="I116" s="8"/>
      <c r="J116" s="8"/>
      <c r="K116" s="8"/>
      <c r="L116" s="8"/>
      <c r="M116" s="8"/>
      <c r="N116" s="9" t="s">
        <v>296</v>
      </c>
      <c r="O116" s="9" t="s">
        <v>480</v>
      </c>
      <c r="P116" s="9"/>
      <c r="Q116" s="65" t="s">
        <v>239</v>
      </c>
      <c r="R116" s="65" t="s">
        <v>242</v>
      </c>
      <c r="S116" s="65" t="s">
        <v>1111</v>
      </c>
      <c r="T116" s="8"/>
      <c r="U116" s="8"/>
      <c r="V116" s="8"/>
      <c r="W116" s="8"/>
      <c r="X116" s="8"/>
      <c r="Y116" s="8"/>
    </row>
    <row r="117" spans="1:25" x14ac:dyDescent="0.2">
      <c r="A117" s="8"/>
      <c r="B117" s="8"/>
      <c r="C117" s="8"/>
      <c r="D117" s="8"/>
      <c r="E117" s="8"/>
      <c r="F117" s="8"/>
      <c r="G117" s="8"/>
      <c r="H117" s="8"/>
      <c r="I117" s="8"/>
      <c r="J117" s="8"/>
      <c r="K117" s="8"/>
      <c r="L117" s="8"/>
      <c r="M117" s="8"/>
      <c r="N117" s="9" t="s">
        <v>1468</v>
      </c>
      <c r="O117" s="9" t="s">
        <v>481</v>
      </c>
      <c r="P117" s="9"/>
      <c r="Q117" s="65" t="s">
        <v>244</v>
      </c>
      <c r="R117" s="65" t="s">
        <v>245</v>
      </c>
      <c r="S117" s="65" t="s">
        <v>511</v>
      </c>
      <c r="T117" s="8"/>
      <c r="U117" s="8"/>
      <c r="V117" s="8"/>
      <c r="W117" s="8"/>
      <c r="X117" s="8"/>
      <c r="Y117" s="8"/>
    </row>
    <row r="118" spans="1:25" x14ac:dyDescent="0.2">
      <c r="A118" s="8"/>
      <c r="B118" s="8"/>
      <c r="C118" s="8"/>
      <c r="D118" s="8"/>
      <c r="E118" s="8"/>
      <c r="F118" s="8"/>
      <c r="G118" s="8"/>
      <c r="H118" s="8"/>
      <c r="I118" s="8"/>
      <c r="J118" s="8"/>
      <c r="K118" s="8"/>
      <c r="L118" s="8"/>
      <c r="M118" s="8"/>
      <c r="N118" s="9" t="s">
        <v>301</v>
      </c>
      <c r="O118" s="9" t="s">
        <v>482</v>
      </c>
      <c r="P118" s="9"/>
      <c r="Q118" s="65" t="s">
        <v>244</v>
      </c>
      <c r="R118" s="65" t="s">
        <v>247</v>
      </c>
      <c r="S118" s="65" t="s">
        <v>1113</v>
      </c>
      <c r="T118" s="8"/>
      <c r="U118" s="8"/>
      <c r="V118" s="8"/>
      <c r="W118" s="8"/>
      <c r="X118" s="8"/>
      <c r="Y118" s="8"/>
    </row>
    <row r="119" spans="1:25" x14ac:dyDescent="0.2">
      <c r="A119" s="8"/>
      <c r="B119" s="8"/>
      <c r="C119" s="8"/>
      <c r="D119" s="8"/>
      <c r="E119" s="8"/>
      <c r="F119" s="8"/>
      <c r="G119" s="8"/>
      <c r="H119" s="8"/>
      <c r="I119" s="8"/>
      <c r="J119" s="8"/>
      <c r="K119" s="8"/>
      <c r="L119" s="8"/>
      <c r="M119" s="8"/>
      <c r="N119" s="9" t="s">
        <v>1469</v>
      </c>
      <c r="O119" s="9" t="s">
        <v>485</v>
      </c>
      <c r="P119" s="9"/>
      <c r="Q119" s="65" t="s">
        <v>249</v>
      </c>
      <c r="R119" s="65" t="s">
        <v>1349</v>
      </c>
      <c r="S119" s="65" t="s">
        <v>1315</v>
      </c>
      <c r="T119" s="8"/>
      <c r="U119" s="8"/>
      <c r="V119" s="8"/>
      <c r="W119" s="8"/>
      <c r="X119" s="8"/>
      <c r="Y119" s="8"/>
    </row>
    <row r="120" spans="1:25" x14ac:dyDescent="0.2">
      <c r="A120" s="8"/>
      <c r="B120" s="8"/>
      <c r="C120" s="8"/>
      <c r="D120" s="8"/>
      <c r="E120" s="8"/>
      <c r="F120" s="8"/>
      <c r="G120" s="8"/>
      <c r="H120" s="8"/>
      <c r="I120" s="8"/>
      <c r="J120" s="8"/>
      <c r="K120" s="8"/>
      <c r="L120" s="8"/>
      <c r="M120" s="8"/>
      <c r="N120" s="9" t="s">
        <v>302</v>
      </c>
      <c r="O120" s="9" t="s">
        <v>486</v>
      </c>
      <c r="P120" s="9"/>
      <c r="Q120" s="65" t="s">
        <v>249</v>
      </c>
      <c r="R120" s="65" t="s">
        <v>251</v>
      </c>
      <c r="S120" s="65" t="s">
        <v>1114</v>
      </c>
      <c r="T120" s="8"/>
      <c r="U120" s="8"/>
      <c r="V120" s="8"/>
      <c r="W120" s="8"/>
      <c r="X120" s="8"/>
      <c r="Y120" s="8"/>
    </row>
    <row r="121" spans="1:25" x14ac:dyDescent="0.2">
      <c r="A121" s="8"/>
      <c r="B121" s="8"/>
      <c r="C121" s="8"/>
      <c r="D121" s="8"/>
      <c r="E121" s="8"/>
      <c r="F121" s="8"/>
      <c r="G121" s="8"/>
      <c r="H121" s="8"/>
      <c r="I121" s="8"/>
      <c r="J121" s="8"/>
      <c r="K121" s="8"/>
      <c r="L121" s="8"/>
      <c r="M121" s="8"/>
      <c r="N121" s="9" t="s">
        <v>305</v>
      </c>
      <c r="O121" s="9" t="s">
        <v>489</v>
      </c>
      <c r="P121" s="9"/>
      <c r="Q121" s="65" t="s">
        <v>253</v>
      </c>
      <c r="R121" s="65" t="s">
        <v>254</v>
      </c>
      <c r="S121" s="65" t="s">
        <v>1315</v>
      </c>
      <c r="T121" s="8"/>
      <c r="U121" s="8"/>
      <c r="V121" s="8"/>
      <c r="W121" s="8"/>
      <c r="X121" s="8"/>
      <c r="Y121" s="8"/>
    </row>
    <row r="122" spans="1:25" x14ac:dyDescent="0.2">
      <c r="A122" s="8"/>
      <c r="B122" s="8"/>
      <c r="C122" s="8"/>
      <c r="D122" s="8"/>
      <c r="E122" s="8"/>
      <c r="F122" s="8"/>
      <c r="G122" s="8"/>
      <c r="H122" s="8"/>
      <c r="I122" s="8"/>
      <c r="J122" s="8"/>
      <c r="K122" s="8"/>
      <c r="L122" s="8"/>
      <c r="M122" s="8"/>
      <c r="N122" s="9" t="s">
        <v>308</v>
      </c>
      <c r="O122" s="9" t="s">
        <v>490</v>
      </c>
      <c r="P122" s="9"/>
      <c r="Q122" s="65" t="s">
        <v>253</v>
      </c>
      <c r="R122" s="65" t="s">
        <v>256</v>
      </c>
      <c r="S122" s="65" t="s">
        <v>1115</v>
      </c>
      <c r="T122" s="8"/>
      <c r="U122" s="8"/>
      <c r="V122" s="8"/>
      <c r="W122" s="8"/>
      <c r="X122" s="8"/>
      <c r="Y122" s="8"/>
    </row>
    <row r="123" spans="1:25" x14ac:dyDescent="0.2">
      <c r="A123" s="8"/>
      <c r="B123" s="8"/>
      <c r="C123" s="8"/>
      <c r="D123" s="8"/>
      <c r="E123" s="8"/>
      <c r="F123" s="8"/>
      <c r="G123" s="8"/>
      <c r="H123" s="8"/>
      <c r="I123" s="8"/>
      <c r="J123" s="8"/>
      <c r="K123" s="8"/>
      <c r="L123" s="8"/>
      <c r="M123" s="8"/>
      <c r="N123" s="9" t="s">
        <v>310</v>
      </c>
      <c r="O123" s="9" t="s">
        <v>493</v>
      </c>
      <c r="P123" s="9"/>
      <c r="Q123" s="65" t="s">
        <v>258</v>
      </c>
      <c r="R123" s="65" t="s">
        <v>1116</v>
      </c>
      <c r="S123" s="65" t="s">
        <v>1117</v>
      </c>
      <c r="T123" s="8"/>
      <c r="U123" s="8"/>
      <c r="V123" s="8"/>
      <c r="W123" s="8"/>
      <c r="X123" s="8"/>
      <c r="Y123" s="8"/>
    </row>
    <row r="124" spans="1:25" x14ac:dyDescent="0.2">
      <c r="A124" s="8"/>
      <c r="B124" s="8"/>
      <c r="C124" s="8"/>
      <c r="D124" s="8"/>
      <c r="E124" s="8"/>
      <c r="F124" s="8"/>
      <c r="G124" s="8"/>
      <c r="H124" s="8"/>
      <c r="I124" s="8"/>
      <c r="J124" s="8"/>
      <c r="K124" s="8"/>
      <c r="L124" s="8"/>
      <c r="M124" s="8"/>
      <c r="N124" s="9" t="s">
        <v>313</v>
      </c>
      <c r="O124" s="9" t="s">
        <v>494</v>
      </c>
      <c r="P124" s="9"/>
      <c r="Q124" s="65" t="s">
        <v>260</v>
      </c>
      <c r="R124" s="65" t="s">
        <v>261</v>
      </c>
      <c r="S124" s="65" t="s">
        <v>443</v>
      </c>
      <c r="T124" s="8"/>
      <c r="U124" s="8"/>
      <c r="V124" s="8"/>
      <c r="W124" s="8"/>
      <c r="X124" s="8"/>
      <c r="Y124" s="8"/>
    </row>
    <row r="125" spans="1:25" x14ac:dyDescent="0.2">
      <c r="A125" s="8"/>
      <c r="B125" s="8"/>
      <c r="C125" s="8"/>
      <c r="D125" s="8"/>
      <c r="E125" s="8"/>
      <c r="F125" s="8"/>
      <c r="G125" s="8"/>
      <c r="H125" s="8"/>
      <c r="I125" s="8"/>
      <c r="J125" s="8"/>
      <c r="K125" s="8"/>
      <c r="L125" s="8"/>
      <c r="M125" s="8"/>
      <c r="N125" s="9" t="s">
        <v>315</v>
      </c>
      <c r="O125" s="9" t="s">
        <v>495</v>
      </c>
      <c r="P125" s="9"/>
      <c r="Q125" s="65" t="s">
        <v>263</v>
      </c>
      <c r="R125" s="65" t="s">
        <v>1122</v>
      </c>
      <c r="S125" s="65" t="s">
        <v>443</v>
      </c>
      <c r="T125" s="8"/>
      <c r="U125" s="8"/>
      <c r="V125" s="8"/>
      <c r="W125" s="8"/>
      <c r="X125" s="8"/>
      <c r="Y125" s="8"/>
    </row>
    <row r="126" spans="1:25" x14ac:dyDescent="0.2">
      <c r="A126" s="8"/>
      <c r="B126" s="8"/>
      <c r="C126" s="8"/>
      <c r="D126" s="8"/>
      <c r="E126" s="8"/>
      <c r="F126" s="8"/>
      <c r="G126" s="8"/>
      <c r="H126" s="8"/>
      <c r="I126" s="8"/>
      <c r="J126" s="8"/>
      <c r="K126" s="8"/>
      <c r="L126" s="8"/>
      <c r="M126" s="8"/>
      <c r="N126" s="9" t="s">
        <v>317</v>
      </c>
      <c r="O126" s="9" t="s">
        <v>496</v>
      </c>
      <c r="P126" s="9"/>
      <c r="Q126" s="65" t="s">
        <v>263</v>
      </c>
      <c r="R126" s="65" t="s">
        <v>1120</v>
      </c>
      <c r="S126" s="65" t="s">
        <v>1121</v>
      </c>
      <c r="T126" s="8"/>
      <c r="U126" s="8"/>
      <c r="V126" s="8"/>
      <c r="W126" s="8"/>
      <c r="X126" s="8"/>
      <c r="Y126" s="8"/>
    </row>
    <row r="127" spans="1:25" x14ac:dyDescent="0.2">
      <c r="A127" s="8"/>
      <c r="B127" s="8"/>
      <c r="C127" s="8"/>
      <c r="D127" s="8"/>
      <c r="E127" s="8"/>
      <c r="F127" s="8"/>
      <c r="G127" s="8"/>
      <c r="H127" s="8"/>
      <c r="I127" s="8"/>
      <c r="J127" s="8"/>
      <c r="K127" s="8"/>
      <c r="L127" s="8"/>
      <c r="M127" s="8"/>
      <c r="N127" s="9" t="s">
        <v>319</v>
      </c>
      <c r="O127" s="9" t="s">
        <v>498</v>
      </c>
      <c r="P127" s="9"/>
      <c r="Q127" s="65" t="s">
        <v>263</v>
      </c>
      <c r="R127" s="65" t="s">
        <v>1350</v>
      </c>
      <c r="S127" s="65" t="s">
        <v>1351</v>
      </c>
      <c r="T127" s="8"/>
      <c r="U127" s="8"/>
      <c r="V127" s="8"/>
      <c r="W127" s="8"/>
      <c r="X127" s="8"/>
      <c r="Y127" s="8"/>
    </row>
    <row r="128" spans="1:25" x14ac:dyDescent="0.2">
      <c r="A128" s="8"/>
      <c r="B128" s="8"/>
      <c r="C128" s="8"/>
      <c r="D128" s="8"/>
      <c r="E128" s="8"/>
      <c r="F128" s="8"/>
      <c r="G128" s="8"/>
      <c r="H128" s="8"/>
      <c r="I128" s="8"/>
      <c r="J128" s="8"/>
      <c r="K128" s="8"/>
      <c r="L128" s="8"/>
      <c r="M128" s="8"/>
      <c r="N128" s="9" t="s">
        <v>321</v>
      </c>
      <c r="O128" s="9" t="s">
        <v>1306</v>
      </c>
      <c r="P128" s="9"/>
      <c r="Q128" s="65" t="s">
        <v>263</v>
      </c>
      <c r="R128" s="65" t="s">
        <v>1118</v>
      </c>
      <c r="S128" s="65" t="s">
        <v>1119</v>
      </c>
      <c r="T128" s="8"/>
      <c r="U128" s="8"/>
      <c r="V128" s="8"/>
      <c r="W128" s="8"/>
      <c r="X128" s="8"/>
      <c r="Y128" s="8"/>
    </row>
    <row r="129" spans="1:25" x14ac:dyDescent="0.2">
      <c r="A129" s="8"/>
      <c r="B129" s="8"/>
      <c r="C129" s="8"/>
      <c r="D129" s="8"/>
      <c r="E129" s="8"/>
      <c r="F129" s="8"/>
      <c r="G129" s="8"/>
      <c r="H129" s="8"/>
      <c r="I129" s="8"/>
      <c r="J129" s="8"/>
      <c r="K129" s="8"/>
      <c r="L129" s="8"/>
      <c r="M129" s="8"/>
      <c r="N129" s="9" t="s">
        <v>323</v>
      </c>
      <c r="O129" s="9" t="s">
        <v>501</v>
      </c>
      <c r="P129" s="9"/>
      <c r="Q129" s="65" t="s">
        <v>268</v>
      </c>
      <c r="R129" s="65" t="s">
        <v>269</v>
      </c>
      <c r="S129" s="65" t="s">
        <v>443</v>
      </c>
      <c r="T129" s="8"/>
      <c r="U129" s="8"/>
      <c r="V129" s="8"/>
      <c r="W129" s="8"/>
      <c r="X129" s="8"/>
      <c r="Y129" s="8"/>
    </row>
    <row r="130" spans="1:25" x14ac:dyDescent="0.2">
      <c r="A130" s="8"/>
      <c r="B130" s="8"/>
      <c r="C130" s="8"/>
      <c r="D130" s="8"/>
      <c r="E130" s="8"/>
      <c r="F130" s="8"/>
      <c r="G130" s="8"/>
      <c r="H130" s="8"/>
      <c r="I130" s="8"/>
      <c r="J130" s="8"/>
      <c r="K130" s="8"/>
      <c r="L130" s="8"/>
      <c r="M130" s="8"/>
      <c r="N130" s="9" t="s">
        <v>1470</v>
      </c>
      <c r="O130" s="9"/>
      <c r="P130" s="9"/>
      <c r="Q130" s="65" t="s">
        <v>271</v>
      </c>
      <c r="R130" s="65" t="s">
        <v>272</v>
      </c>
      <c r="S130" s="65" t="s">
        <v>1315</v>
      </c>
      <c r="T130" s="8"/>
      <c r="U130" s="8"/>
      <c r="V130" s="8"/>
      <c r="W130" s="8"/>
      <c r="X130" s="8"/>
      <c r="Y130" s="8"/>
    </row>
    <row r="131" spans="1:25" x14ac:dyDescent="0.2">
      <c r="A131" s="8"/>
      <c r="B131" s="8"/>
      <c r="C131" s="8"/>
      <c r="D131" s="8"/>
      <c r="E131" s="8"/>
      <c r="F131" s="8"/>
      <c r="G131" s="8"/>
      <c r="H131" s="8"/>
      <c r="I131" s="8"/>
      <c r="J131" s="8"/>
      <c r="K131" s="8"/>
      <c r="L131" s="8"/>
      <c r="M131" s="8"/>
      <c r="N131" s="9" t="s">
        <v>324</v>
      </c>
      <c r="O131" s="9" t="s">
        <v>504</v>
      </c>
      <c r="P131" s="9"/>
      <c r="Q131" s="65" t="s">
        <v>271</v>
      </c>
      <c r="R131" s="65" t="s">
        <v>273</v>
      </c>
      <c r="S131" s="65" t="s">
        <v>443</v>
      </c>
      <c r="T131" s="8"/>
      <c r="U131" s="8"/>
      <c r="V131" s="8"/>
      <c r="W131" s="8"/>
      <c r="X131" s="8"/>
      <c r="Y131" s="8"/>
    </row>
    <row r="132" spans="1:25" x14ac:dyDescent="0.2">
      <c r="A132" s="8"/>
      <c r="B132" s="8"/>
      <c r="C132" s="8"/>
      <c r="D132" s="8"/>
      <c r="E132" s="8"/>
      <c r="F132" s="8"/>
      <c r="G132" s="8"/>
      <c r="H132" s="8"/>
      <c r="I132" s="8"/>
      <c r="J132" s="8"/>
      <c r="K132" s="8"/>
      <c r="L132" s="8"/>
      <c r="M132" s="8"/>
      <c r="N132" s="9" t="s">
        <v>328</v>
      </c>
      <c r="O132" s="9" t="s">
        <v>509</v>
      </c>
      <c r="P132" s="9"/>
      <c r="Q132" s="65" t="s">
        <v>275</v>
      </c>
      <c r="R132" s="65" t="s">
        <v>276</v>
      </c>
      <c r="S132" s="65" t="s">
        <v>1126</v>
      </c>
      <c r="T132" s="8"/>
      <c r="U132" s="8"/>
      <c r="V132" s="8"/>
      <c r="W132" s="8"/>
      <c r="X132" s="8"/>
      <c r="Y132" s="8"/>
    </row>
    <row r="133" spans="1:25" x14ac:dyDescent="0.2">
      <c r="A133" s="8"/>
      <c r="B133" s="8"/>
      <c r="C133" s="8"/>
      <c r="D133" s="8"/>
      <c r="E133" s="8"/>
      <c r="F133" s="8"/>
      <c r="G133" s="8"/>
      <c r="H133" s="8"/>
      <c r="I133" s="8"/>
      <c r="J133" s="8"/>
      <c r="K133" s="8"/>
      <c r="L133" s="8"/>
      <c r="M133" s="8"/>
      <c r="N133" s="9" t="s">
        <v>330</v>
      </c>
      <c r="O133" s="9" t="s">
        <v>513</v>
      </c>
      <c r="P133" s="9"/>
      <c r="Q133" s="65" t="s">
        <v>275</v>
      </c>
      <c r="R133" s="65" t="s">
        <v>277</v>
      </c>
      <c r="S133" s="65" t="s">
        <v>443</v>
      </c>
      <c r="T133" s="8"/>
      <c r="U133" s="8"/>
      <c r="V133" s="8"/>
      <c r="W133" s="8"/>
      <c r="X133" s="8"/>
      <c r="Y133" s="8"/>
    </row>
    <row r="134" spans="1:25" x14ac:dyDescent="0.2">
      <c r="A134" s="8"/>
      <c r="B134" s="8"/>
      <c r="C134" s="8"/>
      <c r="D134" s="8"/>
      <c r="E134" s="8"/>
      <c r="F134" s="8"/>
      <c r="G134" s="8"/>
      <c r="H134" s="8"/>
      <c r="I134" s="8"/>
      <c r="J134" s="8"/>
      <c r="K134" s="8"/>
      <c r="L134" s="8"/>
      <c r="M134" s="8"/>
      <c r="N134" s="9" t="s">
        <v>331</v>
      </c>
      <c r="O134" s="9" t="s">
        <v>518</v>
      </c>
      <c r="P134" s="9"/>
      <c r="Q134" s="65" t="s">
        <v>275</v>
      </c>
      <c r="R134" s="65" t="s">
        <v>279</v>
      </c>
      <c r="S134" s="65" t="s">
        <v>1123</v>
      </c>
      <c r="T134" s="8"/>
      <c r="U134" s="8"/>
      <c r="V134" s="8"/>
      <c r="W134" s="8"/>
      <c r="X134" s="8"/>
      <c r="Y134" s="8"/>
    </row>
    <row r="135" spans="1:25" x14ac:dyDescent="0.2">
      <c r="A135" s="8"/>
      <c r="B135" s="8"/>
      <c r="C135" s="8"/>
      <c r="D135" s="8"/>
      <c r="E135" s="8"/>
      <c r="F135" s="8"/>
      <c r="G135" s="8"/>
      <c r="H135" s="8"/>
      <c r="I135" s="8"/>
      <c r="J135" s="8"/>
      <c r="K135" s="8"/>
      <c r="L135" s="8"/>
      <c r="M135" s="8"/>
      <c r="N135" s="9" t="s">
        <v>333</v>
      </c>
      <c r="O135" s="9" t="s">
        <v>522</v>
      </c>
      <c r="P135" s="9"/>
      <c r="Q135" s="65" t="s">
        <v>275</v>
      </c>
      <c r="R135" s="65" t="s">
        <v>1124</v>
      </c>
      <c r="S135" s="65" t="s">
        <v>1032</v>
      </c>
      <c r="T135" s="8"/>
      <c r="U135" s="8"/>
      <c r="V135" s="8"/>
      <c r="W135" s="8"/>
      <c r="X135" s="8"/>
      <c r="Y135" s="8"/>
    </row>
    <row r="136" spans="1:25" x14ac:dyDescent="0.2">
      <c r="A136" s="8"/>
      <c r="B136" s="8"/>
      <c r="C136" s="8"/>
      <c r="D136" s="8"/>
      <c r="E136" s="8"/>
      <c r="F136" s="8"/>
      <c r="G136" s="8"/>
      <c r="H136" s="8"/>
      <c r="I136" s="8"/>
      <c r="J136" s="8"/>
      <c r="K136" s="8"/>
      <c r="L136" s="8"/>
      <c r="M136" s="8"/>
      <c r="N136" s="9" t="s">
        <v>1471</v>
      </c>
      <c r="O136" s="9"/>
      <c r="P136" s="9"/>
      <c r="Q136" s="65" t="s">
        <v>275</v>
      </c>
      <c r="R136" s="65" t="s">
        <v>1125</v>
      </c>
      <c r="S136" s="65" t="s">
        <v>282</v>
      </c>
      <c r="T136" s="8"/>
      <c r="U136" s="8"/>
      <c r="V136" s="8"/>
      <c r="W136" s="8"/>
      <c r="X136" s="8"/>
      <c r="Y136" s="8"/>
    </row>
    <row r="137" spans="1:25" x14ac:dyDescent="0.2">
      <c r="A137" s="8"/>
      <c r="B137" s="8"/>
      <c r="C137" s="8"/>
      <c r="D137" s="8"/>
      <c r="E137" s="8"/>
      <c r="F137" s="8"/>
      <c r="G137" s="8"/>
      <c r="H137" s="8"/>
      <c r="I137" s="8"/>
      <c r="J137" s="8"/>
      <c r="K137" s="8"/>
      <c r="L137" s="8"/>
      <c r="M137" s="8"/>
      <c r="N137" s="9" t="s">
        <v>1472</v>
      </c>
      <c r="O137" s="9"/>
      <c r="P137" s="9"/>
      <c r="Q137" s="65" t="s">
        <v>1209</v>
      </c>
      <c r="R137" s="65" t="s">
        <v>1125</v>
      </c>
      <c r="S137" s="65" t="s">
        <v>282</v>
      </c>
      <c r="T137" s="8"/>
      <c r="U137" s="8"/>
      <c r="V137" s="8"/>
      <c r="W137" s="8"/>
      <c r="X137" s="8"/>
      <c r="Y137" s="8"/>
    </row>
    <row r="138" spans="1:25" x14ac:dyDescent="0.2">
      <c r="A138" s="8"/>
      <c r="B138" s="8"/>
      <c r="C138" s="8"/>
      <c r="D138" s="8"/>
      <c r="E138" s="8"/>
      <c r="F138" s="8"/>
      <c r="G138" s="8"/>
      <c r="H138" s="8"/>
      <c r="I138" s="8"/>
      <c r="J138" s="8"/>
      <c r="K138" s="8"/>
      <c r="L138" s="8"/>
      <c r="M138" s="8"/>
      <c r="N138" s="9" t="s">
        <v>1473</v>
      </c>
      <c r="O138" s="9"/>
      <c r="P138" s="9"/>
      <c r="Q138" s="65" t="s">
        <v>284</v>
      </c>
      <c r="R138" s="65" t="s">
        <v>285</v>
      </c>
      <c r="S138" s="65" t="s">
        <v>1127</v>
      </c>
      <c r="T138" s="8"/>
      <c r="U138" s="8"/>
      <c r="V138" s="8"/>
      <c r="W138" s="8"/>
      <c r="X138" s="8"/>
      <c r="Y138" s="8"/>
    </row>
    <row r="139" spans="1:25" x14ac:dyDescent="0.2">
      <c r="A139" s="8"/>
      <c r="B139" s="8"/>
      <c r="C139" s="8"/>
      <c r="D139" s="8"/>
      <c r="E139" s="8"/>
      <c r="F139" s="8"/>
      <c r="G139" s="8"/>
      <c r="H139" s="8"/>
      <c r="I139" s="8"/>
      <c r="J139" s="8"/>
      <c r="K139" s="8"/>
      <c r="L139" s="8"/>
      <c r="M139" s="8"/>
      <c r="N139" s="9" t="s">
        <v>1474</v>
      </c>
      <c r="O139" s="9"/>
      <c r="P139" s="9"/>
      <c r="Q139" s="65" t="s">
        <v>284</v>
      </c>
      <c r="R139" s="65" t="s">
        <v>1128</v>
      </c>
      <c r="S139" s="65" t="s">
        <v>1129</v>
      </c>
      <c r="T139" s="8"/>
      <c r="U139" s="8"/>
      <c r="V139" s="8"/>
      <c r="W139" s="8"/>
      <c r="X139" s="8"/>
      <c r="Y139" s="8"/>
    </row>
    <row r="140" spans="1:25" x14ac:dyDescent="0.2">
      <c r="A140" s="8"/>
      <c r="B140" s="8"/>
      <c r="C140" s="8"/>
      <c r="D140" s="8"/>
      <c r="E140" s="8"/>
      <c r="F140" s="8"/>
      <c r="G140" s="8"/>
      <c r="H140" s="8"/>
      <c r="I140" s="8"/>
      <c r="J140" s="8"/>
      <c r="K140" s="8"/>
      <c r="L140" s="8"/>
      <c r="M140" s="8"/>
      <c r="N140" s="9" t="s">
        <v>1475</v>
      </c>
      <c r="O140" s="9"/>
      <c r="P140" s="9"/>
      <c r="Q140" s="65" t="s">
        <v>287</v>
      </c>
      <c r="R140" s="65" t="s">
        <v>1134</v>
      </c>
      <c r="S140" s="65" t="s">
        <v>1019</v>
      </c>
      <c r="T140" s="8"/>
      <c r="U140" s="8"/>
      <c r="V140" s="8"/>
      <c r="W140" s="8"/>
      <c r="X140" s="8"/>
      <c r="Y140" s="8"/>
    </row>
    <row r="141" spans="1:25" x14ac:dyDescent="0.2">
      <c r="A141" s="8"/>
      <c r="B141" s="8"/>
      <c r="C141" s="8"/>
      <c r="D141" s="8"/>
      <c r="E141" s="8"/>
      <c r="F141" s="8"/>
      <c r="G141" s="8"/>
      <c r="H141" s="8"/>
      <c r="I141" s="8"/>
      <c r="J141" s="8"/>
      <c r="K141" s="8"/>
      <c r="L141" s="8"/>
      <c r="M141" s="8"/>
      <c r="N141" s="9" t="s">
        <v>1476</v>
      </c>
      <c r="O141" s="9" t="s">
        <v>370</v>
      </c>
      <c r="P141" s="9"/>
      <c r="Q141" s="65" t="s">
        <v>287</v>
      </c>
      <c r="R141" s="65" t="s">
        <v>289</v>
      </c>
      <c r="S141" s="65" t="s">
        <v>1132</v>
      </c>
      <c r="T141" s="8"/>
      <c r="U141" s="8"/>
      <c r="V141" s="8"/>
      <c r="W141" s="8"/>
      <c r="X141" s="8"/>
      <c r="Y141" s="8"/>
    </row>
    <row r="142" spans="1:25" x14ac:dyDescent="0.2">
      <c r="A142" s="8"/>
      <c r="B142" s="8"/>
      <c r="C142" s="8"/>
      <c r="D142" s="8"/>
      <c r="E142" s="8"/>
      <c r="F142" s="8"/>
      <c r="G142" s="8"/>
      <c r="H142" s="8"/>
      <c r="I142" s="8"/>
      <c r="J142" s="8"/>
      <c r="K142" s="8"/>
      <c r="L142" s="8"/>
      <c r="M142" s="8"/>
      <c r="N142" s="9" t="s">
        <v>132</v>
      </c>
      <c r="O142" s="9" t="s">
        <v>216</v>
      </c>
      <c r="P142" s="9"/>
      <c r="Q142" s="65" t="s">
        <v>287</v>
      </c>
      <c r="R142" s="65" t="s">
        <v>291</v>
      </c>
      <c r="S142" s="65" t="s">
        <v>1133</v>
      </c>
      <c r="T142" s="8"/>
      <c r="U142" s="8"/>
      <c r="V142" s="8"/>
      <c r="W142" s="8"/>
      <c r="X142" s="8"/>
      <c r="Y142" s="8"/>
    </row>
    <row r="143" spans="1:25" x14ac:dyDescent="0.2">
      <c r="A143" s="8"/>
      <c r="B143" s="8"/>
      <c r="C143" s="8"/>
      <c r="D143" s="8"/>
      <c r="E143" s="8"/>
      <c r="F143" s="8"/>
      <c r="G143" s="8"/>
      <c r="H143" s="8"/>
      <c r="I143" s="8"/>
      <c r="J143" s="8"/>
      <c r="K143" s="8"/>
      <c r="L143" s="8"/>
      <c r="M143" s="8"/>
      <c r="N143" s="9" t="s">
        <v>1477</v>
      </c>
      <c r="O143" s="9" t="s">
        <v>449</v>
      </c>
      <c r="P143" s="9"/>
      <c r="Q143" s="65" t="s">
        <v>287</v>
      </c>
      <c r="R143" s="65" t="s">
        <v>1130</v>
      </c>
      <c r="S143" s="65" t="s">
        <v>1131</v>
      </c>
      <c r="T143" s="8"/>
      <c r="U143" s="8"/>
      <c r="V143" s="8"/>
      <c r="W143" s="8"/>
      <c r="X143" s="8"/>
      <c r="Y143" s="8"/>
    </row>
    <row r="144" spans="1:25" x14ac:dyDescent="0.2">
      <c r="A144" s="8"/>
      <c r="B144" s="8"/>
      <c r="C144" s="8"/>
      <c r="D144" s="8"/>
      <c r="E144" s="8"/>
      <c r="F144" s="8"/>
      <c r="G144" s="8"/>
      <c r="H144" s="8"/>
      <c r="I144" s="8"/>
      <c r="J144" s="8"/>
      <c r="K144" s="8"/>
      <c r="L144" s="8"/>
      <c r="M144" s="8"/>
      <c r="N144" s="9" t="s">
        <v>1478</v>
      </c>
      <c r="O144" s="9"/>
      <c r="P144" s="9"/>
      <c r="Q144" s="65" t="s">
        <v>287</v>
      </c>
      <c r="R144" s="65" t="s">
        <v>1352</v>
      </c>
      <c r="S144" s="65" t="s">
        <v>1353</v>
      </c>
      <c r="T144" s="8"/>
      <c r="U144" s="8"/>
      <c r="V144" s="8"/>
      <c r="W144" s="8"/>
      <c r="X144" s="8"/>
      <c r="Y144" s="8"/>
    </row>
    <row r="145" spans="1:25" x14ac:dyDescent="0.2">
      <c r="A145" s="8"/>
      <c r="B145" s="8"/>
      <c r="C145" s="8"/>
      <c r="D145" s="8"/>
      <c r="E145" s="8"/>
      <c r="F145" s="8"/>
      <c r="G145" s="8"/>
      <c r="H145" s="8"/>
      <c r="I145" s="8"/>
      <c r="J145" s="8"/>
      <c r="K145" s="8"/>
      <c r="L145" s="8"/>
      <c r="M145" s="8"/>
      <c r="N145" s="9" t="s">
        <v>1479</v>
      </c>
      <c r="O145" s="9" t="s">
        <v>449</v>
      </c>
      <c r="P145" s="9"/>
      <c r="Q145" s="65" t="s">
        <v>294</v>
      </c>
      <c r="R145" s="65" t="s">
        <v>295</v>
      </c>
      <c r="S145" s="65" t="s">
        <v>1135</v>
      </c>
      <c r="T145" s="8"/>
      <c r="U145" s="8"/>
      <c r="V145" s="8"/>
      <c r="W145" s="8"/>
      <c r="X145" s="8"/>
      <c r="Y145" s="8"/>
    </row>
    <row r="146" spans="1:25" x14ac:dyDescent="0.2">
      <c r="A146" s="8"/>
      <c r="B146" s="8"/>
      <c r="C146" s="8"/>
      <c r="D146" s="8"/>
      <c r="E146" s="8"/>
      <c r="F146" s="8"/>
      <c r="G146" s="8"/>
      <c r="H146" s="8"/>
      <c r="I146" s="8"/>
      <c r="J146" s="8"/>
      <c r="K146" s="8"/>
      <c r="L146" s="8"/>
      <c r="M146" s="8"/>
      <c r="N146" s="9" t="s">
        <v>1480</v>
      </c>
      <c r="O146" s="9" t="s">
        <v>486</v>
      </c>
      <c r="P146" s="9"/>
      <c r="Q146" s="65" t="s">
        <v>294</v>
      </c>
      <c r="R146" s="65" t="s">
        <v>1138</v>
      </c>
      <c r="S146" s="65" t="s">
        <v>443</v>
      </c>
      <c r="T146" s="8"/>
      <c r="U146" s="8"/>
      <c r="V146" s="8"/>
      <c r="W146" s="8"/>
      <c r="X146" s="8"/>
      <c r="Y146" s="8"/>
    </row>
    <row r="147" spans="1:25" x14ac:dyDescent="0.2">
      <c r="A147" s="8"/>
      <c r="B147" s="8"/>
      <c r="C147" s="8"/>
      <c r="D147" s="8"/>
      <c r="E147" s="8"/>
      <c r="F147" s="8"/>
      <c r="G147" s="8"/>
      <c r="H147" s="8"/>
      <c r="I147" s="8"/>
      <c r="J147" s="8"/>
      <c r="K147" s="8"/>
      <c r="L147" s="8"/>
      <c r="M147" s="8"/>
      <c r="N147" s="9" t="s">
        <v>1481</v>
      </c>
      <c r="O147" s="9"/>
      <c r="P147" s="9"/>
      <c r="Q147" s="65" t="s">
        <v>294</v>
      </c>
      <c r="R147" s="65" t="s">
        <v>1136</v>
      </c>
      <c r="S147" s="65" t="s">
        <v>1137</v>
      </c>
      <c r="T147" s="8"/>
      <c r="U147" s="8"/>
      <c r="V147" s="8"/>
      <c r="W147" s="8"/>
      <c r="X147" s="8"/>
      <c r="Y147" s="8"/>
    </row>
    <row r="148" spans="1:25" x14ac:dyDescent="0.2">
      <c r="A148" s="8"/>
      <c r="B148" s="8"/>
      <c r="C148" s="8"/>
      <c r="D148" s="8"/>
      <c r="E148" s="8"/>
      <c r="F148" s="8"/>
      <c r="G148" s="8"/>
      <c r="H148" s="8"/>
      <c r="I148" s="8"/>
      <c r="J148" s="8"/>
      <c r="K148" s="8"/>
      <c r="L148" s="8"/>
      <c r="M148" s="8"/>
      <c r="N148" s="9" t="s">
        <v>286</v>
      </c>
      <c r="O148" s="9" t="s">
        <v>468</v>
      </c>
      <c r="P148" s="9"/>
      <c r="Q148" s="65" t="s">
        <v>1225</v>
      </c>
      <c r="R148" s="65" t="s">
        <v>1136</v>
      </c>
      <c r="S148" s="65" t="s">
        <v>1137</v>
      </c>
      <c r="T148" s="8"/>
      <c r="U148" s="8"/>
      <c r="V148" s="8"/>
      <c r="W148" s="8"/>
      <c r="X148" s="8"/>
      <c r="Y148" s="8"/>
    </row>
    <row r="149" spans="1:25" x14ac:dyDescent="0.2">
      <c r="A149" s="8"/>
      <c r="B149" s="8"/>
      <c r="C149" s="8"/>
      <c r="D149" s="8"/>
      <c r="E149" s="8"/>
      <c r="F149" s="8"/>
      <c r="G149" s="8"/>
      <c r="H149" s="8"/>
      <c r="I149" s="8"/>
      <c r="J149" s="8"/>
      <c r="K149" s="8"/>
      <c r="L149" s="8"/>
      <c r="M149" s="8"/>
      <c r="N149" s="9" t="s">
        <v>325</v>
      </c>
      <c r="O149" s="9" t="s">
        <v>507</v>
      </c>
      <c r="P149" s="9"/>
      <c r="Q149" s="65" t="s">
        <v>298</v>
      </c>
      <c r="R149" s="65" t="s">
        <v>1142</v>
      </c>
      <c r="S149" s="65" t="s">
        <v>1099</v>
      </c>
      <c r="T149" s="8"/>
      <c r="U149" s="8"/>
      <c r="V149" s="8"/>
      <c r="W149" s="8"/>
      <c r="X149" s="8"/>
      <c r="Y149" s="8"/>
    </row>
    <row r="150" spans="1:25" x14ac:dyDescent="0.2">
      <c r="A150" s="8"/>
      <c r="B150" s="8"/>
      <c r="C150" s="8"/>
      <c r="D150" s="8"/>
      <c r="E150" s="8"/>
      <c r="F150" s="8"/>
      <c r="G150" s="8"/>
      <c r="H150" s="8"/>
      <c r="I150" s="8"/>
      <c r="J150" s="8"/>
      <c r="K150" s="8"/>
      <c r="L150" s="8"/>
      <c r="M150" s="8"/>
      <c r="N150" s="9" t="s">
        <v>1482</v>
      </c>
      <c r="O150" s="9" t="s">
        <v>401</v>
      </c>
      <c r="P150" s="9"/>
      <c r="Q150" s="65" t="s">
        <v>298</v>
      </c>
      <c r="R150" s="65" t="s">
        <v>1139</v>
      </c>
      <c r="S150" s="65" t="s">
        <v>1032</v>
      </c>
      <c r="T150" s="8"/>
      <c r="U150" s="8"/>
      <c r="V150" s="8"/>
      <c r="W150" s="8"/>
      <c r="X150" s="8"/>
      <c r="Y150" s="8"/>
    </row>
    <row r="151" spans="1:25" x14ac:dyDescent="0.2">
      <c r="A151" s="8"/>
      <c r="B151" s="8"/>
      <c r="C151" s="8"/>
      <c r="D151" s="8"/>
      <c r="E151" s="8"/>
      <c r="F151" s="8"/>
      <c r="G151" s="8"/>
      <c r="H151" s="8"/>
      <c r="I151" s="8"/>
      <c r="J151" s="8"/>
      <c r="K151" s="8"/>
      <c r="L151" s="8"/>
      <c r="M151" s="8"/>
      <c r="N151" s="9" t="s">
        <v>1483</v>
      </c>
      <c r="O151" s="9" t="s">
        <v>402</v>
      </c>
      <c r="P151" s="9"/>
      <c r="Q151" s="65" t="s">
        <v>298</v>
      </c>
      <c r="R151" s="65" t="s">
        <v>1143</v>
      </c>
      <c r="S151" s="65" t="s">
        <v>1053</v>
      </c>
      <c r="T151" s="8"/>
      <c r="U151" s="8"/>
      <c r="V151" s="8"/>
      <c r="W151" s="8"/>
      <c r="X151" s="8"/>
      <c r="Y151" s="8"/>
    </row>
    <row r="152" spans="1:25" x14ac:dyDescent="0.2">
      <c r="A152" s="8"/>
      <c r="B152" s="8"/>
      <c r="C152" s="8"/>
      <c r="D152" s="8"/>
      <c r="E152" s="8"/>
      <c r="F152" s="8"/>
      <c r="G152" s="8"/>
      <c r="H152" s="8"/>
      <c r="I152" s="8"/>
      <c r="J152" s="8"/>
      <c r="K152" s="8"/>
      <c r="L152" s="8"/>
      <c r="M152" s="8"/>
      <c r="N152" s="9" t="s">
        <v>1484</v>
      </c>
      <c r="O152" s="9"/>
      <c r="P152" s="9"/>
      <c r="Q152" s="65" t="s">
        <v>298</v>
      </c>
      <c r="R152" s="65" t="s">
        <v>1140</v>
      </c>
      <c r="S152" s="65" t="s">
        <v>1141</v>
      </c>
      <c r="T152" s="8"/>
      <c r="U152" s="8"/>
      <c r="V152" s="8"/>
      <c r="W152" s="8"/>
      <c r="X152" s="8"/>
      <c r="Y152" s="8"/>
    </row>
    <row r="153" spans="1:25" x14ac:dyDescent="0.2">
      <c r="A153" s="8"/>
      <c r="B153" s="8"/>
      <c r="C153" s="8"/>
      <c r="D153" s="8"/>
      <c r="E153" s="8"/>
      <c r="F153" s="8"/>
      <c r="G153" s="8"/>
      <c r="H153" s="8"/>
      <c r="I153" s="8"/>
      <c r="J153" s="8"/>
      <c r="K153" s="8"/>
      <c r="L153" s="8"/>
      <c r="M153" s="8"/>
      <c r="N153" s="8" t="s">
        <v>1485</v>
      </c>
      <c r="O153" s="8"/>
      <c r="P153" s="8"/>
      <c r="Q153" s="65" t="s">
        <v>299</v>
      </c>
      <c r="R153" s="65" t="s">
        <v>300</v>
      </c>
      <c r="S153" s="65" t="s">
        <v>1315</v>
      </c>
      <c r="T153" s="8"/>
      <c r="U153" s="8"/>
      <c r="V153" s="8"/>
      <c r="W153" s="8"/>
      <c r="X153" s="8"/>
      <c r="Y153" s="8"/>
    </row>
    <row r="154" spans="1:25" x14ac:dyDescent="0.2">
      <c r="A154" s="8"/>
      <c r="B154" s="8"/>
      <c r="C154" s="8"/>
      <c r="D154" s="8"/>
      <c r="E154" s="8"/>
      <c r="F154" s="8"/>
      <c r="G154" s="8"/>
      <c r="H154" s="8"/>
      <c r="I154" s="8"/>
      <c r="J154" s="8"/>
      <c r="K154" s="8"/>
      <c r="L154" s="8"/>
      <c r="M154" s="8"/>
      <c r="N154" s="8" t="s">
        <v>1486</v>
      </c>
      <c r="O154" s="8" t="s">
        <v>407</v>
      </c>
      <c r="P154" s="8"/>
      <c r="Q154" s="65" t="s">
        <v>299</v>
      </c>
      <c r="R154" s="65" t="s">
        <v>1146</v>
      </c>
      <c r="S154" s="65" t="s">
        <v>1147</v>
      </c>
      <c r="T154" s="8"/>
      <c r="U154" s="8"/>
      <c r="V154" s="8"/>
      <c r="W154" s="8"/>
      <c r="X154" s="8"/>
      <c r="Y154" s="8"/>
    </row>
    <row r="155" spans="1:25" x14ac:dyDescent="0.2">
      <c r="A155" s="8"/>
      <c r="B155" s="8"/>
      <c r="C155" s="8"/>
      <c r="D155" s="8"/>
      <c r="E155" s="8"/>
      <c r="F155" s="8"/>
      <c r="G155" s="8"/>
      <c r="H155" s="8"/>
      <c r="I155" s="8"/>
      <c r="J155" s="8"/>
      <c r="K155" s="8"/>
      <c r="L155" s="8"/>
      <c r="M155" s="8"/>
      <c r="N155" s="8" t="s">
        <v>1487</v>
      </c>
      <c r="O155" s="8"/>
      <c r="P155" s="8"/>
      <c r="Q155" s="65" t="s">
        <v>299</v>
      </c>
      <c r="R155" s="65" t="s">
        <v>1144</v>
      </c>
      <c r="S155" s="65" t="s">
        <v>1145</v>
      </c>
      <c r="T155" s="8"/>
      <c r="U155" s="8"/>
      <c r="V155" s="8"/>
      <c r="W155" s="8"/>
      <c r="X155" s="8"/>
      <c r="Y155" s="8"/>
    </row>
    <row r="156" spans="1:25" x14ac:dyDescent="0.2">
      <c r="A156" s="8"/>
      <c r="B156" s="8"/>
      <c r="C156" s="8"/>
      <c r="D156" s="8"/>
      <c r="E156" s="8"/>
      <c r="F156" s="8"/>
      <c r="G156" s="8"/>
      <c r="H156" s="8"/>
      <c r="I156" s="8"/>
      <c r="J156" s="8"/>
      <c r="K156" s="8"/>
      <c r="L156" s="8"/>
      <c r="M156" s="8"/>
      <c r="N156" s="8" t="s">
        <v>1488</v>
      </c>
      <c r="O156" s="8"/>
      <c r="P156" s="8"/>
      <c r="Q156" s="65" t="s">
        <v>303</v>
      </c>
      <c r="R156" s="65" t="s">
        <v>304</v>
      </c>
      <c r="S156" s="65" t="s">
        <v>443</v>
      </c>
      <c r="T156" s="8"/>
      <c r="U156" s="8"/>
      <c r="V156" s="8"/>
      <c r="W156" s="8"/>
      <c r="X156" s="8"/>
      <c r="Y156" s="8"/>
    </row>
    <row r="157" spans="1:25" x14ac:dyDescent="0.2">
      <c r="A157" s="8"/>
      <c r="B157" s="8"/>
      <c r="C157" s="8"/>
      <c r="D157" s="8"/>
      <c r="E157" s="8"/>
      <c r="F157" s="8"/>
      <c r="G157" s="8"/>
      <c r="H157" s="8"/>
      <c r="I157" s="8"/>
      <c r="J157" s="8"/>
      <c r="K157" s="8"/>
      <c r="L157" s="8"/>
      <c r="M157" s="8"/>
      <c r="N157" s="8" t="s">
        <v>1489</v>
      </c>
      <c r="O157" s="8" t="s">
        <v>408</v>
      </c>
      <c r="P157" s="8"/>
      <c r="Q157" s="65" t="s">
        <v>306</v>
      </c>
      <c r="R157" s="65" t="s">
        <v>307</v>
      </c>
      <c r="S157" s="65" t="s">
        <v>1315</v>
      </c>
      <c r="T157" s="8"/>
      <c r="U157" s="8"/>
      <c r="V157" s="8"/>
      <c r="W157" s="8"/>
      <c r="X157" s="8"/>
      <c r="Y157" s="8"/>
    </row>
    <row r="158" spans="1:25" x14ac:dyDescent="0.2">
      <c r="A158" s="8"/>
      <c r="B158" s="8"/>
      <c r="C158" s="8"/>
      <c r="D158" s="8"/>
      <c r="E158" s="8"/>
      <c r="F158" s="8"/>
      <c r="G158" s="8"/>
      <c r="H158" s="8"/>
      <c r="I158" s="8"/>
      <c r="J158" s="8"/>
      <c r="K158" s="8"/>
      <c r="L158" s="8"/>
      <c r="M158" s="8"/>
      <c r="N158" s="8" t="s">
        <v>1490</v>
      </c>
      <c r="O158" s="8" t="s">
        <v>404</v>
      </c>
      <c r="P158" s="8"/>
      <c r="Q158" s="65" t="s">
        <v>306</v>
      </c>
      <c r="R158" s="65" t="s">
        <v>309</v>
      </c>
      <c r="S158" s="65" t="s">
        <v>1148</v>
      </c>
      <c r="T158" s="8"/>
      <c r="U158" s="8"/>
      <c r="V158" s="8"/>
      <c r="W158" s="8"/>
      <c r="X158" s="8"/>
      <c r="Y158" s="8"/>
    </row>
    <row r="159" spans="1:25" x14ac:dyDescent="0.2">
      <c r="A159" s="8"/>
      <c r="B159" s="8"/>
      <c r="C159" s="8"/>
      <c r="D159" s="8"/>
      <c r="E159" s="8"/>
      <c r="F159" s="8"/>
      <c r="G159" s="8"/>
      <c r="H159" s="8"/>
      <c r="I159" s="8"/>
      <c r="J159" s="8"/>
      <c r="K159" s="8"/>
      <c r="L159" s="8"/>
      <c r="M159" s="8"/>
      <c r="N159" s="8" t="s">
        <v>1491</v>
      </c>
      <c r="O159" s="8" t="s">
        <v>1209</v>
      </c>
      <c r="P159" s="8"/>
      <c r="Q159" s="65" t="s">
        <v>306</v>
      </c>
      <c r="R159" s="65" t="s">
        <v>1354</v>
      </c>
      <c r="S159" s="65" t="s">
        <v>1343</v>
      </c>
      <c r="T159" s="8"/>
      <c r="U159" s="8"/>
      <c r="V159" s="8"/>
      <c r="W159" s="8"/>
      <c r="X159" s="8"/>
      <c r="Y159" s="8"/>
    </row>
    <row r="160" spans="1:25" x14ac:dyDescent="0.2">
      <c r="A160" s="8"/>
      <c r="B160" s="8"/>
      <c r="C160" s="8"/>
      <c r="D160" s="8"/>
      <c r="E160" s="8"/>
      <c r="F160" s="8"/>
      <c r="G160" s="8"/>
      <c r="H160" s="8"/>
      <c r="I160" s="8"/>
      <c r="J160" s="8"/>
      <c r="K160" s="8"/>
      <c r="L160" s="8"/>
      <c r="M160" s="8"/>
      <c r="N160" s="8" t="s">
        <v>1492</v>
      </c>
      <c r="O160" s="8" t="s">
        <v>399</v>
      </c>
      <c r="P160" s="8"/>
      <c r="Q160" s="65" t="s">
        <v>311</v>
      </c>
      <c r="R160" s="65" t="s">
        <v>312</v>
      </c>
      <c r="S160" s="65" t="s">
        <v>1315</v>
      </c>
      <c r="T160" s="8"/>
      <c r="U160" s="8"/>
      <c r="V160" s="8"/>
      <c r="W160" s="8"/>
      <c r="X160" s="8"/>
      <c r="Y160" s="8"/>
    </row>
    <row r="161" spans="1:25" x14ac:dyDescent="0.2">
      <c r="A161" s="8"/>
      <c r="B161" s="8"/>
      <c r="C161" s="8"/>
      <c r="D161" s="8"/>
      <c r="E161" s="8"/>
      <c r="F161" s="8"/>
      <c r="G161" s="8"/>
      <c r="H161" s="8"/>
      <c r="I161" s="8"/>
      <c r="J161" s="8"/>
      <c r="K161" s="8"/>
      <c r="L161" s="8"/>
      <c r="M161" s="8"/>
      <c r="N161" s="8" t="s">
        <v>1493</v>
      </c>
      <c r="O161" s="8" t="s">
        <v>1383</v>
      </c>
      <c r="P161" s="8"/>
      <c r="Q161" s="65" t="s">
        <v>311</v>
      </c>
      <c r="R161" s="65" t="s">
        <v>1149</v>
      </c>
      <c r="S161" s="65" t="s">
        <v>314</v>
      </c>
      <c r="T161" s="8"/>
      <c r="U161" s="8"/>
      <c r="V161" s="8"/>
      <c r="W161" s="8"/>
      <c r="X161" s="8"/>
      <c r="Y161" s="8"/>
    </row>
    <row r="162" spans="1:25" x14ac:dyDescent="0.2">
      <c r="A162" s="8"/>
      <c r="B162" s="8"/>
      <c r="C162" s="8"/>
      <c r="D162" s="8"/>
      <c r="E162" s="8"/>
      <c r="F162" s="8"/>
      <c r="G162" s="8"/>
      <c r="H162" s="8"/>
      <c r="I162" s="8"/>
      <c r="J162" s="8"/>
      <c r="K162" s="8"/>
      <c r="L162" s="8"/>
      <c r="M162" s="8"/>
      <c r="N162" s="8" t="s">
        <v>1494</v>
      </c>
      <c r="O162" s="8"/>
      <c r="P162" s="8"/>
      <c r="Q162" s="65" t="s">
        <v>311</v>
      </c>
      <c r="R162" s="65" t="s">
        <v>1150</v>
      </c>
      <c r="S162" s="65" t="s">
        <v>443</v>
      </c>
      <c r="T162" s="8"/>
      <c r="U162" s="8"/>
      <c r="V162" s="8"/>
      <c r="W162" s="8"/>
      <c r="X162" s="8"/>
      <c r="Y162" s="8"/>
    </row>
    <row r="163" spans="1:25" x14ac:dyDescent="0.2">
      <c r="A163" s="8"/>
      <c r="B163" s="8"/>
      <c r="C163" s="8"/>
      <c r="D163" s="8"/>
      <c r="E163" s="8"/>
      <c r="F163" s="8"/>
      <c r="G163" s="8"/>
      <c r="H163" s="8"/>
      <c r="I163" s="8"/>
      <c r="J163" s="8"/>
      <c r="K163" s="8"/>
      <c r="L163" s="8"/>
      <c r="M163" s="8"/>
      <c r="N163" s="8" t="s">
        <v>1495</v>
      </c>
      <c r="O163" s="8"/>
      <c r="P163" s="8"/>
      <c r="Q163" s="65" t="s">
        <v>316</v>
      </c>
      <c r="R163" s="65" t="s">
        <v>1152</v>
      </c>
      <c r="S163" s="65" t="s">
        <v>1026</v>
      </c>
      <c r="T163" s="8"/>
      <c r="U163" s="8"/>
      <c r="V163" s="8"/>
      <c r="W163" s="8"/>
      <c r="X163" s="8"/>
      <c r="Y163" s="8"/>
    </row>
    <row r="164" spans="1:25" x14ac:dyDescent="0.2">
      <c r="A164" s="8"/>
      <c r="B164" s="8"/>
      <c r="C164" s="8"/>
      <c r="D164" s="8"/>
      <c r="E164" s="8"/>
      <c r="F164" s="8"/>
      <c r="G164" s="8"/>
      <c r="H164" s="8"/>
      <c r="I164" s="8"/>
      <c r="J164" s="8"/>
      <c r="K164" s="8"/>
      <c r="L164" s="8"/>
      <c r="M164" s="8"/>
      <c r="N164" s="8" t="s">
        <v>1496</v>
      </c>
      <c r="O164" s="8"/>
      <c r="P164" s="8"/>
      <c r="Q164" s="65" t="s">
        <v>316</v>
      </c>
      <c r="R164" s="65" t="s">
        <v>318</v>
      </c>
      <c r="S164" s="65" t="s">
        <v>1355</v>
      </c>
      <c r="T164" s="8"/>
      <c r="U164" s="8"/>
      <c r="V164" s="8"/>
      <c r="W164" s="8"/>
      <c r="X164" s="8"/>
      <c r="Y164" s="8"/>
    </row>
    <row r="165" spans="1:25" x14ac:dyDescent="0.2">
      <c r="A165" s="8"/>
      <c r="B165" s="8"/>
      <c r="C165" s="8"/>
      <c r="D165" s="8"/>
      <c r="E165" s="8"/>
      <c r="F165" s="8"/>
      <c r="G165" s="8"/>
      <c r="H165" s="8"/>
      <c r="I165" s="8"/>
      <c r="J165" s="8"/>
      <c r="K165" s="8"/>
      <c r="L165" s="8"/>
      <c r="M165" s="8"/>
      <c r="N165" s="8" t="s">
        <v>1497</v>
      </c>
      <c r="O165" s="8"/>
      <c r="P165" s="8"/>
      <c r="Q165" s="65" t="s">
        <v>316</v>
      </c>
      <c r="R165" s="65" t="s">
        <v>320</v>
      </c>
      <c r="S165" s="65" t="s">
        <v>1155</v>
      </c>
      <c r="T165" s="8"/>
      <c r="U165" s="8"/>
      <c r="V165" s="8"/>
      <c r="W165" s="8"/>
      <c r="X165" s="8"/>
      <c r="Y165" s="8"/>
    </row>
    <row r="166" spans="1:25" x14ac:dyDescent="0.2">
      <c r="A166" s="8"/>
      <c r="B166" s="8"/>
      <c r="C166" s="8"/>
      <c r="D166" s="8"/>
      <c r="E166" s="8"/>
      <c r="F166" s="8"/>
      <c r="G166" s="8"/>
      <c r="H166" s="8"/>
      <c r="I166" s="8"/>
      <c r="J166" s="8"/>
      <c r="K166" s="8"/>
      <c r="L166" s="8"/>
      <c r="M166" s="8"/>
      <c r="N166" s="8" t="s">
        <v>1498</v>
      </c>
      <c r="O166" s="8"/>
      <c r="P166" s="8"/>
      <c r="Q166" s="65" t="s">
        <v>316</v>
      </c>
      <c r="R166" s="65" t="s">
        <v>322</v>
      </c>
      <c r="S166" s="65" t="s">
        <v>1156</v>
      </c>
      <c r="T166" s="8"/>
      <c r="U166" s="8"/>
      <c r="V166" s="8"/>
      <c r="W166" s="8"/>
      <c r="X166" s="8"/>
      <c r="Y166" s="8"/>
    </row>
    <row r="167" spans="1:25" x14ac:dyDescent="0.2">
      <c r="A167" s="8"/>
      <c r="B167" s="8"/>
      <c r="C167" s="8"/>
      <c r="D167" s="8"/>
      <c r="E167" s="8"/>
      <c r="F167" s="8"/>
      <c r="G167" s="8"/>
      <c r="H167" s="8"/>
      <c r="I167" s="8"/>
      <c r="J167" s="8"/>
      <c r="K167" s="8"/>
      <c r="L167" s="8"/>
      <c r="M167" s="8"/>
      <c r="N167" s="8" t="s">
        <v>1499</v>
      </c>
      <c r="O167" s="8"/>
      <c r="P167" s="8"/>
      <c r="Q167" s="65" t="s">
        <v>316</v>
      </c>
      <c r="R167" s="65" t="s">
        <v>1356</v>
      </c>
      <c r="S167" s="65" t="s">
        <v>1357</v>
      </c>
      <c r="T167" s="8"/>
      <c r="U167" s="8"/>
      <c r="V167" s="8"/>
      <c r="W167" s="8"/>
      <c r="X167" s="8"/>
      <c r="Y167" s="8"/>
    </row>
    <row r="168" spans="1:25" x14ac:dyDescent="0.2">
      <c r="A168" s="8"/>
      <c r="B168" s="8"/>
      <c r="C168" s="8"/>
      <c r="D168" s="8"/>
      <c r="E168" s="8"/>
      <c r="F168" s="8"/>
      <c r="G168" s="8"/>
      <c r="H168" s="8"/>
      <c r="I168" s="8"/>
      <c r="J168" s="8"/>
      <c r="K168" s="8"/>
      <c r="L168" s="8"/>
      <c r="M168" s="8"/>
      <c r="N168" s="8" t="s">
        <v>1500</v>
      </c>
      <c r="O168" s="8" t="s">
        <v>1222</v>
      </c>
      <c r="P168" s="8"/>
      <c r="Q168" s="65" t="s">
        <v>316</v>
      </c>
      <c r="R168" s="65" t="s">
        <v>1157</v>
      </c>
      <c r="S168" s="65" t="s">
        <v>1158</v>
      </c>
      <c r="T168" s="8"/>
      <c r="U168" s="8"/>
      <c r="V168" s="8"/>
      <c r="W168" s="8"/>
      <c r="X168" s="8"/>
      <c r="Y168" s="8"/>
    </row>
    <row r="169" spans="1:25" x14ac:dyDescent="0.2">
      <c r="A169" s="8"/>
      <c r="B169" s="8"/>
      <c r="C169" s="8"/>
      <c r="D169" s="8"/>
      <c r="E169" s="8"/>
      <c r="F169" s="8"/>
      <c r="G169" s="8"/>
      <c r="H169" s="8"/>
      <c r="I169" s="8"/>
      <c r="J169" s="8"/>
      <c r="K169" s="8"/>
      <c r="L169" s="8"/>
      <c r="M169" s="8"/>
      <c r="N169" s="8" t="s">
        <v>1501</v>
      </c>
      <c r="O169" s="8"/>
      <c r="P169" s="8"/>
      <c r="Q169" s="65" t="s">
        <v>316</v>
      </c>
      <c r="R169" s="65" t="s">
        <v>326</v>
      </c>
      <c r="S169" s="65" t="s">
        <v>327</v>
      </c>
      <c r="T169" s="8"/>
      <c r="U169" s="8"/>
      <c r="V169" s="8"/>
      <c r="W169" s="8"/>
      <c r="X169" s="8"/>
      <c r="Y169" s="8"/>
    </row>
    <row r="170" spans="1:25" x14ac:dyDescent="0.2">
      <c r="A170" s="8"/>
      <c r="B170" s="8"/>
      <c r="C170" s="8"/>
      <c r="D170" s="8"/>
      <c r="E170" s="8"/>
      <c r="F170" s="8"/>
      <c r="G170" s="8"/>
      <c r="H170" s="8"/>
      <c r="I170" s="8"/>
      <c r="J170" s="8"/>
      <c r="K170" s="8"/>
      <c r="L170" s="8"/>
      <c r="M170" s="8"/>
      <c r="N170" s="8" t="s">
        <v>1502</v>
      </c>
      <c r="O170" s="8"/>
      <c r="P170" s="8"/>
      <c r="Q170" s="65" t="s">
        <v>316</v>
      </c>
      <c r="R170" s="65" t="s">
        <v>329</v>
      </c>
      <c r="S170" s="65" t="s">
        <v>1154</v>
      </c>
      <c r="T170" s="8"/>
      <c r="U170" s="8"/>
      <c r="V170" s="8"/>
      <c r="W170" s="8"/>
      <c r="X170" s="8"/>
      <c r="Y170" s="8"/>
    </row>
    <row r="171" spans="1:25" x14ac:dyDescent="0.2">
      <c r="A171" s="8"/>
      <c r="B171" s="8"/>
      <c r="C171" s="8"/>
      <c r="D171" s="8"/>
      <c r="E171" s="8"/>
      <c r="F171" s="8"/>
      <c r="G171" s="8"/>
      <c r="H171" s="8"/>
      <c r="I171" s="8"/>
      <c r="J171" s="8"/>
      <c r="K171" s="8"/>
      <c r="L171" s="8"/>
      <c r="M171" s="8"/>
      <c r="N171" s="8" t="s">
        <v>1503</v>
      </c>
      <c r="O171" s="8"/>
      <c r="P171" s="8"/>
      <c r="Q171" s="65" t="s">
        <v>316</v>
      </c>
      <c r="R171" s="65" t="s">
        <v>1151</v>
      </c>
      <c r="S171" s="65" t="s">
        <v>1052</v>
      </c>
      <c r="T171" s="8"/>
      <c r="U171" s="8"/>
      <c r="V171" s="8"/>
      <c r="W171" s="8"/>
      <c r="X171" s="8"/>
      <c r="Y171" s="8"/>
    </row>
    <row r="172" spans="1:25" x14ac:dyDescent="0.2">
      <c r="A172" s="8"/>
      <c r="B172" s="8"/>
      <c r="C172" s="8"/>
      <c r="D172" s="8"/>
      <c r="E172" s="8"/>
      <c r="F172" s="8"/>
      <c r="G172" s="8"/>
      <c r="H172" s="8"/>
      <c r="I172" s="8"/>
      <c r="J172" s="8"/>
      <c r="K172" s="8"/>
      <c r="L172" s="8"/>
      <c r="M172" s="8"/>
      <c r="N172" s="8" t="s">
        <v>1504</v>
      </c>
      <c r="O172" s="8"/>
      <c r="P172" s="8"/>
      <c r="Q172" s="65" t="s">
        <v>316</v>
      </c>
      <c r="R172" s="65" t="s">
        <v>1153</v>
      </c>
      <c r="S172" s="65" t="s">
        <v>332</v>
      </c>
      <c r="T172" s="8"/>
      <c r="U172" s="8"/>
      <c r="V172" s="8"/>
      <c r="W172" s="8"/>
      <c r="X172" s="8"/>
      <c r="Y172" s="8"/>
    </row>
    <row r="173" spans="1:25" x14ac:dyDescent="0.2">
      <c r="A173" s="8"/>
      <c r="B173" s="8"/>
      <c r="C173" s="8"/>
      <c r="D173" s="8"/>
      <c r="E173" s="8"/>
      <c r="F173" s="8"/>
      <c r="G173" s="8"/>
      <c r="H173" s="8"/>
      <c r="I173" s="8"/>
      <c r="J173" s="8"/>
      <c r="K173" s="8"/>
      <c r="L173" s="8"/>
      <c r="M173" s="8"/>
      <c r="N173" s="8" t="s">
        <v>1505</v>
      </c>
      <c r="O173" s="8" t="s">
        <v>406</v>
      </c>
      <c r="P173" s="8"/>
      <c r="Q173" s="65" t="s">
        <v>334</v>
      </c>
      <c r="R173" s="65" t="s">
        <v>1163</v>
      </c>
      <c r="S173" s="65" t="s">
        <v>443</v>
      </c>
      <c r="T173" s="8"/>
      <c r="U173" s="8"/>
      <c r="V173" s="8"/>
      <c r="W173" s="8"/>
      <c r="X173" s="8"/>
      <c r="Y173" s="8"/>
    </row>
    <row r="174" spans="1:25" x14ac:dyDescent="0.2">
      <c r="A174" s="8"/>
      <c r="B174" s="8"/>
      <c r="C174" s="8"/>
      <c r="D174" s="8"/>
      <c r="E174" s="8"/>
      <c r="F174" s="8"/>
      <c r="G174" s="8"/>
      <c r="H174" s="8"/>
      <c r="I174" s="8"/>
      <c r="J174" s="8"/>
      <c r="K174" s="8"/>
      <c r="L174" s="8"/>
      <c r="M174" s="8"/>
      <c r="N174" s="8" t="s">
        <v>1506</v>
      </c>
      <c r="O174" s="8"/>
      <c r="P174" s="8"/>
      <c r="Q174" s="65" t="s">
        <v>334</v>
      </c>
      <c r="R174" s="65" t="s">
        <v>335</v>
      </c>
      <c r="S174" s="65" t="s">
        <v>1167</v>
      </c>
      <c r="T174" s="8"/>
      <c r="U174" s="8"/>
      <c r="V174" s="8"/>
      <c r="W174" s="8"/>
      <c r="X174" s="8"/>
      <c r="Y174" s="8"/>
    </row>
    <row r="175" spans="1:25" x14ac:dyDescent="0.2">
      <c r="A175" s="8"/>
      <c r="B175" s="8"/>
      <c r="C175" s="8"/>
      <c r="D175" s="8"/>
      <c r="E175" s="8"/>
      <c r="F175" s="8"/>
      <c r="G175" s="8"/>
      <c r="H175" s="8"/>
      <c r="I175" s="8"/>
      <c r="J175" s="8"/>
      <c r="K175" s="8"/>
      <c r="L175" s="8"/>
      <c r="M175" s="8"/>
      <c r="N175" s="8" t="s">
        <v>1507</v>
      </c>
      <c r="O175" s="8" t="s">
        <v>1213</v>
      </c>
      <c r="P175" s="8"/>
      <c r="Q175" s="65" t="s">
        <v>334</v>
      </c>
      <c r="R175" s="65" t="s">
        <v>1161</v>
      </c>
      <c r="S175" s="65" t="s">
        <v>336</v>
      </c>
      <c r="T175" s="8"/>
      <c r="U175" s="8"/>
      <c r="V175" s="8"/>
      <c r="W175" s="8"/>
      <c r="X175" s="8"/>
      <c r="Y175" s="8"/>
    </row>
    <row r="176" spans="1:25" x14ac:dyDescent="0.2">
      <c r="A176" s="8"/>
      <c r="B176" s="8"/>
      <c r="C176" s="8"/>
      <c r="D176" s="8"/>
      <c r="E176" s="8"/>
      <c r="F176" s="8"/>
      <c r="G176" s="8"/>
      <c r="H176" s="8"/>
      <c r="I176" s="8"/>
      <c r="J176" s="8"/>
      <c r="K176" s="8"/>
      <c r="L176" s="8"/>
      <c r="M176" s="8"/>
      <c r="N176" s="8" t="s">
        <v>1508</v>
      </c>
      <c r="O176" s="8"/>
      <c r="P176" s="8"/>
      <c r="Q176" s="65" t="s">
        <v>334</v>
      </c>
      <c r="R176" s="65" t="s">
        <v>337</v>
      </c>
      <c r="S176" s="65" t="s">
        <v>1159</v>
      </c>
      <c r="T176" s="8"/>
      <c r="U176" s="8"/>
      <c r="V176" s="8"/>
      <c r="W176" s="8"/>
      <c r="X176" s="8"/>
      <c r="Y176" s="8"/>
    </row>
    <row r="177" spans="1:25" x14ac:dyDescent="0.2">
      <c r="A177" s="8"/>
      <c r="B177" s="8"/>
      <c r="C177" s="8"/>
      <c r="D177" s="8"/>
      <c r="E177" s="8"/>
      <c r="F177" s="8"/>
      <c r="G177" s="8"/>
      <c r="H177" s="8"/>
      <c r="I177" s="8"/>
      <c r="J177" s="8"/>
      <c r="K177" s="8"/>
      <c r="L177" s="8"/>
      <c r="M177" s="8"/>
      <c r="N177" s="8" t="s">
        <v>1509</v>
      </c>
      <c r="O177" s="8"/>
      <c r="P177" s="8"/>
      <c r="Q177" s="65" t="s">
        <v>334</v>
      </c>
      <c r="R177" s="65" t="s">
        <v>338</v>
      </c>
      <c r="S177" s="65" t="s">
        <v>1160</v>
      </c>
      <c r="T177" s="8"/>
      <c r="U177" s="8"/>
      <c r="V177" s="8"/>
      <c r="W177" s="8"/>
      <c r="X177" s="8"/>
      <c r="Y177" s="8"/>
    </row>
    <row r="178" spans="1:25" x14ac:dyDescent="0.2">
      <c r="A178" s="8"/>
      <c r="B178" s="8"/>
      <c r="C178" s="8"/>
      <c r="D178" s="8"/>
      <c r="E178" s="8"/>
      <c r="F178" s="8"/>
      <c r="G178" s="8"/>
      <c r="H178" s="8"/>
      <c r="I178" s="8"/>
      <c r="J178" s="8"/>
      <c r="K178" s="8"/>
      <c r="L178" s="8"/>
      <c r="M178" s="8"/>
      <c r="N178" s="8" t="s">
        <v>1510</v>
      </c>
      <c r="O178" s="8"/>
      <c r="P178" s="8"/>
      <c r="Q178" s="65" t="s">
        <v>334</v>
      </c>
      <c r="R178" s="65" t="s">
        <v>1162</v>
      </c>
      <c r="S178" s="65" t="s">
        <v>1019</v>
      </c>
      <c r="T178" s="8"/>
      <c r="U178" s="8"/>
      <c r="V178" s="8"/>
      <c r="W178" s="8"/>
      <c r="X178" s="8"/>
      <c r="Y178" s="8"/>
    </row>
    <row r="179" spans="1:25" x14ac:dyDescent="0.2">
      <c r="A179" s="8"/>
      <c r="B179" s="8"/>
      <c r="C179" s="8"/>
      <c r="D179" s="8"/>
      <c r="E179" s="8"/>
      <c r="F179" s="8"/>
      <c r="G179" s="8"/>
      <c r="H179" s="8"/>
      <c r="I179" s="8"/>
      <c r="J179" s="8"/>
      <c r="K179" s="8"/>
      <c r="L179" s="8"/>
      <c r="M179" s="8"/>
      <c r="N179" s="8" t="s">
        <v>1511</v>
      </c>
      <c r="O179" s="8"/>
      <c r="P179" s="8"/>
      <c r="Q179" s="65" t="s">
        <v>334</v>
      </c>
      <c r="R179" s="65" t="s">
        <v>1164</v>
      </c>
      <c r="S179" s="65" t="s">
        <v>1165</v>
      </c>
      <c r="T179" s="8"/>
      <c r="U179" s="8"/>
      <c r="V179" s="8"/>
      <c r="W179" s="8"/>
      <c r="X179" s="8"/>
      <c r="Y179" s="8"/>
    </row>
    <row r="180" spans="1:25" x14ac:dyDescent="0.2">
      <c r="A180" s="8"/>
      <c r="B180" s="8"/>
      <c r="C180" s="8"/>
      <c r="D180" s="8"/>
      <c r="E180" s="8"/>
      <c r="F180" s="8"/>
      <c r="G180" s="8"/>
      <c r="H180" s="8"/>
      <c r="I180" s="8"/>
      <c r="J180" s="8"/>
      <c r="K180" s="8"/>
      <c r="L180" s="8"/>
      <c r="M180" s="8"/>
      <c r="N180" s="8" t="s">
        <v>1512</v>
      </c>
      <c r="O180" s="8"/>
      <c r="P180" s="8"/>
      <c r="Q180" s="65" t="s">
        <v>334</v>
      </c>
      <c r="R180" s="65" t="s">
        <v>339</v>
      </c>
      <c r="S180" s="65" t="s">
        <v>1358</v>
      </c>
      <c r="T180" s="8"/>
      <c r="U180" s="8"/>
      <c r="V180" s="8"/>
      <c r="W180" s="8"/>
      <c r="X180" s="8"/>
      <c r="Y180" s="8"/>
    </row>
    <row r="181" spans="1:25" x14ac:dyDescent="0.2">
      <c r="A181" s="8"/>
      <c r="B181" s="8"/>
      <c r="C181" s="8"/>
      <c r="D181" s="8"/>
      <c r="E181" s="8"/>
      <c r="F181" s="8"/>
      <c r="G181" s="8"/>
      <c r="H181" s="8"/>
      <c r="I181" s="8"/>
      <c r="J181" s="8"/>
      <c r="K181" s="8"/>
      <c r="L181" s="8"/>
      <c r="M181" s="8"/>
      <c r="N181" s="8" t="s">
        <v>1513</v>
      </c>
      <c r="O181" s="8"/>
      <c r="P181" s="8"/>
      <c r="Q181" s="65" t="s">
        <v>334</v>
      </c>
      <c r="R181" s="65" t="s">
        <v>1166</v>
      </c>
      <c r="S181" s="65" t="s">
        <v>340</v>
      </c>
      <c r="T181" s="8"/>
      <c r="U181" s="8"/>
      <c r="V181" s="8"/>
      <c r="W181" s="8"/>
      <c r="X181" s="8"/>
      <c r="Y181" s="8"/>
    </row>
    <row r="182" spans="1:25" x14ac:dyDescent="0.2">
      <c r="A182" s="8"/>
      <c r="B182" s="8"/>
      <c r="C182" s="8"/>
      <c r="D182" s="8"/>
      <c r="E182" s="8"/>
      <c r="F182" s="8"/>
      <c r="G182" s="8"/>
      <c r="H182" s="8"/>
      <c r="I182" s="8"/>
      <c r="J182" s="8"/>
      <c r="K182" s="8"/>
      <c r="L182" s="8"/>
      <c r="M182" s="8"/>
      <c r="N182" s="8" t="s">
        <v>1514</v>
      </c>
      <c r="O182" s="8" t="s">
        <v>1225</v>
      </c>
      <c r="P182" s="8"/>
      <c r="Q182" s="65" t="s">
        <v>341</v>
      </c>
      <c r="R182" s="65" t="s">
        <v>1359</v>
      </c>
      <c r="S182" s="65" t="s">
        <v>1315</v>
      </c>
      <c r="T182" s="8"/>
      <c r="U182" s="8"/>
      <c r="V182" s="8"/>
      <c r="W182" s="8"/>
      <c r="X182" s="8"/>
      <c r="Y182" s="8"/>
    </row>
    <row r="183" spans="1:25" x14ac:dyDescent="0.2">
      <c r="A183" s="8"/>
      <c r="B183" s="8"/>
      <c r="C183" s="8"/>
      <c r="D183" s="8"/>
      <c r="E183" s="8"/>
      <c r="F183" s="8"/>
      <c r="G183" s="8"/>
      <c r="H183" s="8"/>
      <c r="I183" s="8"/>
      <c r="J183" s="8"/>
      <c r="K183" s="8"/>
      <c r="L183" s="8"/>
      <c r="M183" s="8"/>
      <c r="N183" s="8" t="s">
        <v>1515</v>
      </c>
      <c r="O183" s="8"/>
      <c r="P183" s="8"/>
      <c r="Q183" s="65" t="s">
        <v>342</v>
      </c>
      <c r="R183" s="65" t="s">
        <v>343</v>
      </c>
      <c r="S183" s="65" t="s">
        <v>1315</v>
      </c>
      <c r="T183" s="8"/>
      <c r="U183" s="8"/>
      <c r="V183" s="8"/>
      <c r="W183" s="8"/>
      <c r="X183" s="8"/>
      <c r="Y183" s="8"/>
    </row>
    <row r="184" spans="1:25" x14ac:dyDescent="0.2">
      <c r="A184" s="8"/>
      <c r="B184" s="8"/>
      <c r="C184" s="8"/>
      <c r="D184" s="8"/>
      <c r="E184" s="8"/>
      <c r="F184" s="8"/>
      <c r="G184" s="8"/>
      <c r="H184" s="8"/>
      <c r="I184" s="8"/>
      <c r="J184" s="8"/>
      <c r="K184" s="8"/>
      <c r="L184" s="8"/>
      <c r="M184" s="8"/>
      <c r="N184" s="8" t="s">
        <v>1516</v>
      </c>
      <c r="O184" s="8"/>
      <c r="P184" s="8"/>
      <c r="Q184" s="65" t="s">
        <v>344</v>
      </c>
      <c r="R184" s="65" t="s">
        <v>345</v>
      </c>
      <c r="S184" s="65" t="s">
        <v>443</v>
      </c>
      <c r="T184" s="8"/>
      <c r="U184" s="8"/>
      <c r="V184" s="8"/>
      <c r="W184" s="8"/>
      <c r="X184" s="8"/>
      <c r="Y184" s="8"/>
    </row>
    <row r="185" spans="1:25" x14ac:dyDescent="0.2">
      <c r="A185" s="8"/>
      <c r="B185" s="8"/>
      <c r="C185" s="8"/>
      <c r="D185" s="8"/>
      <c r="E185" s="8"/>
      <c r="F185" s="8"/>
      <c r="G185" s="8"/>
      <c r="H185" s="8"/>
      <c r="I185" s="8"/>
      <c r="J185" s="8"/>
      <c r="K185" s="8"/>
      <c r="L185" s="8"/>
      <c r="M185" s="8"/>
      <c r="N185" s="8" t="s">
        <v>1517</v>
      </c>
      <c r="O185" s="8" t="s">
        <v>1518</v>
      </c>
      <c r="P185" s="8"/>
      <c r="Q185" s="65" t="s">
        <v>346</v>
      </c>
      <c r="R185" s="65" t="s">
        <v>347</v>
      </c>
      <c r="S185" s="65" t="s">
        <v>443</v>
      </c>
      <c r="T185" s="8"/>
      <c r="U185" s="8"/>
      <c r="V185" s="8"/>
      <c r="W185" s="8"/>
      <c r="X185" s="8"/>
      <c r="Y185" s="8"/>
    </row>
    <row r="186" spans="1:25" x14ac:dyDescent="0.2">
      <c r="A186" s="8"/>
      <c r="B186" s="8"/>
      <c r="C186" s="8"/>
      <c r="D186" s="8"/>
      <c r="E186" s="8"/>
      <c r="F186" s="8"/>
      <c r="G186" s="8"/>
      <c r="H186" s="8"/>
      <c r="I186" s="8"/>
      <c r="J186" s="8"/>
      <c r="K186" s="8"/>
      <c r="L186" s="8"/>
      <c r="M186" s="8"/>
      <c r="N186" s="8" t="s">
        <v>1519</v>
      </c>
      <c r="O186" s="8"/>
      <c r="P186" s="8"/>
      <c r="Q186" s="65" t="s">
        <v>348</v>
      </c>
      <c r="R186" s="65" t="s">
        <v>1170</v>
      </c>
      <c r="S186" s="65" t="s">
        <v>1171</v>
      </c>
      <c r="T186" s="8"/>
      <c r="U186" s="8"/>
      <c r="V186" s="8"/>
      <c r="W186" s="8"/>
      <c r="X186" s="8"/>
      <c r="Y186" s="8"/>
    </row>
    <row r="187" spans="1:25" x14ac:dyDescent="0.2">
      <c r="A187" s="8"/>
      <c r="B187" s="8"/>
      <c r="C187" s="8"/>
      <c r="D187" s="8"/>
      <c r="E187" s="8"/>
      <c r="F187" s="8"/>
      <c r="G187" s="8"/>
      <c r="H187" s="8"/>
      <c r="I187" s="8"/>
      <c r="J187" s="8"/>
      <c r="K187" s="8"/>
      <c r="L187" s="8"/>
      <c r="M187" s="8"/>
      <c r="N187" s="8" t="s">
        <v>1520</v>
      </c>
      <c r="O187" s="8"/>
      <c r="P187" s="8"/>
      <c r="Q187" s="65" t="s">
        <v>348</v>
      </c>
      <c r="R187" s="65" t="s">
        <v>1168</v>
      </c>
      <c r="S187" s="65" t="s">
        <v>1169</v>
      </c>
      <c r="T187" s="8"/>
      <c r="U187" s="8"/>
      <c r="V187" s="8"/>
      <c r="W187" s="8"/>
      <c r="X187" s="8"/>
      <c r="Y187" s="8"/>
    </row>
    <row r="188" spans="1:25" x14ac:dyDescent="0.2">
      <c r="A188" s="8"/>
      <c r="B188" s="8"/>
      <c r="C188" s="8"/>
      <c r="D188" s="8"/>
      <c r="E188" s="8"/>
      <c r="F188" s="8"/>
      <c r="G188" s="8"/>
      <c r="H188" s="8"/>
      <c r="I188" s="8"/>
      <c r="J188" s="8"/>
      <c r="K188" s="8"/>
      <c r="L188" s="8"/>
      <c r="M188" s="8"/>
      <c r="N188" s="8" t="s">
        <v>1521</v>
      </c>
      <c r="O188" s="8" t="s">
        <v>1226</v>
      </c>
      <c r="P188" s="8"/>
      <c r="Q188" s="65" t="s">
        <v>349</v>
      </c>
      <c r="R188" s="65" t="s">
        <v>350</v>
      </c>
      <c r="S188" s="65" t="s">
        <v>1360</v>
      </c>
      <c r="T188" s="8"/>
      <c r="U188" s="8"/>
      <c r="V188" s="8"/>
      <c r="W188" s="8"/>
      <c r="X188" s="8"/>
      <c r="Y188" s="8"/>
    </row>
    <row r="189" spans="1:25" x14ac:dyDescent="0.2">
      <c r="A189" s="8"/>
      <c r="B189" s="8"/>
      <c r="C189" s="8"/>
      <c r="D189" s="8"/>
      <c r="E189" s="8"/>
      <c r="F189" s="8"/>
      <c r="G189" s="8"/>
      <c r="H189" s="8"/>
      <c r="I189" s="8"/>
      <c r="J189" s="8"/>
      <c r="K189" s="8"/>
      <c r="L189" s="8"/>
      <c r="M189" s="8"/>
      <c r="N189" s="8" t="s">
        <v>1522</v>
      </c>
      <c r="O189" s="8" t="s">
        <v>1381</v>
      </c>
      <c r="P189" s="8"/>
      <c r="Q189" s="65" t="s">
        <v>349</v>
      </c>
      <c r="R189" s="65" t="s">
        <v>351</v>
      </c>
      <c r="S189" s="65" t="s">
        <v>1175</v>
      </c>
      <c r="T189" s="8"/>
      <c r="U189" s="8"/>
      <c r="V189" s="8"/>
      <c r="W189" s="8"/>
      <c r="X189" s="8"/>
      <c r="Y189" s="8"/>
    </row>
    <row r="190" spans="1:25" x14ac:dyDescent="0.2">
      <c r="A190" s="8"/>
      <c r="B190" s="8"/>
      <c r="C190" s="8"/>
      <c r="D190" s="8"/>
      <c r="E190" s="8"/>
      <c r="F190" s="8"/>
      <c r="G190" s="8"/>
      <c r="H190" s="8"/>
      <c r="I190" s="8"/>
      <c r="J190" s="8"/>
      <c r="K190" s="8"/>
      <c r="L190" s="8"/>
      <c r="M190" s="8"/>
      <c r="N190" s="8" t="s">
        <v>1523</v>
      </c>
      <c r="O190" s="8"/>
      <c r="P190" s="8"/>
      <c r="Q190" s="65" t="s">
        <v>349</v>
      </c>
      <c r="R190" s="65" t="s">
        <v>1178</v>
      </c>
      <c r="S190" s="65" t="s">
        <v>1026</v>
      </c>
      <c r="T190" s="8"/>
      <c r="U190" s="8"/>
      <c r="V190" s="8"/>
      <c r="W190" s="8"/>
      <c r="X190" s="8"/>
      <c r="Y190" s="8"/>
    </row>
    <row r="191" spans="1:25" x14ac:dyDescent="0.2">
      <c r="A191" s="8"/>
      <c r="B191" s="8"/>
      <c r="C191" s="8"/>
      <c r="D191" s="8"/>
      <c r="E191" s="8"/>
      <c r="F191" s="8"/>
      <c r="G191" s="8"/>
      <c r="H191" s="8"/>
      <c r="I191" s="8"/>
      <c r="J191" s="8"/>
      <c r="K191" s="8"/>
      <c r="L191" s="8"/>
      <c r="M191" s="8"/>
      <c r="N191" s="8" t="s">
        <v>1524</v>
      </c>
      <c r="O191" s="8"/>
      <c r="P191" s="8"/>
      <c r="Q191" s="65" t="s">
        <v>349</v>
      </c>
      <c r="R191" s="65" t="s">
        <v>1174</v>
      </c>
      <c r="S191" s="65" t="s">
        <v>1062</v>
      </c>
      <c r="T191" s="8"/>
      <c r="U191" s="8"/>
      <c r="V191" s="8"/>
      <c r="W191" s="8"/>
      <c r="X191" s="8"/>
      <c r="Y191" s="8"/>
    </row>
    <row r="192" spans="1:25" x14ac:dyDescent="0.2">
      <c r="A192" s="8"/>
      <c r="B192" s="8"/>
      <c r="C192" s="8"/>
      <c r="D192" s="8"/>
      <c r="E192" s="8"/>
      <c r="F192" s="8"/>
      <c r="G192" s="8"/>
      <c r="H192" s="8"/>
      <c r="I192" s="8"/>
      <c r="J192" s="8"/>
      <c r="K192" s="8"/>
      <c r="L192" s="8"/>
      <c r="M192" s="8"/>
      <c r="N192" s="8" t="s">
        <v>1525</v>
      </c>
      <c r="O192" s="8"/>
      <c r="P192" s="8"/>
      <c r="Q192" s="65" t="s">
        <v>349</v>
      </c>
      <c r="R192" s="65" t="s">
        <v>1176</v>
      </c>
      <c r="S192" s="65" t="s">
        <v>1177</v>
      </c>
      <c r="T192" s="8"/>
      <c r="U192" s="8"/>
      <c r="V192" s="8"/>
      <c r="W192" s="8"/>
      <c r="X192" s="8"/>
      <c r="Y192" s="8"/>
    </row>
    <row r="193" spans="1:25" x14ac:dyDescent="0.2">
      <c r="A193" s="8"/>
      <c r="B193" s="8"/>
      <c r="C193" s="8"/>
      <c r="D193" s="8"/>
      <c r="E193" s="8"/>
      <c r="F193" s="8"/>
      <c r="G193" s="8"/>
      <c r="H193" s="8"/>
      <c r="I193" s="8"/>
      <c r="J193" s="8"/>
      <c r="K193" s="8"/>
      <c r="L193" s="8"/>
      <c r="M193" s="8"/>
      <c r="N193" s="8" t="s">
        <v>1526</v>
      </c>
      <c r="O193" s="8" t="s">
        <v>410</v>
      </c>
      <c r="P193" s="8"/>
      <c r="Q193" s="65" t="s">
        <v>349</v>
      </c>
      <c r="R193" s="65" t="s">
        <v>1172</v>
      </c>
      <c r="S193" s="65" t="s">
        <v>1173</v>
      </c>
      <c r="T193" s="8"/>
      <c r="U193" s="8"/>
      <c r="V193" s="8"/>
      <c r="W193" s="8"/>
      <c r="X193" s="8"/>
      <c r="Y193" s="8"/>
    </row>
    <row r="194" spans="1:25" x14ac:dyDescent="0.2">
      <c r="A194" s="8"/>
      <c r="B194" s="8"/>
      <c r="C194" s="8"/>
      <c r="D194" s="8"/>
      <c r="E194" s="8"/>
      <c r="F194" s="8"/>
      <c r="G194" s="8"/>
      <c r="H194" s="8"/>
      <c r="I194" s="8"/>
      <c r="J194" s="8"/>
      <c r="K194" s="8"/>
      <c r="L194" s="8"/>
      <c r="M194" s="8"/>
      <c r="N194" s="8" t="s">
        <v>1527</v>
      </c>
      <c r="O194" s="8"/>
      <c r="P194" s="8"/>
      <c r="Q194" s="65" t="s">
        <v>485</v>
      </c>
      <c r="R194" s="65" t="s">
        <v>1172</v>
      </c>
      <c r="S194" s="65" t="s">
        <v>1173</v>
      </c>
      <c r="T194" s="8"/>
      <c r="U194" s="8"/>
      <c r="V194" s="8"/>
      <c r="W194" s="8"/>
      <c r="X194" s="8"/>
      <c r="Y194" s="8"/>
    </row>
    <row r="195" spans="1:25" x14ac:dyDescent="0.2">
      <c r="A195" s="8"/>
      <c r="B195" s="8"/>
      <c r="C195" s="8"/>
      <c r="D195" s="8"/>
      <c r="E195" s="8"/>
      <c r="F195" s="8"/>
      <c r="G195" s="8"/>
      <c r="H195" s="8"/>
      <c r="I195" s="8"/>
      <c r="J195" s="8"/>
      <c r="K195" s="8"/>
      <c r="L195" s="8"/>
      <c r="M195" s="8"/>
      <c r="N195" s="8" t="s">
        <v>1528</v>
      </c>
      <c r="O195" s="8" t="s">
        <v>1220</v>
      </c>
      <c r="P195" s="8"/>
      <c r="Q195" s="65" t="s">
        <v>352</v>
      </c>
      <c r="R195" s="65" t="s">
        <v>1361</v>
      </c>
      <c r="S195" s="65" t="s">
        <v>1362</v>
      </c>
      <c r="T195" s="8"/>
      <c r="U195" s="8"/>
      <c r="V195" s="8"/>
      <c r="W195" s="8"/>
      <c r="X195" s="8"/>
      <c r="Y195" s="8"/>
    </row>
    <row r="196" spans="1:25" x14ac:dyDescent="0.2">
      <c r="A196" s="8"/>
      <c r="B196" s="8"/>
      <c r="C196" s="8"/>
      <c r="D196" s="8"/>
      <c r="E196" s="8"/>
      <c r="F196" s="8"/>
      <c r="G196" s="8"/>
      <c r="H196" s="8"/>
      <c r="I196" s="8"/>
      <c r="J196" s="8"/>
      <c r="K196" s="8"/>
      <c r="L196" s="8"/>
      <c r="M196" s="8"/>
      <c r="N196" s="8" t="s">
        <v>1529</v>
      </c>
      <c r="O196" s="8"/>
      <c r="P196" s="8"/>
      <c r="Q196" s="65" t="s">
        <v>353</v>
      </c>
      <c r="R196" s="65" t="s">
        <v>354</v>
      </c>
      <c r="S196" s="65" t="s">
        <v>443</v>
      </c>
      <c r="T196" s="8"/>
      <c r="U196" s="8"/>
      <c r="V196" s="8"/>
      <c r="W196" s="8"/>
      <c r="X196" s="8"/>
      <c r="Y196" s="8"/>
    </row>
    <row r="197" spans="1:25" x14ac:dyDescent="0.2">
      <c r="A197" s="8"/>
      <c r="B197" s="8"/>
      <c r="C197" s="8"/>
      <c r="D197" s="8"/>
      <c r="E197" s="8"/>
      <c r="F197" s="8"/>
      <c r="G197" s="8"/>
      <c r="H197" s="8"/>
      <c r="I197" s="8"/>
      <c r="J197" s="8"/>
      <c r="K197" s="8"/>
      <c r="L197" s="8"/>
      <c r="M197" s="8"/>
      <c r="N197" s="8" t="s">
        <v>1530</v>
      </c>
      <c r="O197" s="8"/>
      <c r="P197" s="8"/>
      <c r="Q197" s="65" t="s">
        <v>353</v>
      </c>
      <c r="R197" s="65" t="s">
        <v>1179</v>
      </c>
      <c r="S197" s="65" t="s">
        <v>1180</v>
      </c>
      <c r="T197" s="8"/>
      <c r="U197" s="8"/>
      <c r="V197" s="8"/>
      <c r="W197" s="8"/>
      <c r="X197" s="8"/>
      <c r="Y197" s="8"/>
    </row>
    <row r="198" spans="1:25" x14ac:dyDescent="0.2">
      <c r="A198" s="8"/>
      <c r="B198" s="8"/>
      <c r="C198" s="8"/>
      <c r="D198" s="8"/>
      <c r="E198" s="8"/>
      <c r="F198" s="8"/>
      <c r="G198" s="8"/>
      <c r="H198" s="8"/>
      <c r="I198" s="8"/>
      <c r="J198" s="8"/>
      <c r="K198" s="8"/>
      <c r="L198" s="8"/>
      <c r="M198" s="8"/>
      <c r="N198" s="8" t="s">
        <v>1531</v>
      </c>
      <c r="O198" s="8"/>
      <c r="P198" s="8"/>
      <c r="Q198" s="65" t="s">
        <v>355</v>
      </c>
      <c r="R198" s="65" t="s">
        <v>356</v>
      </c>
      <c r="S198" s="65" t="s">
        <v>1167</v>
      </c>
      <c r="T198" s="8"/>
      <c r="U198" s="8"/>
      <c r="V198" s="8"/>
      <c r="W198" s="8"/>
      <c r="X198" s="8"/>
      <c r="Y198" s="8"/>
    </row>
    <row r="199" spans="1:25" x14ac:dyDescent="0.2">
      <c r="A199" s="8"/>
      <c r="B199" s="8"/>
      <c r="C199" s="8"/>
      <c r="D199" s="8"/>
      <c r="E199" s="8"/>
      <c r="F199" s="8"/>
      <c r="G199" s="8"/>
      <c r="H199" s="8"/>
      <c r="I199" s="8"/>
      <c r="J199" s="8"/>
      <c r="K199" s="8"/>
      <c r="L199" s="8"/>
      <c r="M199" s="8"/>
      <c r="N199" s="8" t="s">
        <v>1532</v>
      </c>
      <c r="O199" s="8"/>
      <c r="P199" s="8"/>
      <c r="Q199" s="65" t="s">
        <v>355</v>
      </c>
      <c r="R199" s="65" t="s">
        <v>357</v>
      </c>
      <c r="S199" s="65" t="s">
        <v>1181</v>
      </c>
      <c r="T199" s="8"/>
      <c r="U199" s="8"/>
      <c r="V199" s="8"/>
      <c r="W199" s="8"/>
      <c r="X199" s="8"/>
      <c r="Y199" s="8"/>
    </row>
    <row r="200" spans="1:25" x14ac:dyDescent="0.2">
      <c r="A200" s="8"/>
      <c r="B200" s="8"/>
      <c r="C200" s="8"/>
      <c r="D200" s="8"/>
      <c r="E200" s="8"/>
      <c r="F200" s="8"/>
      <c r="G200" s="8"/>
      <c r="H200" s="8"/>
      <c r="I200" s="8"/>
      <c r="J200" s="8"/>
      <c r="K200" s="8"/>
      <c r="L200" s="8"/>
      <c r="M200" s="8"/>
      <c r="N200" s="8" t="s">
        <v>1533</v>
      </c>
      <c r="O200" s="8" t="s">
        <v>399</v>
      </c>
      <c r="P200" s="8"/>
      <c r="Q200" s="65" t="s">
        <v>355</v>
      </c>
      <c r="R200" s="65" t="s">
        <v>358</v>
      </c>
      <c r="S200" s="65" t="s">
        <v>359</v>
      </c>
      <c r="T200" s="8"/>
      <c r="U200" s="8"/>
      <c r="V200" s="8"/>
      <c r="W200" s="8"/>
      <c r="X200" s="8"/>
      <c r="Y200" s="8"/>
    </row>
    <row r="201" spans="1:25" x14ac:dyDescent="0.2">
      <c r="A201" s="8"/>
      <c r="B201" s="8"/>
      <c r="C201" s="8"/>
      <c r="D201" s="8"/>
      <c r="E201" s="8"/>
      <c r="F201" s="8"/>
      <c r="G201" s="8"/>
      <c r="H201" s="8"/>
      <c r="I201" s="8"/>
      <c r="J201" s="8"/>
      <c r="K201" s="8"/>
      <c r="L201" s="8"/>
      <c r="M201" s="8"/>
      <c r="N201" s="8" t="s">
        <v>1534</v>
      </c>
      <c r="O201" s="8"/>
      <c r="P201" s="8"/>
      <c r="Q201" s="65" t="s">
        <v>355</v>
      </c>
      <c r="R201" s="65" t="s">
        <v>1363</v>
      </c>
      <c r="S201" s="65" t="s">
        <v>1315</v>
      </c>
      <c r="T201" s="8"/>
      <c r="U201" s="8"/>
      <c r="V201" s="8"/>
      <c r="W201" s="8"/>
      <c r="X201" s="8"/>
      <c r="Y201" s="8"/>
    </row>
    <row r="202" spans="1:25" x14ac:dyDescent="0.2">
      <c r="A202" s="8"/>
      <c r="B202" s="8"/>
      <c r="C202" s="8"/>
      <c r="D202" s="8"/>
      <c r="E202" s="8"/>
      <c r="F202" s="8"/>
      <c r="G202" s="8"/>
      <c r="H202" s="8"/>
      <c r="I202" s="8"/>
      <c r="J202" s="8"/>
      <c r="K202" s="8"/>
      <c r="L202" s="8"/>
      <c r="M202" s="8"/>
      <c r="N202" s="8" t="s">
        <v>195</v>
      </c>
      <c r="O202" s="8" t="s">
        <v>355</v>
      </c>
      <c r="P202" s="8"/>
      <c r="Q202" s="65" t="s">
        <v>355</v>
      </c>
      <c r="R202" s="65" t="s">
        <v>360</v>
      </c>
      <c r="S202" s="65" t="s">
        <v>1364</v>
      </c>
      <c r="T202" s="8"/>
      <c r="U202" s="8"/>
      <c r="V202" s="8"/>
      <c r="W202" s="8"/>
      <c r="X202" s="8"/>
      <c r="Y202" s="8"/>
    </row>
    <row r="203" spans="1:25" x14ac:dyDescent="0.2">
      <c r="A203" s="8"/>
      <c r="B203" s="8"/>
      <c r="C203" s="8"/>
      <c r="D203" s="8"/>
      <c r="E203" s="8"/>
      <c r="F203" s="8"/>
      <c r="G203" s="8"/>
      <c r="H203" s="8"/>
      <c r="I203" s="8"/>
      <c r="J203" s="8"/>
      <c r="K203" s="8"/>
      <c r="L203" s="8"/>
      <c r="M203" s="8"/>
      <c r="N203" s="8" t="s">
        <v>1535</v>
      </c>
      <c r="O203" s="8" t="s">
        <v>449</v>
      </c>
      <c r="P203" s="8"/>
      <c r="Q203" s="65" t="s">
        <v>361</v>
      </c>
      <c r="R203" s="65" t="s">
        <v>1182</v>
      </c>
      <c r="S203" s="65" t="s">
        <v>1019</v>
      </c>
      <c r="T203" s="8"/>
      <c r="U203" s="8"/>
      <c r="V203" s="8"/>
      <c r="W203" s="8"/>
      <c r="X203" s="8"/>
      <c r="Y203" s="8"/>
    </row>
    <row r="204" spans="1:25" x14ac:dyDescent="0.2">
      <c r="A204" s="8"/>
      <c r="B204" s="8"/>
      <c r="C204" s="8"/>
      <c r="D204" s="8"/>
      <c r="E204" s="8"/>
      <c r="F204" s="8"/>
      <c r="G204" s="8"/>
      <c r="H204" s="8"/>
      <c r="I204" s="8"/>
      <c r="J204" s="8"/>
      <c r="K204" s="8"/>
      <c r="L204" s="8"/>
      <c r="M204" s="8"/>
      <c r="N204" s="8" t="s">
        <v>267</v>
      </c>
      <c r="O204" s="8" t="s">
        <v>449</v>
      </c>
      <c r="P204" s="8"/>
      <c r="Q204" s="65" t="s">
        <v>362</v>
      </c>
      <c r="R204" s="65" t="s">
        <v>1184</v>
      </c>
      <c r="S204" s="65" t="s">
        <v>1026</v>
      </c>
      <c r="T204" s="8"/>
      <c r="U204" s="8"/>
      <c r="V204" s="8"/>
      <c r="W204" s="8"/>
      <c r="X204" s="8"/>
      <c r="Y204" s="8"/>
    </row>
    <row r="205" spans="1:25" x14ac:dyDescent="0.2">
      <c r="A205" s="8"/>
      <c r="B205" s="8"/>
      <c r="C205" s="8"/>
      <c r="D205" s="8"/>
      <c r="E205" s="8"/>
      <c r="F205" s="8"/>
      <c r="G205" s="8"/>
      <c r="H205" s="8"/>
      <c r="I205" s="8"/>
      <c r="J205" s="8"/>
      <c r="K205" s="8"/>
      <c r="L205" s="8"/>
      <c r="M205" s="8"/>
      <c r="N205" s="8"/>
      <c r="O205" s="8"/>
      <c r="P205" s="8"/>
      <c r="Q205" s="65" t="s">
        <v>362</v>
      </c>
      <c r="R205" s="65" t="s">
        <v>363</v>
      </c>
      <c r="S205" s="65" t="s">
        <v>1183</v>
      </c>
      <c r="T205" s="8"/>
      <c r="U205" s="8"/>
      <c r="V205" s="8"/>
      <c r="W205" s="8"/>
      <c r="X205" s="8"/>
      <c r="Y205" s="8"/>
    </row>
    <row r="206" spans="1:25" x14ac:dyDescent="0.2">
      <c r="A206" s="8"/>
      <c r="B206" s="8"/>
      <c r="C206" s="8"/>
      <c r="D206" s="8"/>
      <c r="E206" s="8"/>
      <c r="F206" s="8"/>
      <c r="G206" s="8"/>
      <c r="H206" s="8"/>
      <c r="I206" s="8"/>
      <c r="J206" s="8"/>
      <c r="K206" s="8"/>
      <c r="L206" s="8"/>
      <c r="M206" s="8"/>
      <c r="N206" s="8"/>
      <c r="O206" s="8"/>
      <c r="P206" s="8"/>
      <c r="Q206" s="65" t="s">
        <v>362</v>
      </c>
      <c r="R206" s="65" t="s">
        <v>1185</v>
      </c>
      <c r="S206" s="65" t="s">
        <v>1026</v>
      </c>
      <c r="T206" s="8"/>
      <c r="U206" s="8"/>
      <c r="V206" s="8"/>
      <c r="W206" s="8"/>
      <c r="X206" s="8"/>
      <c r="Y206" s="8"/>
    </row>
    <row r="207" spans="1:25" x14ac:dyDescent="0.2">
      <c r="A207" s="8"/>
      <c r="B207" s="8"/>
      <c r="C207" s="8"/>
      <c r="D207" s="8"/>
      <c r="E207" s="8"/>
      <c r="F207" s="8"/>
      <c r="G207" s="8"/>
      <c r="H207" s="8"/>
      <c r="I207" s="8"/>
      <c r="J207" s="8"/>
      <c r="K207" s="8"/>
      <c r="L207" s="8"/>
      <c r="M207" s="8"/>
      <c r="N207" s="8"/>
      <c r="O207" s="8"/>
      <c r="P207" s="8"/>
      <c r="Q207" s="65" t="s">
        <v>364</v>
      </c>
      <c r="R207" s="65" t="s">
        <v>365</v>
      </c>
      <c r="S207" s="65" t="s">
        <v>1315</v>
      </c>
      <c r="T207" s="8"/>
      <c r="U207" s="8"/>
      <c r="V207" s="8"/>
      <c r="W207" s="8"/>
      <c r="X207" s="8"/>
      <c r="Y207" s="8"/>
    </row>
    <row r="208" spans="1:25" x14ac:dyDescent="0.2">
      <c r="A208" s="8"/>
      <c r="B208" s="8"/>
      <c r="C208" s="8"/>
      <c r="D208" s="8"/>
      <c r="E208" s="8"/>
      <c r="F208" s="8"/>
      <c r="G208" s="8"/>
      <c r="H208" s="8"/>
      <c r="I208" s="8"/>
      <c r="J208" s="8"/>
      <c r="K208" s="8"/>
      <c r="L208" s="8"/>
      <c r="M208" s="8"/>
      <c r="N208" s="8"/>
      <c r="O208" s="8"/>
      <c r="P208" s="8"/>
      <c r="Q208" s="65" t="s">
        <v>364</v>
      </c>
      <c r="R208" s="65" t="s">
        <v>366</v>
      </c>
      <c r="S208" s="65" t="s">
        <v>1019</v>
      </c>
      <c r="T208" s="8"/>
      <c r="U208" s="8"/>
      <c r="V208" s="8"/>
      <c r="W208" s="8"/>
      <c r="X208" s="8"/>
      <c r="Y208" s="8"/>
    </row>
    <row r="209" spans="1:25" x14ac:dyDescent="0.2">
      <c r="A209" s="8"/>
      <c r="B209" s="8"/>
      <c r="C209" s="8"/>
      <c r="D209" s="8"/>
      <c r="E209" s="8"/>
      <c r="F209" s="8"/>
      <c r="G209" s="8"/>
      <c r="H209" s="8"/>
      <c r="I209" s="8"/>
      <c r="J209" s="8"/>
      <c r="K209" s="8"/>
      <c r="L209" s="8"/>
      <c r="M209" s="8"/>
      <c r="N209" s="8"/>
      <c r="O209" s="8"/>
      <c r="P209" s="8"/>
      <c r="Q209" s="65" t="s">
        <v>364</v>
      </c>
      <c r="R209" s="65" t="s">
        <v>1365</v>
      </c>
      <c r="S209" s="65" t="s">
        <v>1366</v>
      </c>
      <c r="T209" s="8"/>
      <c r="U209" s="8"/>
      <c r="V209" s="8"/>
      <c r="W209" s="8"/>
      <c r="X209" s="8"/>
      <c r="Y209" s="8"/>
    </row>
    <row r="210" spans="1:25" x14ac:dyDescent="0.2">
      <c r="A210" s="8"/>
      <c r="B210" s="8"/>
      <c r="C210" s="8"/>
      <c r="D210" s="8"/>
      <c r="E210" s="8"/>
      <c r="F210" s="8"/>
      <c r="G210" s="8"/>
      <c r="H210" s="8"/>
      <c r="I210" s="8"/>
      <c r="J210" s="8"/>
      <c r="K210" s="8"/>
      <c r="L210" s="8"/>
      <c r="M210" s="8"/>
      <c r="N210" s="8"/>
      <c r="O210" s="8"/>
      <c r="P210" s="8"/>
      <c r="Q210" s="65" t="s">
        <v>367</v>
      </c>
      <c r="R210" s="65" t="s">
        <v>367</v>
      </c>
      <c r="S210" s="65" t="s">
        <v>368</v>
      </c>
      <c r="T210" s="8"/>
      <c r="U210" s="8"/>
      <c r="V210" s="8"/>
      <c r="W210" s="8"/>
      <c r="X210" s="8"/>
      <c r="Y210" s="8"/>
    </row>
    <row r="211" spans="1:25" x14ac:dyDescent="0.2">
      <c r="A211" s="8"/>
      <c r="B211" s="8"/>
      <c r="C211" s="8"/>
      <c r="D211" s="8"/>
      <c r="E211" s="8"/>
      <c r="F211" s="8"/>
      <c r="G211" s="8"/>
      <c r="H211" s="8"/>
      <c r="I211" s="8"/>
      <c r="J211" s="8"/>
      <c r="K211" s="8"/>
      <c r="L211" s="8"/>
      <c r="M211" s="8"/>
      <c r="N211" s="8"/>
      <c r="O211" s="8"/>
      <c r="P211" s="8"/>
      <c r="Q211" s="65" t="s">
        <v>369</v>
      </c>
      <c r="R211" s="65" t="s">
        <v>1186</v>
      </c>
      <c r="S211" s="65" t="s">
        <v>443</v>
      </c>
      <c r="T211" s="8"/>
      <c r="U211" s="8"/>
      <c r="V211" s="8"/>
      <c r="W211" s="8"/>
      <c r="X211" s="8"/>
      <c r="Y211" s="8"/>
    </row>
    <row r="212" spans="1:25" x14ac:dyDescent="0.2">
      <c r="A212" s="8"/>
      <c r="B212" s="8"/>
      <c r="C212" s="8"/>
      <c r="D212" s="8"/>
      <c r="E212" s="8"/>
      <c r="F212" s="8"/>
      <c r="G212" s="8"/>
      <c r="H212" s="8"/>
      <c r="I212" s="8"/>
      <c r="J212" s="8"/>
      <c r="K212" s="8"/>
      <c r="L212" s="8"/>
      <c r="M212" s="8"/>
      <c r="N212" s="8"/>
      <c r="O212" s="8"/>
      <c r="P212" s="8"/>
      <c r="Q212" s="65" t="s">
        <v>370</v>
      </c>
      <c r="R212" s="65" t="s">
        <v>1367</v>
      </c>
      <c r="S212" s="65" t="s">
        <v>1343</v>
      </c>
      <c r="T212" s="8"/>
      <c r="U212" s="8"/>
      <c r="V212" s="8"/>
      <c r="W212" s="8"/>
      <c r="X212" s="8"/>
      <c r="Y212" s="8"/>
    </row>
    <row r="213" spans="1:25" x14ac:dyDescent="0.2">
      <c r="A213" s="8"/>
      <c r="B213" s="8"/>
      <c r="C213" s="8"/>
      <c r="D213" s="8"/>
      <c r="E213" s="8"/>
      <c r="F213" s="8"/>
      <c r="G213" s="8"/>
      <c r="H213" s="8"/>
      <c r="I213" s="8"/>
      <c r="J213" s="8"/>
      <c r="K213" s="8"/>
      <c r="L213" s="8"/>
      <c r="M213" s="8"/>
      <c r="N213" s="8"/>
      <c r="O213" s="8"/>
      <c r="P213" s="8"/>
      <c r="Q213" s="65" t="s">
        <v>370</v>
      </c>
      <c r="R213" s="65" t="s">
        <v>1187</v>
      </c>
      <c r="S213" s="65" t="s">
        <v>1032</v>
      </c>
      <c r="T213" s="8"/>
      <c r="U213" s="8"/>
      <c r="V213" s="8"/>
      <c r="W213" s="8"/>
      <c r="X213" s="8"/>
      <c r="Y213" s="8"/>
    </row>
    <row r="214" spans="1:25" x14ac:dyDescent="0.2">
      <c r="A214" s="8"/>
      <c r="B214" s="8"/>
      <c r="C214" s="8"/>
      <c r="D214" s="8"/>
      <c r="E214" s="8"/>
      <c r="F214" s="8"/>
      <c r="G214" s="8"/>
      <c r="H214" s="8"/>
      <c r="I214" s="8"/>
      <c r="J214" s="8"/>
      <c r="K214" s="8"/>
      <c r="L214" s="8"/>
      <c r="M214" s="8"/>
      <c r="N214" s="8"/>
      <c r="O214" s="8"/>
      <c r="P214" s="8"/>
      <c r="Q214" s="65" t="s">
        <v>370</v>
      </c>
      <c r="R214" s="65" t="s">
        <v>371</v>
      </c>
      <c r="S214" s="65" t="s">
        <v>1368</v>
      </c>
      <c r="T214" s="8"/>
      <c r="U214" s="8"/>
      <c r="V214" s="8"/>
      <c r="W214" s="8"/>
      <c r="X214" s="8"/>
      <c r="Y214" s="8"/>
    </row>
    <row r="215" spans="1:25" x14ac:dyDescent="0.2">
      <c r="A215" s="8"/>
      <c r="B215" s="8"/>
      <c r="C215" s="8"/>
      <c r="D215" s="8"/>
      <c r="E215" s="8"/>
      <c r="F215" s="8"/>
      <c r="G215" s="8"/>
      <c r="H215" s="8"/>
      <c r="I215" s="8"/>
      <c r="J215" s="8"/>
      <c r="K215" s="8"/>
      <c r="L215" s="8"/>
      <c r="M215" s="8"/>
      <c r="N215" s="8"/>
      <c r="O215" s="8"/>
      <c r="P215" s="8"/>
      <c r="Q215" s="65" t="s">
        <v>370</v>
      </c>
      <c r="R215" s="65" t="s">
        <v>372</v>
      </c>
      <c r="S215" s="65" t="s">
        <v>1369</v>
      </c>
      <c r="T215" s="8"/>
      <c r="U215" s="8"/>
      <c r="V215" s="8"/>
      <c r="W215" s="8"/>
      <c r="X215" s="8"/>
      <c r="Y215" s="8"/>
    </row>
    <row r="216" spans="1:25" x14ac:dyDescent="0.2">
      <c r="A216" s="8"/>
      <c r="B216" s="8"/>
      <c r="C216" s="8"/>
      <c r="D216" s="8"/>
      <c r="E216" s="8"/>
      <c r="F216" s="8"/>
      <c r="G216" s="8"/>
      <c r="H216" s="8"/>
      <c r="I216" s="8"/>
      <c r="J216" s="8"/>
      <c r="K216" s="8"/>
      <c r="L216" s="8"/>
      <c r="M216" s="8"/>
      <c r="N216" s="8"/>
      <c r="O216" s="8"/>
      <c r="P216" s="8"/>
      <c r="Q216" s="65" t="s">
        <v>370</v>
      </c>
      <c r="R216" s="65" t="s">
        <v>1370</v>
      </c>
      <c r="S216" s="65" t="s">
        <v>1371</v>
      </c>
      <c r="T216" s="8"/>
      <c r="U216" s="8"/>
      <c r="V216" s="8"/>
      <c r="W216" s="8"/>
      <c r="X216" s="8"/>
      <c r="Y216" s="8"/>
    </row>
    <row r="217" spans="1:25" x14ac:dyDescent="0.2">
      <c r="A217" s="8"/>
      <c r="B217" s="8"/>
      <c r="C217" s="8"/>
      <c r="D217" s="8"/>
      <c r="E217" s="8"/>
      <c r="F217" s="8"/>
      <c r="G217" s="8"/>
      <c r="H217" s="8"/>
      <c r="I217" s="8"/>
      <c r="J217" s="8"/>
      <c r="K217" s="8"/>
      <c r="L217" s="8"/>
      <c r="M217" s="8"/>
      <c r="N217" s="8"/>
      <c r="O217" s="8"/>
      <c r="P217" s="8"/>
      <c r="Q217" s="65" t="s">
        <v>370</v>
      </c>
      <c r="R217" s="65" t="s">
        <v>373</v>
      </c>
      <c r="S217" s="65" t="s">
        <v>1372</v>
      </c>
      <c r="T217" s="8"/>
      <c r="U217" s="8"/>
      <c r="V217" s="8"/>
      <c r="W217" s="8"/>
      <c r="X217" s="8"/>
      <c r="Y217" s="8"/>
    </row>
    <row r="218" spans="1:25" x14ac:dyDescent="0.2">
      <c r="A218" s="8"/>
      <c r="B218" s="8"/>
      <c r="C218" s="8"/>
      <c r="D218" s="8"/>
      <c r="E218" s="8"/>
      <c r="F218" s="8"/>
      <c r="G218" s="8"/>
      <c r="H218" s="8"/>
      <c r="I218" s="8"/>
      <c r="J218" s="8"/>
      <c r="K218" s="8"/>
      <c r="L218" s="8"/>
      <c r="M218" s="8"/>
      <c r="N218" s="8"/>
      <c r="O218" s="8"/>
      <c r="P218" s="8"/>
      <c r="Q218" s="65" t="s">
        <v>370</v>
      </c>
      <c r="R218" s="65" t="s">
        <v>1188</v>
      </c>
      <c r="S218" s="65" t="s">
        <v>1189</v>
      </c>
      <c r="T218" s="8"/>
      <c r="U218" s="8"/>
      <c r="V218" s="8"/>
      <c r="W218" s="8"/>
      <c r="X218" s="8"/>
      <c r="Y218" s="8"/>
    </row>
    <row r="219" spans="1:25" x14ac:dyDescent="0.2">
      <c r="A219" s="8"/>
      <c r="B219" s="8"/>
      <c r="C219" s="8"/>
      <c r="D219" s="8"/>
      <c r="E219" s="8"/>
      <c r="F219" s="8"/>
      <c r="G219" s="8"/>
      <c r="H219" s="8"/>
      <c r="I219" s="8"/>
      <c r="J219" s="8"/>
      <c r="K219" s="8"/>
      <c r="L219" s="8"/>
      <c r="M219" s="8"/>
      <c r="N219" s="8"/>
      <c r="O219" s="8"/>
      <c r="P219" s="8"/>
      <c r="Q219" s="65" t="s">
        <v>370</v>
      </c>
      <c r="R219" s="65" t="s">
        <v>374</v>
      </c>
      <c r="S219" s="65" t="s">
        <v>375</v>
      </c>
      <c r="T219" s="8"/>
      <c r="U219" s="8"/>
      <c r="V219" s="8"/>
      <c r="W219" s="8"/>
      <c r="X219" s="8"/>
      <c r="Y219" s="8"/>
    </row>
    <row r="220" spans="1:25" x14ac:dyDescent="0.2">
      <c r="A220" s="8"/>
      <c r="B220" s="8"/>
      <c r="C220" s="8"/>
      <c r="D220" s="8"/>
      <c r="E220" s="8"/>
      <c r="F220" s="8"/>
      <c r="G220" s="8"/>
      <c r="H220" s="8"/>
      <c r="I220" s="8"/>
      <c r="J220" s="8"/>
      <c r="K220" s="8"/>
      <c r="L220" s="8"/>
      <c r="M220" s="8"/>
      <c r="N220" s="8"/>
      <c r="O220" s="8"/>
      <c r="P220" s="8"/>
      <c r="Q220" s="65" t="s">
        <v>376</v>
      </c>
      <c r="R220" s="65" t="s">
        <v>1191</v>
      </c>
      <c r="S220" s="65" t="s">
        <v>1167</v>
      </c>
      <c r="T220" s="8"/>
      <c r="U220" s="8"/>
      <c r="V220" s="8"/>
      <c r="W220" s="8"/>
      <c r="X220" s="8"/>
      <c r="Y220" s="8"/>
    </row>
    <row r="221" spans="1:25" x14ac:dyDescent="0.2">
      <c r="A221" s="8"/>
      <c r="B221" s="8"/>
      <c r="C221" s="8"/>
      <c r="D221" s="8"/>
      <c r="E221" s="8"/>
      <c r="F221" s="8"/>
      <c r="G221" s="8"/>
      <c r="H221" s="8"/>
      <c r="I221" s="8"/>
      <c r="J221" s="8"/>
      <c r="K221" s="8"/>
      <c r="L221" s="8"/>
      <c r="M221" s="8"/>
      <c r="N221" s="8"/>
      <c r="O221" s="8"/>
      <c r="P221" s="8"/>
      <c r="Q221" s="65" t="s">
        <v>376</v>
      </c>
      <c r="R221" s="65" t="s">
        <v>1190</v>
      </c>
      <c r="S221" s="65" t="s">
        <v>443</v>
      </c>
      <c r="T221" s="8"/>
      <c r="U221" s="8"/>
      <c r="V221" s="8"/>
      <c r="W221" s="8"/>
      <c r="X221" s="8"/>
      <c r="Y221" s="8"/>
    </row>
    <row r="222" spans="1:25" x14ac:dyDescent="0.2">
      <c r="A222" s="8"/>
      <c r="B222" s="8"/>
      <c r="C222" s="8"/>
      <c r="D222" s="8"/>
      <c r="E222" s="8"/>
      <c r="F222" s="8"/>
      <c r="G222" s="8"/>
      <c r="H222" s="8"/>
      <c r="I222" s="8"/>
      <c r="J222" s="8"/>
      <c r="K222" s="8"/>
      <c r="L222" s="8"/>
      <c r="M222" s="8"/>
      <c r="N222" s="8"/>
      <c r="O222" s="8"/>
      <c r="P222" s="8"/>
      <c r="Q222" s="65" t="s">
        <v>1192</v>
      </c>
      <c r="R222" s="65" t="s">
        <v>1193</v>
      </c>
      <c r="S222" s="65" t="s">
        <v>1194</v>
      </c>
      <c r="T222" s="8"/>
      <c r="U222" s="8"/>
      <c r="V222" s="8"/>
      <c r="W222" s="8"/>
      <c r="X222" s="8"/>
      <c r="Y222" s="8"/>
    </row>
    <row r="223" spans="1:25" x14ac:dyDescent="0.2">
      <c r="A223" s="8"/>
      <c r="B223" s="8"/>
      <c r="C223" s="8"/>
      <c r="D223" s="8"/>
      <c r="E223" s="8"/>
      <c r="F223" s="8"/>
      <c r="G223" s="8"/>
      <c r="H223" s="8"/>
      <c r="I223" s="8"/>
      <c r="J223" s="8"/>
      <c r="K223" s="8"/>
      <c r="L223" s="8"/>
      <c r="M223" s="8"/>
      <c r="N223" s="8"/>
      <c r="O223" s="8"/>
      <c r="P223" s="8"/>
      <c r="Q223" s="65" t="s">
        <v>377</v>
      </c>
      <c r="R223" s="65" t="s">
        <v>378</v>
      </c>
      <c r="S223" s="65" t="s">
        <v>1315</v>
      </c>
      <c r="T223" s="8"/>
      <c r="U223" s="8"/>
      <c r="V223" s="8"/>
      <c r="W223" s="8"/>
      <c r="X223" s="8"/>
      <c r="Y223" s="8"/>
    </row>
    <row r="224" spans="1:25" x14ac:dyDescent="0.2">
      <c r="A224" s="8"/>
      <c r="B224" s="8"/>
      <c r="C224" s="8"/>
      <c r="D224" s="8"/>
      <c r="E224" s="8"/>
      <c r="F224" s="8"/>
      <c r="G224" s="8"/>
      <c r="H224" s="8"/>
      <c r="I224" s="8"/>
      <c r="J224" s="8"/>
      <c r="K224" s="8"/>
      <c r="L224" s="8"/>
      <c r="M224" s="8"/>
      <c r="N224" s="8"/>
      <c r="O224" s="8"/>
      <c r="P224" s="8"/>
      <c r="Q224" s="65" t="s">
        <v>379</v>
      </c>
      <c r="R224" s="65" t="s">
        <v>1196</v>
      </c>
      <c r="S224" s="65" t="s">
        <v>443</v>
      </c>
      <c r="T224" s="8"/>
      <c r="U224" s="8"/>
      <c r="V224" s="8"/>
      <c r="W224" s="8"/>
      <c r="X224" s="8"/>
      <c r="Y224" s="8"/>
    </row>
    <row r="225" spans="1:25" x14ac:dyDescent="0.2">
      <c r="A225" s="8"/>
      <c r="B225" s="8"/>
      <c r="C225" s="8"/>
      <c r="D225" s="8"/>
      <c r="E225" s="8"/>
      <c r="F225" s="8"/>
      <c r="G225" s="8"/>
      <c r="H225" s="8"/>
      <c r="I225" s="8"/>
      <c r="J225" s="8"/>
      <c r="K225" s="8"/>
      <c r="L225" s="8"/>
      <c r="M225" s="8"/>
      <c r="N225" s="8"/>
      <c r="O225" s="8"/>
      <c r="P225" s="8"/>
      <c r="Q225" s="65" t="s">
        <v>379</v>
      </c>
      <c r="R225" s="65" t="s">
        <v>380</v>
      </c>
      <c r="S225" s="65" t="s">
        <v>1195</v>
      </c>
      <c r="T225" s="8"/>
      <c r="U225" s="8"/>
      <c r="V225" s="8"/>
      <c r="W225" s="8"/>
      <c r="X225" s="8"/>
      <c r="Y225" s="8"/>
    </row>
    <row r="226" spans="1:25" x14ac:dyDescent="0.2">
      <c r="A226" s="8"/>
      <c r="B226" s="8"/>
      <c r="C226" s="8"/>
      <c r="D226" s="8"/>
      <c r="E226" s="8"/>
      <c r="F226" s="8"/>
      <c r="G226" s="8"/>
      <c r="H226" s="8"/>
      <c r="I226" s="8"/>
      <c r="J226" s="8"/>
      <c r="K226" s="8"/>
      <c r="L226" s="8"/>
      <c r="M226" s="8"/>
      <c r="N226" s="8"/>
      <c r="O226" s="8"/>
      <c r="P226" s="8"/>
      <c r="Q226" s="65" t="s">
        <v>379</v>
      </c>
      <c r="R226" s="65" t="s">
        <v>1373</v>
      </c>
      <c r="S226" s="209" t="s">
        <v>1315</v>
      </c>
      <c r="T226" s="8"/>
      <c r="U226" s="8"/>
      <c r="V226" s="8"/>
      <c r="W226" s="8"/>
      <c r="X226" s="8"/>
      <c r="Y226" s="8"/>
    </row>
    <row r="227" spans="1:25" x14ac:dyDescent="0.2">
      <c r="A227" s="8"/>
      <c r="B227" s="8"/>
      <c r="C227" s="8"/>
      <c r="D227" s="8"/>
      <c r="E227" s="8"/>
      <c r="F227" s="8"/>
      <c r="G227" s="8"/>
      <c r="H227" s="8"/>
      <c r="I227" s="8"/>
      <c r="J227" s="8"/>
      <c r="K227" s="8"/>
      <c r="L227" s="8"/>
      <c r="M227" s="8"/>
      <c r="N227" s="8"/>
      <c r="O227" s="8"/>
      <c r="P227" s="8"/>
      <c r="Q227" s="65" t="s">
        <v>379</v>
      </c>
      <c r="R227" s="65" t="s">
        <v>381</v>
      </c>
      <c r="S227" s="65" t="s">
        <v>1197</v>
      </c>
      <c r="T227" s="8"/>
      <c r="U227" s="8"/>
      <c r="V227" s="8"/>
      <c r="W227" s="8"/>
      <c r="X227" s="8"/>
      <c r="Y227" s="8"/>
    </row>
    <row r="228" spans="1:25" x14ac:dyDescent="0.2">
      <c r="A228" s="8"/>
      <c r="B228" s="8"/>
      <c r="C228" s="8"/>
      <c r="D228" s="8"/>
      <c r="E228" s="8"/>
      <c r="F228" s="8"/>
      <c r="G228" s="8"/>
      <c r="H228" s="8"/>
      <c r="I228" s="8"/>
      <c r="J228" s="8"/>
      <c r="K228" s="8"/>
      <c r="L228" s="8"/>
      <c r="M228" s="8"/>
      <c r="N228" s="8"/>
      <c r="O228" s="8"/>
      <c r="P228" s="8"/>
      <c r="Q228" s="65" t="s">
        <v>382</v>
      </c>
      <c r="R228" s="65" t="s">
        <v>383</v>
      </c>
      <c r="S228" s="65" t="s">
        <v>1315</v>
      </c>
      <c r="T228" s="8"/>
      <c r="U228" s="8"/>
      <c r="V228" s="8"/>
      <c r="W228" s="8"/>
      <c r="X228" s="8"/>
      <c r="Y228" s="8"/>
    </row>
    <row r="229" spans="1:25" x14ac:dyDescent="0.2">
      <c r="A229" s="8"/>
      <c r="B229" s="8"/>
      <c r="C229" s="8"/>
      <c r="D229" s="8"/>
      <c r="E229" s="8"/>
      <c r="F229" s="8"/>
      <c r="G229" s="8"/>
      <c r="H229" s="8"/>
      <c r="I229" s="8"/>
      <c r="J229" s="8"/>
      <c r="K229" s="8"/>
      <c r="L229" s="8"/>
      <c r="M229" s="8"/>
      <c r="N229" s="8"/>
      <c r="O229" s="8"/>
      <c r="P229" s="8"/>
      <c r="Q229" s="65" t="s">
        <v>382</v>
      </c>
      <c r="R229" s="65" t="s">
        <v>384</v>
      </c>
      <c r="S229" s="65" t="s">
        <v>1053</v>
      </c>
      <c r="T229" s="8"/>
      <c r="U229" s="8"/>
      <c r="V229" s="8"/>
      <c r="W229" s="8"/>
      <c r="X229" s="8"/>
      <c r="Y229" s="8"/>
    </row>
    <row r="230" spans="1:25" x14ac:dyDescent="0.2">
      <c r="A230" s="8"/>
      <c r="B230" s="8"/>
      <c r="C230" s="8"/>
      <c r="D230" s="8"/>
      <c r="E230" s="8"/>
      <c r="F230" s="8"/>
      <c r="G230" s="8"/>
      <c r="H230" s="8"/>
      <c r="I230" s="8"/>
      <c r="J230" s="8"/>
      <c r="K230" s="8"/>
      <c r="L230" s="8"/>
      <c r="M230" s="8"/>
      <c r="N230" s="8"/>
      <c r="O230" s="8"/>
      <c r="P230" s="8"/>
      <c r="Q230" s="65" t="s">
        <v>385</v>
      </c>
      <c r="R230" s="65" t="s">
        <v>386</v>
      </c>
      <c r="S230" s="65" t="s">
        <v>1126</v>
      </c>
      <c r="T230" s="8"/>
      <c r="U230" s="8"/>
      <c r="V230" s="8"/>
      <c r="W230" s="8"/>
      <c r="X230" s="8"/>
      <c r="Y230" s="8"/>
    </row>
    <row r="231" spans="1:25" x14ac:dyDescent="0.2">
      <c r="A231" s="8"/>
      <c r="B231" s="8"/>
      <c r="C231" s="8"/>
      <c r="D231" s="8"/>
      <c r="E231" s="8"/>
      <c r="F231" s="8"/>
      <c r="G231" s="8"/>
      <c r="H231" s="8"/>
      <c r="I231" s="8"/>
      <c r="J231" s="8"/>
      <c r="K231" s="8"/>
      <c r="L231" s="8"/>
      <c r="M231" s="8"/>
      <c r="N231" s="8"/>
      <c r="O231" s="8"/>
      <c r="P231" s="8"/>
      <c r="Q231" s="65" t="s">
        <v>385</v>
      </c>
      <c r="R231" s="65" t="s">
        <v>1198</v>
      </c>
      <c r="S231" s="65" t="s">
        <v>1199</v>
      </c>
      <c r="T231" s="8"/>
      <c r="U231" s="8"/>
      <c r="V231" s="8"/>
      <c r="W231" s="8"/>
      <c r="X231" s="8"/>
      <c r="Y231" s="8"/>
    </row>
    <row r="232" spans="1:25" x14ac:dyDescent="0.2">
      <c r="A232" s="8"/>
      <c r="B232" s="8"/>
      <c r="C232" s="8"/>
      <c r="D232" s="8"/>
      <c r="E232" s="8"/>
      <c r="F232" s="8"/>
      <c r="G232" s="8"/>
      <c r="H232" s="8"/>
      <c r="I232" s="8"/>
      <c r="J232" s="8"/>
      <c r="K232" s="8"/>
      <c r="L232" s="8"/>
      <c r="M232" s="8"/>
      <c r="N232" s="8"/>
      <c r="O232" s="8"/>
      <c r="P232" s="8"/>
      <c r="Q232" s="65" t="s">
        <v>385</v>
      </c>
      <c r="R232" s="65" t="s">
        <v>1374</v>
      </c>
      <c r="S232" s="65" t="s">
        <v>1375</v>
      </c>
      <c r="T232" s="8"/>
      <c r="U232" s="8"/>
      <c r="V232" s="8"/>
      <c r="W232" s="8"/>
      <c r="X232" s="8"/>
      <c r="Y232" s="8"/>
    </row>
    <row r="233" spans="1:25" x14ac:dyDescent="0.2">
      <c r="A233" s="8"/>
      <c r="B233" s="8"/>
      <c r="C233" s="8"/>
      <c r="D233" s="8"/>
      <c r="E233" s="8"/>
      <c r="F233" s="8"/>
      <c r="G233" s="8"/>
      <c r="H233" s="8"/>
      <c r="I233" s="8"/>
      <c r="J233" s="8"/>
      <c r="K233" s="8"/>
      <c r="L233" s="8"/>
      <c r="M233" s="8"/>
      <c r="N233" s="8"/>
      <c r="O233" s="8"/>
      <c r="P233" s="8"/>
      <c r="Q233" s="65" t="s">
        <v>387</v>
      </c>
      <c r="R233" s="65" t="s">
        <v>1200</v>
      </c>
      <c r="S233" s="65" t="s">
        <v>1201</v>
      </c>
      <c r="T233" s="8"/>
      <c r="U233" s="8"/>
      <c r="V233" s="8"/>
      <c r="W233" s="8"/>
      <c r="X233" s="8"/>
      <c r="Y233" s="8"/>
    </row>
    <row r="234" spans="1:25" x14ac:dyDescent="0.2">
      <c r="A234" s="8"/>
      <c r="B234" s="8"/>
      <c r="C234" s="8"/>
      <c r="D234" s="8"/>
      <c r="E234" s="8"/>
      <c r="F234" s="8"/>
      <c r="G234" s="8"/>
      <c r="H234" s="8"/>
      <c r="I234" s="8"/>
      <c r="J234" s="8"/>
      <c r="K234" s="8"/>
      <c r="L234" s="8"/>
      <c r="M234" s="8"/>
      <c r="N234" s="8"/>
      <c r="O234" s="8"/>
      <c r="P234" s="8"/>
      <c r="Q234" s="65" t="s">
        <v>388</v>
      </c>
      <c r="R234" s="65" t="s">
        <v>1203</v>
      </c>
      <c r="S234" s="65" t="s">
        <v>1204</v>
      </c>
      <c r="T234" s="8"/>
      <c r="U234" s="8"/>
      <c r="V234" s="8"/>
      <c r="W234" s="8"/>
      <c r="X234" s="8"/>
      <c r="Y234" s="8"/>
    </row>
    <row r="235" spans="1:25" x14ac:dyDescent="0.2">
      <c r="A235" s="8"/>
      <c r="B235" s="8"/>
      <c r="C235" s="8"/>
      <c r="D235" s="8"/>
      <c r="E235" s="8"/>
      <c r="F235" s="8"/>
      <c r="G235" s="8"/>
      <c r="H235" s="8"/>
      <c r="I235" s="8"/>
      <c r="J235" s="8"/>
      <c r="K235" s="8"/>
      <c r="L235" s="8"/>
      <c r="M235" s="8"/>
      <c r="N235" s="8"/>
      <c r="O235" s="8"/>
      <c r="P235" s="8"/>
      <c r="Q235" s="65" t="s">
        <v>388</v>
      </c>
      <c r="R235" s="65" t="s">
        <v>389</v>
      </c>
      <c r="S235" s="65" t="s">
        <v>1202</v>
      </c>
      <c r="T235" s="8"/>
      <c r="U235" s="8"/>
      <c r="V235" s="8"/>
      <c r="W235" s="8"/>
      <c r="X235" s="8"/>
      <c r="Y235" s="8"/>
    </row>
    <row r="236" spans="1:25" x14ac:dyDescent="0.2">
      <c r="A236" s="8"/>
      <c r="B236" s="8"/>
      <c r="C236" s="8"/>
      <c r="D236" s="8"/>
      <c r="E236" s="8"/>
      <c r="F236" s="8"/>
      <c r="G236" s="8"/>
      <c r="H236" s="8"/>
      <c r="I236" s="8"/>
      <c r="J236" s="8"/>
      <c r="K236" s="8"/>
      <c r="L236" s="8"/>
      <c r="M236" s="8"/>
      <c r="N236" s="8"/>
      <c r="O236" s="8"/>
      <c r="P236" s="8"/>
      <c r="Q236" s="65" t="s">
        <v>390</v>
      </c>
      <c r="R236" s="65" t="s">
        <v>391</v>
      </c>
      <c r="S236" s="65" t="s">
        <v>443</v>
      </c>
      <c r="T236" s="8"/>
      <c r="U236" s="8"/>
      <c r="V236" s="8"/>
      <c r="W236" s="8"/>
      <c r="X236" s="8"/>
      <c r="Y236" s="8"/>
    </row>
    <row r="237" spans="1:25" x14ac:dyDescent="0.2">
      <c r="A237" s="8"/>
      <c r="B237" s="8"/>
      <c r="C237" s="8"/>
      <c r="D237" s="8"/>
      <c r="E237" s="8"/>
      <c r="F237" s="8"/>
      <c r="G237" s="8"/>
      <c r="H237" s="8"/>
      <c r="I237" s="8"/>
      <c r="J237" s="8"/>
      <c r="K237" s="8"/>
      <c r="L237" s="8"/>
      <c r="M237" s="8"/>
      <c r="N237" s="8"/>
      <c r="O237" s="8"/>
      <c r="P237" s="8"/>
      <c r="Q237" s="65" t="s">
        <v>392</v>
      </c>
      <c r="R237" s="65" t="s">
        <v>393</v>
      </c>
      <c r="S237" s="65" t="s">
        <v>1315</v>
      </c>
      <c r="T237" s="8"/>
      <c r="U237" s="8"/>
      <c r="V237" s="8"/>
      <c r="W237" s="8"/>
      <c r="X237" s="8"/>
      <c r="Y237" s="8"/>
    </row>
    <row r="238" spans="1:25" x14ac:dyDescent="0.2">
      <c r="A238" s="8"/>
      <c r="B238" s="8"/>
      <c r="C238" s="8"/>
      <c r="D238" s="8"/>
      <c r="E238" s="8"/>
      <c r="F238" s="8"/>
      <c r="G238" s="8"/>
      <c r="H238" s="8"/>
      <c r="I238" s="8"/>
      <c r="J238" s="8"/>
      <c r="K238" s="8"/>
      <c r="L238" s="8"/>
      <c r="M238" s="8"/>
      <c r="N238" s="8"/>
      <c r="O238" s="8"/>
      <c r="P238" s="8"/>
      <c r="Q238" s="65" t="s">
        <v>394</v>
      </c>
      <c r="R238" s="65" t="s">
        <v>395</v>
      </c>
      <c r="S238" s="65" t="s">
        <v>443</v>
      </c>
      <c r="T238" s="8"/>
      <c r="U238" s="8"/>
      <c r="V238" s="8"/>
      <c r="W238" s="8"/>
      <c r="X238" s="8"/>
      <c r="Y238" s="8"/>
    </row>
    <row r="239" spans="1:25" x14ac:dyDescent="0.2">
      <c r="A239" s="8"/>
      <c r="B239" s="8"/>
      <c r="C239" s="8"/>
      <c r="D239" s="8"/>
      <c r="E239" s="8"/>
      <c r="F239" s="8"/>
      <c r="G239" s="8"/>
      <c r="H239" s="8"/>
      <c r="I239" s="8"/>
      <c r="J239" s="8"/>
      <c r="K239" s="8"/>
      <c r="L239" s="8"/>
      <c r="M239" s="8"/>
      <c r="N239" s="8"/>
      <c r="O239" s="8"/>
      <c r="P239" s="8"/>
      <c r="Q239" s="65" t="s">
        <v>396</v>
      </c>
      <c r="R239" s="65" t="s">
        <v>1207</v>
      </c>
      <c r="S239" s="65" t="s">
        <v>1208</v>
      </c>
      <c r="T239" s="8"/>
      <c r="U239" s="8"/>
      <c r="V239" s="8"/>
      <c r="W239" s="8"/>
      <c r="X239" s="8"/>
      <c r="Y239" s="8"/>
    </row>
    <row r="240" spans="1:25" x14ac:dyDescent="0.2">
      <c r="A240" s="8"/>
      <c r="B240" s="8"/>
      <c r="C240" s="8"/>
      <c r="D240" s="8"/>
      <c r="E240" s="8"/>
      <c r="F240" s="8"/>
      <c r="G240" s="8"/>
      <c r="H240" s="8"/>
      <c r="I240" s="8"/>
      <c r="J240" s="8"/>
      <c r="K240" s="8"/>
      <c r="L240" s="8"/>
      <c r="M240" s="8"/>
      <c r="N240" s="8"/>
      <c r="O240" s="8"/>
      <c r="P240" s="8"/>
      <c r="Q240" s="65" t="s">
        <v>396</v>
      </c>
      <c r="R240" s="65" t="s">
        <v>397</v>
      </c>
      <c r="S240" s="65" t="s">
        <v>443</v>
      </c>
      <c r="T240" s="8"/>
      <c r="U240" s="8"/>
      <c r="V240" s="8"/>
      <c r="W240" s="8"/>
      <c r="X240" s="8"/>
      <c r="Y240" s="8"/>
    </row>
    <row r="241" spans="1:25" x14ac:dyDescent="0.2">
      <c r="A241" s="8"/>
      <c r="B241" s="8"/>
      <c r="C241" s="8"/>
      <c r="D241" s="8"/>
      <c r="E241" s="8"/>
      <c r="F241" s="8"/>
      <c r="G241" s="8"/>
      <c r="H241" s="8"/>
      <c r="I241" s="8"/>
      <c r="J241" s="8"/>
      <c r="K241" s="8"/>
      <c r="L241" s="8"/>
      <c r="M241" s="8"/>
      <c r="N241" s="8"/>
      <c r="O241" s="8"/>
      <c r="P241" s="8"/>
      <c r="Q241" s="65" t="s">
        <v>396</v>
      </c>
      <c r="R241" s="65" t="s">
        <v>398</v>
      </c>
      <c r="S241" s="65" t="s">
        <v>1318</v>
      </c>
      <c r="T241" s="8"/>
      <c r="U241" s="8"/>
      <c r="V241" s="8"/>
      <c r="W241" s="8"/>
      <c r="X241" s="8"/>
      <c r="Y241" s="8"/>
    </row>
    <row r="242" spans="1:25" x14ac:dyDescent="0.2">
      <c r="A242" s="8"/>
      <c r="B242" s="8"/>
      <c r="C242" s="8"/>
      <c r="D242" s="8"/>
      <c r="E242" s="8"/>
      <c r="F242" s="8"/>
      <c r="G242" s="8"/>
      <c r="H242" s="8"/>
      <c r="I242" s="8"/>
      <c r="J242" s="8"/>
      <c r="K242" s="8"/>
      <c r="L242" s="8"/>
      <c r="M242" s="8"/>
      <c r="N242" s="8"/>
      <c r="O242" s="8"/>
      <c r="P242" s="8"/>
      <c r="Q242" s="65" t="s">
        <v>396</v>
      </c>
      <c r="R242" s="65" t="s">
        <v>1205</v>
      </c>
      <c r="S242" s="65" t="s">
        <v>1206</v>
      </c>
      <c r="T242" s="8"/>
      <c r="U242" s="8"/>
      <c r="V242" s="8"/>
      <c r="W242" s="8"/>
      <c r="X242" s="8"/>
      <c r="Y242" s="8"/>
    </row>
    <row r="243" spans="1:25" x14ac:dyDescent="0.2">
      <c r="A243" s="8"/>
      <c r="B243" s="8"/>
      <c r="C243" s="8"/>
      <c r="D243" s="8"/>
      <c r="E243" s="8"/>
      <c r="F243" s="8"/>
      <c r="G243" s="8"/>
      <c r="H243" s="8"/>
      <c r="I243" s="8"/>
      <c r="J243" s="8"/>
      <c r="K243" s="8"/>
      <c r="L243" s="8"/>
      <c r="M243" s="8"/>
      <c r="N243" s="8"/>
      <c r="O243" s="8"/>
      <c r="P243" s="8"/>
      <c r="Q243" s="65" t="s">
        <v>399</v>
      </c>
      <c r="R243" s="65" t="s">
        <v>1376</v>
      </c>
      <c r="S243" s="65" t="s">
        <v>400</v>
      </c>
      <c r="T243" s="8"/>
      <c r="U243" s="8"/>
      <c r="V243" s="8"/>
      <c r="W243" s="8"/>
      <c r="X243" s="8"/>
      <c r="Y243" s="8"/>
    </row>
    <row r="244" spans="1:25" x14ac:dyDescent="0.2">
      <c r="A244" s="8"/>
      <c r="B244" s="8"/>
      <c r="C244" s="8"/>
      <c r="D244" s="8"/>
      <c r="E244" s="8"/>
      <c r="F244" s="8"/>
      <c r="G244" s="8"/>
      <c r="H244" s="8"/>
      <c r="I244" s="8"/>
      <c r="J244" s="8"/>
      <c r="K244" s="8"/>
      <c r="L244" s="8"/>
      <c r="M244" s="8"/>
      <c r="N244" s="8"/>
      <c r="O244" s="8"/>
      <c r="P244" s="8"/>
      <c r="Q244" s="65" t="s">
        <v>401</v>
      </c>
      <c r="R244" s="65" t="s">
        <v>1210</v>
      </c>
      <c r="S244" s="65" t="s">
        <v>1211</v>
      </c>
      <c r="T244" s="8"/>
      <c r="U244" s="8"/>
      <c r="V244" s="8"/>
      <c r="W244" s="8"/>
      <c r="X244" s="8"/>
      <c r="Y244" s="8"/>
    </row>
    <row r="245" spans="1:25" x14ac:dyDescent="0.2">
      <c r="A245" s="8"/>
      <c r="B245" s="8"/>
      <c r="C245" s="8"/>
      <c r="D245" s="8"/>
      <c r="E245" s="8"/>
      <c r="F245" s="8"/>
      <c r="G245" s="8"/>
      <c r="H245" s="8"/>
      <c r="I245" s="8"/>
      <c r="J245" s="8"/>
      <c r="K245" s="8"/>
      <c r="L245" s="8"/>
      <c r="M245" s="8"/>
      <c r="N245" s="8"/>
      <c r="O245" s="8"/>
      <c r="P245" s="8"/>
      <c r="Q245" s="65" t="s">
        <v>402</v>
      </c>
      <c r="R245" s="65" t="s">
        <v>403</v>
      </c>
      <c r="S245" s="65" t="s">
        <v>1377</v>
      </c>
      <c r="T245" s="8"/>
      <c r="U245" s="8"/>
      <c r="V245" s="8"/>
      <c r="W245" s="8"/>
      <c r="X245" s="8"/>
      <c r="Y245" s="8"/>
    </row>
    <row r="246" spans="1:25" x14ac:dyDescent="0.2">
      <c r="A246" s="8"/>
      <c r="B246" s="8"/>
      <c r="C246" s="8"/>
      <c r="D246" s="8"/>
      <c r="E246" s="8"/>
      <c r="F246" s="8"/>
      <c r="G246" s="8"/>
      <c r="H246" s="8"/>
      <c r="I246" s="8"/>
      <c r="J246" s="8"/>
      <c r="K246" s="8"/>
      <c r="L246" s="8"/>
      <c r="M246" s="8"/>
      <c r="N246" s="8"/>
      <c r="O246" s="8"/>
      <c r="P246" s="8"/>
      <c r="Q246" s="65" t="s">
        <v>404</v>
      </c>
      <c r="R246" s="65" t="s">
        <v>405</v>
      </c>
      <c r="S246" s="65" t="s">
        <v>1212</v>
      </c>
      <c r="T246" s="8"/>
      <c r="U246" s="8"/>
      <c r="V246" s="8"/>
      <c r="W246" s="8"/>
      <c r="X246" s="8"/>
      <c r="Y246" s="8"/>
    </row>
    <row r="247" spans="1:25" x14ac:dyDescent="0.2">
      <c r="A247" s="8"/>
      <c r="B247" s="8"/>
      <c r="C247" s="8"/>
      <c r="D247" s="8"/>
      <c r="E247" s="8"/>
      <c r="F247" s="8"/>
      <c r="G247" s="8"/>
      <c r="H247" s="8"/>
      <c r="I247" s="8"/>
      <c r="J247" s="8"/>
      <c r="K247" s="8"/>
      <c r="L247" s="8"/>
      <c r="M247" s="8"/>
      <c r="N247" s="8"/>
      <c r="O247" s="8"/>
      <c r="P247" s="8"/>
      <c r="Q247" s="65" t="s">
        <v>1213</v>
      </c>
      <c r="R247" s="65" t="s">
        <v>1214</v>
      </c>
      <c r="S247" s="65" t="s">
        <v>1215</v>
      </c>
      <c r="T247" s="8"/>
      <c r="U247" s="8"/>
      <c r="V247" s="8"/>
      <c r="W247" s="8"/>
      <c r="X247" s="8"/>
      <c r="Y247" s="8"/>
    </row>
    <row r="248" spans="1:25" x14ac:dyDescent="0.2">
      <c r="A248" s="8"/>
      <c r="B248" s="8"/>
      <c r="C248" s="8"/>
      <c r="D248" s="8"/>
      <c r="E248" s="8"/>
      <c r="F248" s="8"/>
      <c r="G248" s="8"/>
      <c r="H248" s="8"/>
      <c r="I248" s="8"/>
      <c r="J248" s="8"/>
      <c r="K248" s="8"/>
      <c r="L248" s="8"/>
      <c r="M248" s="8"/>
      <c r="N248" s="8"/>
      <c r="O248" s="8"/>
      <c r="P248" s="8"/>
      <c r="Q248" s="65" t="s">
        <v>433</v>
      </c>
      <c r="R248" s="65" t="s">
        <v>1214</v>
      </c>
      <c r="S248" s="65" t="s">
        <v>1215</v>
      </c>
      <c r="T248" s="8"/>
      <c r="U248" s="8"/>
      <c r="V248" s="8"/>
      <c r="W248" s="8"/>
      <c r="X248" s="8"/>
      <c r="Y248" s="8"/>
    </row>
    <row r="249" spans="1:25" x14ac:dyDescent="0.2">
      <c r="A249" s="8"/>
      <c r="B249" s="8"/>
      <c r="C249" s="8"/>
      <c r="D249" s="8"/>
      <c r="E249" s="8"/>
      <c r="F249" s="8"/>
      <c r="G249" s="8"/>
      <c r="H249" s="8"/>
      <c r="I249" s="8"/>
      <c r="J249" s="8"/>
      <c r="K249" s="8"/>
      <c r="L249" s="8"/>
      <c r="M249" s="8"/>
      <c r="N249" s="8"/>
      <c r="O249" s="8"/>
      <c r="P249" s="8"/>
      <c r="Q249" s="65" t="s">
        <v>406</v>
      </c>
      <c r="R249" s="65" t="s">
        <v>1216</v>
      </c>
      <c r="S249" s="65" t="s">
        <v>1217</v>
      </c>
      <c r="T249" s="8"/>
      <c r="U249" s="8"/>
      <c r="V249" s="8"/>
      <c r="W249" s="8"/>
      <c r="X249" s="8"/>
      <c r="Y249" s="8"/>
    </row>
    <row r="250" spans="1:25" x14ac:dyDescent="0.2">
      <c r="A250" s="8"/>
      <c r="B250" s="8"/>
      <c r="C250" s="8"/>
      <c r="D250" s="8"/>
      <c r="E250" s="8"/>
      <c r="F250" s="8"/>
      <c r="G250" s="8"/>
      <c r="H250" s="8"/>
      <c r="I250" s="8"/>
      <c r="J250" s="8"/>
      <c r="K250" s="8"/>
      <c r="L250" s="8"/>
      <c r="M250" s="8"/>
      <c r="N250" s="8"/>
      <c r="O250" s="8"/>
      <c r="P250" s="8"/>
      <c r="Q250" s="65" t="s">
        <v>407</v>
      </c>
      <c r="R250" s="65" t="s">
        <v>1218</v>
      </c>
      <c r="S250" s="65" t="s">
        <v>1219</v>
      </c>
      <c r="T250" s="8"/>
      <c r="U250" s="8"/>
      <c r="V250" s="8"/>
      <c r="W250" s="8"/>
      <c r="X250" s="8"/>
      <c r="Y250" s="8"/>
    </row>
    <row r="251" spans="1:25" x14ac:dyDescent="0.2">
      <c r="A251" s="8"/>
      <c r="B251" s="8"/>
      <c r="C251" s="8"/>
      <c r="D251" s="8"/>
      <c r="E251" s="8"/>
      <c r="F251" s="8"/>
      <c r="G251" s="8"/>
      <c r="H251" s="8"/>
      <c r="I251" s="8"/>
      <c r="J251" s="8"/>
      <c r="K251" s="8"/>
      <c r="L251" s="8"/>
      <c r="M251" s="8"/>
      <c r="N251" s="8"/>
      <c r="O251" s="8"/>
      <c r="P251" s="8"/>
      <c r="Q251" s="65" t="s">
        <v>408</v>
      </c>
      <c r="R251" s="65" t="s">
        <v>409</v>
      </c>
      <c r="S251" s="65" t="s">
        <v>1378</v>
      </c>
      <c r="T251" s="8"/>
      <c r="U251" s="8"/>
      <c r="V251" s="8"/>
      <c r="W251" s="8"/>
      <c r="X251" s="8"/>
      <c r="Y251" s="8"/>
    </row>
    <row r="252" spans="1:25" x14ac:dyDescent="0.2">
      <c r="A252" s="8"/>
      <c r="B252" s="8"/>
      <c r="C252" s="8"/>
      <c r="D252" s="8"/>
      <c r="E252" s="8"/>
      <c r="F252" s="8"/>
      <c r="G252" s="8"/>
      <c r="H252" s="8"/>
      <c r="I252" s="8"/>
      <c r="J252" s="8"/>
      <c r="K252" s="8"/>
      <c r="L252" s="8"/>
      <c r="M252" s="8"/>
      <c r="N252" s="8"/>
      <c r="O252" s="8"/>
      <c r="P252" s="8"/>
      <c r="Q252" s="65" t="s">
        <v>410</v>
      </c>
      <c r="R252" s="65" t="s">
        <v>1379</v>
      </c>
      <c r="S252" s="65" t="s">
        <v>1380</v>
      </c>
      <c r="T252" s="8"/>
      <c r="U252" s="8"/>
      <c r="V252" s="8"/>
      <c r="W252" s="8"/>
      <c r="X252" s="8"/>
      <c r="Y252" s="8"/>
    </row>
    <row r="253" spans="1:25" x14ac:dyDescent="0.2">
      <c r="A253" s="8"/>
      <c r="B253" s="8"/>
      <c r="C253" s="8"/>
      <c r="D253" s="8"/>
      <c r="E253" s="8"/>
      <c r="F253" s="8"/>
      <c r="G253" s="8"/>
      <c r="H253" s="8"/>
      <c r="I253" s="8"/>
      <c r="J253" s="8"/>
      <c r="K253" s="8"/>
      <c r="L253" s="8"/>
      <c r="M253" s="8"/>
      <c r="N253" s="8"/>
      <c r="O253" s="8"/>
      <c r="P253" s="8"/>
      <c r="Q253" s="65" t="s">
        <v>1220</v>
      </c>
      <c r="R253" s="65" t="s">
        <v>1221</v>
      </c>
      <c r="S253" s="65" t="s">
        <v>1078</v>
      </c>
      <c r="T253" s="8"/>
      <c r="U253" s="8"/>
      <c r="V253" s="8"/>
      <c r="W253" s="8"/>
      <c r="X253" s="8"/>
      <c r="Y253" s="8"/>
    </row>
    <row r="254" spans="1:25" x14ac:dyDescent="0.2">
      <c r="A254" s="8"/>
      <c r="B254" s="8"/>
      <c r="C254" s="8"/>
      <c r="D254" s="8"/>
      <c r="E254" s="8"/>
      <c r="F254" s="8"/>
      <c r="G254" s="8"/>
      <c r="H254" s="8"/>
      <c r="I254" s="8"/>
      <c r="J254" s="8"/>
      <c r="K254" s="8"/>
      <c r="L254" s="8"/>
      <c r="M254" s="8"/>
      <c r="N254" s="8"/>
      <c r="O254" s="8"/>
      <c r="P254" s="8"/>
      <c r="Q254" s="65" t="s">
        <v>1222</v>
      </c>
      <c r="R254" s="65" t="s">
        <v>1223</v>
      </c>
      <c r="S254" s="65" t="s">
        <v>1224</v>
      </c>
      <c r="T254" s="8"/>
      <c r="U254" s="8"/>
      <c r="V254" s="8"/>
      <c r="W254" s="8"/>
      <c r="X254" s="8"/>
      <c r="Y254" s="8"/>
    </row>
    <row r="255" spans="1:25" x14ac:dyDescent="0.2">
      <c r="A255" s="8"/>
      <c r="B255" s="8"/>
      <c r="C255" s="8"/>
      <c r="D255" s="8"/>
      <c r="E255" s="8"/>
      <c r="F255" s="8"/>
      <c r="G255" s="8"/>
      <c r="H255" s="8"/>
      <c r="I255" s="8"/>
      <c r="J255" s="8"/>
      <c r="K255" s="8"/>
      <c r="L255" s="8"/>
      <c r="M255" s="8"/>
      <c r="N255" s="8"/>
      <c r="O255" s="8"/>
      <c r="P255" s="8"/>
      <c r="Q255" s="65" t="s">
        <v>1226</v>
      </c>
      <c r="R255" s="65" t="s">
        <v>1227</v>
      </c>
      <c r="S255" s="65" t="s">
        <v>1228</v>
      </c>
      <c r="T255" s="8"/>
      <c r="U255" s="8"/>
      <c r="V255" s="8"/>
      <c r="W255" s="8"/>
      <c r="X255" s="8"/>
      <c r="Y255" s="8"/>
    </row>
    <row r="256" spans="1:25" x14ac:dyDescent="0.2">
      <c r="A256" s="8"/>
      <c r="B256" s="8"/>
      <c r="C256" s="8"/>
      <c r="D256" s="8"/>
      <c r="E256" s="8"/>
      <c r="F256" s="8"/>
      <c r="G256" s="8"/>
      <c r="H256" s="8"/>
      <c r="I256" s="8"/>
      <c r="J256" s="8"/>
      <c r="K256" s="8"/>
      <c r="L256" s="8"/>
      <c r="M256" s="8"/>
      <c r="N256" s="8"/>
      <c r="O256" s="8"/>
      <c r="P256" s="8"/>
      <c r="Q256" s="65" t="s">
        <v>1381</v>
      </c>
      <c r="R256" s="65" t="s">
        <v>1382</v>
      </c>
      <c r="S256" s="65" t="s">
        <v>1343</v>
      </c>
      <c r="T256" s="8"/>
      <c r="U256" s="8"/>
      <c r="V256" s="8"/>
      <c r="W256" s="8"/>
      <c r="X256" s="8"/>
      <c r="Y256" s="8"/>
    </row>
    <row r="257" spans="1:25" x14ac:dyDescent="0.2">
      <c r="A257" s="8"/>
      <c r="B257" s="8"/>
      <c r="C257" s="8"/>
      <c r="D257" s="8"/>
      <c r="E257" s="8"/>
      <c r="F257" s="8"/>
      <c r="G257" s="8"/>
      <c r="H257" s="8"/>
      <c r="I257" s="8"/>
      <c r="J257" s="8"/>
      <c r="K257" s="8"/>
      <c r="L257" s="8"/>
      <c r="M257" s="8"/>
      <c r="N257" s="8"/>
      <c r="O257" s="8"/>
      <c r="P257" s="8"/>
      <c r="Q257" s="65" t="s">
        <v>416</v>
      </c>
      <c r="R257" s="65" t="s">
        <v>1382</v>
      </c>
      <c r="S257" s="65" t="s">
        <v>1343</v>
      </c>
      <c r="T257" s="8"/>
      <c r="U257" s="8"/>
      <c r="V257" s="8"/>
      <c r="W257" s="8"/>
      <c r="X257" s="8"/>
      <c r="Y257" s="8"/>
    </row>
    <row r="258" spans="1:25" x14ac:dyDescent="0.2">
      <c r="A258" s="8"/>
      <c r="B258" s="8"/>
      <c r="C258" s="8"/>
      <c r="D258" s="8"/>
      <c r="E258" s="8"/>
      <c r="F258" s="8"/>
      <c r="G258" s="8"/>
      <c r="H258" s="8"/>
      <c r="I258" s="8"/>
      <c r="J258" s="8"/>
      <c r="K258" s="8"/>
      <c r="L258" s="8"/>
      <c r="M258" s="8"/>
      <c r="N258" s="8"/>
      <c r="O258" s="8"/>
      <c r="P258" s="8"/>
      <c r="Q258" s="65" t="s">
        <v>1383</v>
      </c>
      <c r="R258" s="65" t="s">
        <v>411</v>
      </c>
      <c r="S258" s="65" t="s">
        <v>1384</v>
      </c>
      <c r="T258" s="8"/>
      <c r="U258" s="8"/>
      <c r="V258" s="8"/>
      <c r="W258" s="8"/>
      <c r="X258" s="8"/>
      <c r="Y258" s="8"/>
    </row>
    <row r="259" spans="1:25" x14ac:dyDescent="0.2">
      <c r="A259" s="8"/>
      <c r="B259" s="8"/>
      <c r="C259" s="8"/>
      <c r="D259" s="8"/>
      <c r="E259" s="8"/>
      <c r="F259" s="8"/>
      <c r="G259" s="8"/>
      <c r="H259" s="8"/>
      <c r="I259" s="8"/>
      <c r="J259" s="8"/>
      <c r="K259" s="8"/>
      <c r="L259" s="8"/>
      <c r="M259" s="8"/>
      <c r="N259" s="8"/>
      <c r="O259" s="8"/>
      <c r="P259" s="8"/>
      <c r="Q259" s="65" t="s">
        <v>1385</v>
      </c>
      <c r="R259" s="65" t="s">
        <v>411</v>
      </c>
      <c r="S259" s="65" t="s">
        <v>1384</v>
      </c>
      <c r="T259" s="8"/>
      <c r="U259" s="8"/>
      <c r="V259" s="8"/>
      <c r="W259" s="8"/>
      <c r="X259" s="8"/>
      <c r="Y259" s="8"/>
    </row>
    <row r="260" spans="1:25" x14ac:dyDescent="0.2">
      <c r="A260" s="8"/>
      <c r="B260" s="8"/>
      <c r="C260" s="8"/>
      <c r="D260" s="8"/>
      <c r="E260" s="8"/>
      <c r="F260" s="8"/>
      <c r="G260" s="8"/>
      <c r="H260" s="8"/>
      <c r="I260" s="8"/>
      <c r="J260" s="8"/>
      <c r="K260" s="8"/>
      <c r="L260" s="8"/>
      <c r="M260" s="8"/>
      <c r="N260" s="8"/>
      <c r="O260" s="8"/>
      <c r="P260" s="8"/>
      <c r="Q260" s="65" t="s">
        <v>412</v>
      </c>
      <c r="R260" s="65" t="s">
        <v>413</v>
      </c>
      <c r="S260" s="65" t="s">
        <v>1315</v>
      </c>
      <c r="T260" s="8"/>
      <c r="U260" s="8"/>
      <c r="V260" s="8"/>
      <c r="W260" s="8"/>
      <c r="X260" s="8"/>
      <c r="Y260" s="8"/>
    </row>
    <row r="261" spans="1:25" x14ac:dyDescent="0.2">
      <c r="A261" s="8"/>
      <c r="B261" s="8"/>
      <c r="C261" s="8"/>
      <c r="D261" s="8"/>
      <c r="E261" s="8"/>
      <c r="F261" s="8"/>
      <c r="G261" s="8"/>
      <c r="H261" s="8"/>
      <c r="I261" s="8"/>
      <c r="J261" s="8"/>
      <c r="K261" s="8"/>
      <c r="L261" s="8"/>
      <c r="M261" s="8"/>
      <c r="N261" s="8"/>
      <c r="O261" s="8"/>
      <c r="P261" s="8"/>
      <c r="Q261" s="65" t="s">
        <v>412</v>
      </c>
      <c r="R261" s="65" t="s">
        <v>1386</v>
      </c>
      <c r="S261" s="65" t="s">
        <v>1320</v>
      </c>
      <c r="T261" s="8"/>
      <c r="U261" s="8"/>
      <c r="V261" s="8"/>
      <c r="W261" s="8"/>
      <c r="X261" s="8"/>
      <c r="Y261" s="8"/>
    </row>
    <row r="262" spans="1:25" x14ac:dyDescent="0.2">
      <c r="A262" s="8"/>
      <c r="B262" s="8"/>
      <c r="C262" s="8"/>
      <c r="D262" s="8"/>
      <c r="E262" s="8"/>
      <c r="F262" s="8"/>
      <c r="G262" s="8"/>
      <c r="H262" s="8"/>
      <c r="I262" s="8"/>
      <c r="J262" s="8"/>
      <c r="K262" s="8"/>
      <c r="L262" s="8"/>
      <c r="M262" s="8"/>
      <c r="N262" s="8"/>
      <c r="O262" s="8"/>
      <c r="P262" s="8"/>
      <c r="Q262" s="65" t="s">
        <v>412</v>
      </c>
      <c r="R262" s="65" t="s">
        <v>1387</v>
      </c>
      <c r="S262" s="65" t="s">
        <v>1338</v>
      </c>
      <c r="T262" s="8"/>
      <c r="U262" s="8"/>
      <c r="V262" s="8"/>
      <c r="W262" s="8"/>
      <c r="X262" s="8"/>
      <c r="Y262" s="8"/>
    </row>
    <row r="263" spans="1:25" x14ac:dyDescent="0.2">
      <c r="A263" s="8"/>
      <c r="B263" s="8"/>
      <c r="C263" s="8"/>
      <c r="D263" s="8"/>
      <c r="E263" s="8"/>
      <c r="F263" s="8"/>
      <c r="G263" s="8"/>
      <c r="H263" s="8"/>
      <c r="I263" s="8"/>
      <c r="J263" s="8"/>
      <c r="K263" s="8"/>
      <c r="L263" s="8"/>
      <c r="M263" s="8"/>
      <c r="N263" s="8"/>
      <c r="O263" s="8"/>
      <c r="P263" s="8"/>
      <c r="Q263" s="65" t="s">
        <v>414</v>
      </c>
      <c r="R263" s="65" t="s">
        <v>415</v>
      </c>
      <c r="S263" s="65" t="s">
        <v>1229</v>
      </c>
      <c r="T263" s="8"/>
      <c r="U263" s="8"/>
      <c r="V263" s="8"/>
      <c r="W263" s="8"/>
      <c r="X263" s="8"/>
      <c r="Y263" s="8"/>
    </row>
    <row r="264" spans="1:25" x14ac:dyDescent="0.2">
      <c r="A264" s="8"/>
      <c r="B264" s="8"/>
      <c r="C264" s="8"/>
      <c r="D264" s="8"/>
      <c r="E264" s="8"/>
      <c r="F264" s="8"/>
      <c r="G264" s="8"/>
      <c r="H264" s="8"/>
      <c r="I264" s="8"/>
      <c r="J264" s="8"/>
      <c r="K264" s="8"/>
      <c r="L264" s="8"/>
      <c r="M264" s="8"/>
      <c r="N264" s="8"/>
      <c r="O264" s="8"/>
      <c r="P264" s="8"/>
      <c r="Q264" s="65" t="s">
        <v>414</v>
      </c>
      <c r="R264" s="65" t="s">
        <v>1230</v>
      </c>
      <c r="S264" s="65" t="s">
        <v>1231</v>
      </c>
      <c r="T264" s="8"/>
      <c r="U264" s="8"/>
      <c r="V264" s="8"/>
      <c r="W264" s="8"/>
      <c r="X264" s="8"/>
      <c r="Y264" s="8"/>
    </row>
    <row r="265" spans="1:25" x14ac:dyDescent="0.2">
      <c r="A265" s="8"/>
      <c r="B265" s="8"/>
      <c r="C265" s="8"/>
      <c r="D265" s="8"/>
      <c r="E265" s="8"/>
      <c r="F265" s="8"/>
      <c r="G265" s="8"/>
      <c r="H265" s="8"/>
      <c r="I265" s="8"/>
      <c r="J265" s="8"/>
      <c r="K265" s="8"/>
      <c r="L265" s="8"/>
      <c r="M265" s="8"/>
      <c r="N265" s="8"/>
      <c r="O265" s="8"/>
      <c r="P265" s="8"/>
      <c r="Q265" s="65" t="s">
        <v>416</v>
      </c>
      <c r="R265" s="65" t="s">
        <v>417</v>
      </c>
      <c r="S265" s="65" t="s">
        <v>443</v>
      </c>
      <c r="T265" s="8"/>
      <c r="U265" s="8"/>
      <c r="V265" s="8"/>
      <c r="W265" s="8"/>
      <c r="X265" s="8"/>
      <c r="Y265" s="8"/>
    </row>
    <row r="266" spans="1:25" x14ac:dyDescent="0.2">
      <c r="A266" s="8"/>
      <c r="B266" s="8"/>
      <c r="C266" s="8"/>
      <c r="D266" s="8"/>
      <c r="E266" s="8"/>
      <c r="F266" s="8"/>
      <c r="G266" s="8"/>
      <c r="H266" s="8"/>
      <c r="I266" s="8"/>
      <c r="J266" s="8"/>
      <c r="K266" s="8"/>
      <c r="L266" s="8"/>
      <c r="M266" s="8"/>
      <c r="N266" s="8"/>
      <c r="O266" s="8"/>
      <c r="P266" s="8"/>
      <c r="Q266" s="65" t="s">
        <v>416</v>
      </c>
      <c r="R266" s="65" t="s">
        <v>418</v>
      </c>
      <c r="S266" s="65" t="s">
        <v>1315</v>
      </c>
      <c r="T266" s="8"/>
      <c r="U266" s="8"/>
      <c r="V266" s="8"/>
      <c r="W266" s="8"/>
      <c r="X266" s="8"/>
      <c r="Y266" s="8"/>
    </row>
    <row r="267" spans="1:25" x14ac:dyDescent="0.2">
      <c r="A267" s="8"/>
      <c r="B267" s="8"/>
      <c r="C267" s="8"/>
      <c r="D267" s="8"/>
      <c r="E267" s="8"/>
      <c r="F267" s="8"/>
      <c r="G267" s="8"/>
      <c r="H267" s="8"/>
      <c r="I267" s="8"/>
      <c r="J267" s="8"/>
      <c r="K267" s="8"/>
      <c r="L267" s="8"/>
      <c r="M267" s="8"/>
      <c r="N267" s="8"/>
      <c r="O267" s="8"/>
      <c r="P267" s="8"/>
      <c r="Q267" s="65" t="s">
        <v>416</v>
      </c>
      <c r="R267" s="65" t="s">
        <v>1388</v>
      </c>
      <c r="S267" s="65" t="s">
        <v>1389</v>
      </c>
      <c r="T267" s="8"/>
      <c r="U267" s="8"/>
      <c r="V267" s="8"/>
      <c r="W267" s="8"/>
      <c r="X267" s="8"/>
      <c r="Y267" s="8"/>
    </row>
    <row r="268" spans="1:25" x14ac:dyDescent="0.2">
      <c r="A268" s="8"/>
      <c r="B268" s="8"/>
      <c r="C268" s="8"/>
      <c r="D268" s="8"/>
      <c r="E268" s="8"/>
      <c r="F268" s="8"/>
      <c r="G268" s="8"/>
      <c r="H268" s="8"/>
      <c r="I268" s="8"/>
      <c r="J268" s="8"/>
      <c r="K268" s="8"/>
      <c r="L268" s="8"/>
      <c r="M268" s="8"/>
      <c r="N268" s="8"/>
      <c r="O268" s="8"/>
      <c r="P268" s="8"/>
      <c r="Q268" s="65" t="s">
        <v>416</v>
      </c>
      <c r="R268" s="65" t="s">
        <v>419</v>
      </c>
      <c r="S268" s="65" t="s">
        <v>1232</v>
      </c>
      <c r="T268" s="8"/>
      <c r="U268" s="8"/>
      <c r="V268" s="8"/>
      <c r="W268" s="8"/>
      <c r="X268" s="8"/>
      <c r="Y268" s="8"/>
    </row>
    <row r="269" spans="1:25" x14ac:dyDescent="0.2">
      <c r="A269" s="8"/>
      <c r="B269" s="8"/>
      <c r="C269" s="8"/>
      <c r="D269" s="8"/>
      <c r="E269" s="8"/>
      <c r="F269" s="8"/>
      <c r="G269" s="8"/>
      <c r="H269" s="8"/>
      <c r="I269" s="8"/>
      <c r="J269" s="8"/>
      <c r="K269" s="8"/>
      <c r="L269" s="8"/>
      <c r="M269" s="8"/>
      <c r="N269" s="8"/>
      <c r="O269" s="8"/>
      <c r="P269" s="8"/>
      <c r="Q269" s="65" t="s">
        <v>420</v>
      </c>
      <c r="R269" s="65" t="s">
        <v>1233</v>
      </c>
      <c r="S269" s="65" t="s">
        <v>1234</v>
      </c>
      <c r="T269" s="8"/>
      <c r="U269" s="8"/>
      <c r="V269" s="8"/>
      <c r="W269" s="8"/>
      <c r="X269" s="8"/>
      <c r="Y269" s="8"/>
    </row>
    <row r="270" spans="1:25" x14ac:dyDescent="0.2">
      <c r="A270" s="8"/>
      <c r="B270" s="8"/>
      <c r="C270" s="8"/>
      <c r="D270" s="8"/>
      <c r="E270" s="8"/>
      <c r="F270" s="8"/>
      <c r="G270" s="8"/>
      <c r="H270" s="8"/>
      <c r="I270" s="8"/>
      <c r="J270" s="8"/>
      <c r="K270" s="8"/>
      <c r="L270" s="8"/>
      <c r="M270" s="8"/>
      <c r="N270" s="8"/>
      <c r="O270" s="8"/>
      <c r="P270" s="8"/>
      <c r="Q270" s="65" t="s">
        <v>420</v>
      </c>
      <c r="R270" s="65" t="s">
        <v>1235</v>
      </c>
      <c r="S270" s="65" t="s">
        <v>1236</v>
      </c>
      <c r="T270" s="8"/>
      <c r="U270" s="8"/>
      <c r="V270" s="8"/>
      <c r="W270" s="8"/>
      <c r="X270" s="8"/>
      <c r="Y270" s="8"/>
    </row>
    <row r="271" spans="1:25" x14ac:dyDescent="0.2">
      <c r="A271" s="8"/>
      <c r="B271" s="8"/>
      <c r="C271" s="8"/>
      <c r="D271" s="8"/>
      <c r="E271" s="8"/>
      <c r="F271" s="8"/>
      <c r="G271" s="8"/>
      <c r="H271" s="8"/>
      <c r="I271" s="8"/>
      <c r="J271" s="8"/>
      <c r="K271" s="8"/>
      <c r="L271" s="8"/>
      <c r="M271" s="8"/>
      <c r="N271" s="8"/>
      <c r="O271" s="8"/>
      <c r="P271" s="8"/>
      <c r="Q271" s="65" t="s">
        <v>421</v>
      </c>
      <c r="R271" s="65" t="s">
        <v>1237</v>
      </c>
      <c r="S271" s="65" t="s">
        <v>1032</v>
      </c>
      <c r="T271" s="8"/>
      <c r="U271" s="8"/>
      <c r="V271" s="8"/>
      <c r="W271" s="8"/>
      <c r="X271" s="8"/>
      <c r="Y271" s="8"/>
    </row>
    <row r="272" spans="1:25" x14ac:dyDescent="0.2">
      <c r="A272" s="8"/>
      <c r="B272" s="8"/>
      <c r="C272" s="8"/>
      <c r="D272" s="8"/>
      <c r="E272" s="8"/>
      <c r="F272" s="8"/>
      <c r="G272" s="8"/>
      <c r="H272" s="8"/>
      <c r="I272" s="8"/>
      <c r="J272" s="8"/>
      <c r="K272" s="8"/>
      <c r="L272" s="8"/>
      <c r="M272" s="8"/>
      <c r="N272" s="8"/>
      <c r="O272" s="8"/>
      <c r="P272" s="8"/>
      <c r="Q272" s="65" t="s">
        <v>421</v>
      </c>
      <c r="R272" s="65" t="s">
        <v>1242</v>
      </c>
      <c r="S272" s="65" t="s">
        <v>1243</v>
      </c>
      <c r="T272" s="8"/>
      <c r="U272" s="8"/>
      <c r="V272" s="8"/>
      <c r="W272" s="8"/>
      <c r="X272" s="8"/>
      <c r="Y272" s="8"/>
    </row>
    <row r="273" spans="1:25" x14ac:dyDescent="0.2">
      <c r="A273" s="8"/>
      <c r="B273" s="8"/>
      <c r="C273" s="8"/>
      <c r="D273" s="8"/>
      <c r="E273" s="8"/>
      <c r="F273" s="8"/>
      <c r="G273" s="8"/>
      <c r="H273" s="8"/>
      <c r="I273" s="8"/>
      <c r="J273" s="8"/>
      <c r="K273" s="8"/>
      <c r="L273" s="8"/>
      <c r="M273" s="8"/>
      <c r="N273" s="8"/>
      <c r="O273" s="8"/>
      <c r="P273" s="8"/>
      <c r="Q273" s="65" t="s">
        <v>421</v>
      </c>
      <c r="R273" s="65" t="s">
        <v>1240</v>
      </c>
      <c r="S273" s="65" t="s">
        <v>1241</v>
      </c>
      <c r="T273" s="8"/>
      <c r="U273" s="8"/>
      <c r="V273" s="8"/>
      <c r="W273" s="8"/>
      <c r="X273" s="8"/>
      <c r="Y273" s="8"/>
    </row>
    <row r="274" spans="1:25" x14ac:dyDescent="0.2">
      <c r="A274" s="8"/>
      <c r="B274" s="8"/>
      <c r="C274" s="8"/>
      <c r="D274" s="8"/>
      <c r="E274" s="8"/>
      <c r="F274" s="8"/>
      <c r="G274" s="8"/>
      <c r="H274" s="8"/>
      <c r="I274" s="8"/>
      <c r="J274" s="8"/>
      <c r="K274" s="8"/>
      <c r="L274" s="8"/>
      <c r="M274" s="8"/>
      <c r="N274" s="8"/>
      <c r="O274" s="8"/>
      <c r="P274" s="8"/>
      <c r="Q274" s="65" t="s">
        <v>421</v>
      </c>
      <c r="R274" s="65" t="s">
        <v>422</v>
      </c>
      <c r="S274" s="65" t="s">
        <v>1315</v>
      </c>
      <c r="T274" s="8"/>
      <c r="U274" s="8"/>
      <c r="V274" s="8"/>
      <c r="W274" s="8"/>
      <c r="X274" s="8"/>
      <c r="Y274" s="8"/>
    </row>
    <row r="275" spans="1:25" x14ac:dyDescent="0.2">
      <c r="A275" s="8"/>
      <c r="B275" s="8"/>
      <c r="C275" s="8"/>
      <c r="D275" s="8"/>
      <c r="E275" s="8"/>
      <c r="F275" s="8"/>
      <c r="G275" s="8"/>
      <c r="H275" s="8"/>
      <c r="I275" s="8"/>
      <c r="J275" s="8"/>
      <c r="K275" s="8"/>
      <c r="L275" s="8"/>
      <c r="M275" s="8"/>
      <c r="N275" s="8"/>
      <c r="O275" s="8"/>
      <c r="P275" s="8"/>
      <c r="Q275" s="65" t="s">
        <v>421</v>
      </c>
      <c r="R275" s="65" t="s">
        <v>1238</v>
      </c>
      <c r="S275" s="65" t="s">
        <v>1239</v>
      </c>
      <c r="T275" s="8"/>
      <c r="U275" s="8"/>
      <c r="V275" s="8"/>
      <c r="W275" s="8"/>
      <c r="X275" s="8"/>
      <c r="Y275" s="8"/>
    </row>
    <row r="276" spans="1:25" x14ac:dyDescent="0.2">
      <c r="A276" s="8"/>
      <c r="B276" s="8"/>
      <c r="C276" s="8"/>
      <c r="D276" s="8"/>
      <c r="E276" s="8"/>
      <c r="F276" s="8"/>
      <c r="G276" s="8"/>
      <c r="H276" s="8"/>
      <c r="I276" s="8"/>
      <c r="J276" s="8"/>
      <c r="K276" s="8"/>
      <c r="L276" s="8"/>
      <c r="M276" s="8"/>
      <c r="N276" s="8"/>
      <c r="O276" s="8"/>
      <c r="P276" s="8"/>
      <c r="Q276" s="65" t="s">
        <v>423</v>
      </c>
      <c r="R276" s="65" t="s">
        <v>424</v>
      </c>
      <c r="S276" s="65" t="s">
        <v>1390</v>
      </c>
      <c r="T276" s="8"/>
      <c r="U276" s="8"/>
      <c r="V276" s="8"/>
      <c r="W276" s="8"/>
      <c r="X276" s="8"/>
      <c r="Y276" s="8"/>
    </row>
    <row r="277" spans="1:25" x14ac:dyDescent="0.2">
      <c r="A277" s="8"/>
      <c r="B277" s="8"/>
      <c r="C277" s="8"/>
      <c r="D277" s="8"/>
      <c r="E277" s="8"/>
      <c r="F277" s="8"/>
      <c r="G277" s="8"/>
      <c r="H277" s="8"/>
      <c r="I277" s="8"/>
      <c r="J277" s="8"/>
      <c r="K277" s="8"/>
      <c r="L277" s="8"/>
      <c r="M277" s="8"/>
      <c r="N277" s="8"/>
      <c r="O277" s="8"/>
      <c r="P277" s="8"/>
      <c r="Q277" s="65" t="s">
        <v>423</v>
      </c>
      <c r="R277" s="65" t="s">
        <v>425</v>
      </c>
      <c r="S277" s="65" t="s">
        <v>1245</v>
      </c>
      <c r="T277" s="8"/>
      <c r="U277" s="8"/>
      <c r="V277" s="8"/>
      <c r="W277" s="8"/>
      <c r="X277" s="8"/>
      <c r="Y277" s="8"/>
    </row>
    <row r="278" spans="1:25" x14ac:dyDescent="0.2">
      <c r="A278" s="8"/>
      <c r="B278" s="8"/>
      <c r="C278" s="8"/>
      <c r="D278" s="8"/>
      <c r="E278" s="8"/>
      <c r="F278" s="8"/>
      <c r="G278" s="8"/>
      <c r="H278" s="8"/>
      <c r="I278" s="8"/>
      <c r="J278" s="8"/>
      <c r="K278" s="8"/>
      <c r="L278" s="8"/>
      <c r="M278" s="8"/>
      <c r="N278" s="8"/>
      <c r="O278" s="8"/>
      <c r="P278" s="8"/>
      <c r="Q278" s="65" t="s">
        <v>423</v>
      </c>
      <c r="R278" s="65" t="s">
        <v>426</v>
      </c>
      <c r="S278" s="65" t="s">
        <v>1391</v>
      </c>
      <c r="T278" s="8"/>
      <c r="U278" s="8"/>
      <c r="V278" s="8"/>
      <c r="W278" s="8"/>
      <c r="X278" s="8"/>
      <c r="Y278" s="8"/>
    </row>
    <row r="279" spans="1:25" x14ac:dyDescent="0.2">
      <c r="A279" s="8"/>
      <c r="B279" s="8"/>
      <c r="C279" s="8"/>
      <c r="D279" s="8"/>
      <c r="E279" s="8"/>
      <c r="F279" s="8"/>
      <c r="G279" s="8"/>
      <c r="H279" s="8"/>
      <c r="I279" s="8"/>
      <c r="J279" s="8"/>
      <c r="K279" s="8"/>
      <c r="L279" s="8"/>
      <c r="M279" s="8"/>
      <c r="N279" s="8"/>
      <c r="O279" s="8"/>
      <c r="P279" s="8"/>
      <c r="Q279" s="65" t="s">
        <v>423</v>
      </c>
      <c r="R279" s="65" t="s">
        <v>427</v>
      </c>
      <c r="S279" s="65" t="s">
        <v>1244</v>
      </c>
      <c r="T279" s="8"/>
      <c r="U279" s="8"/>
      <c r="V279" s="8"/>
      <c r="W279" s="8"/>
      <c r="X279" s="8"/>
      <c r="Y279" s="8"/>
    </row>
    <row r="280" spans="1:25" x14ac:dyDescent="0.2">
      <c r="A280" s="8"/>
      <c r="B280" s="8"/>
      <c r="C280" s="8"/>
      <c r="D280" s="8"/>
      <c r="E280" s="8"/>
      <c r="F280" s="8"/>
      <c r="G280" s="8"/>
      <c r="H280" s="8"/>
      <c r="I280" s="8"/>
      <c r="J280" s="8"/>
      <c r="K280" s="8"/>
      <c r="L280" s="8"/>
      <c r="M280" s="8"/>
      <c r="N280" s="8"/>
      <c r="O280" s="8"/>
      <c r="P280" s="8"/>
      <c r="Q280" s="65" t="s">
        <v>423</v>
      </c>
      <c r="R280" s="65" t="s">
        <v>1250</v>
      </c>
      <c r="S280" s="65" t="s">
        <v>1251</v>
      </c>
      <c r="T280" s="8"/>
      <c r="U280" s="8"/>
      <c r="V280" s="8"/>
      <c r="W280" s="8"/>
      <c r="X280" s="8"/>
      <c r="Y280" s="8"/>
    </row>
    <row r="281" spans="1:25" x14ac:dyDescent="0.2">
      <c r="A281" s="8"/>
      <c r="B281" s="8"/>
      <c r="C281" s="8"/>
      <c r="D281" s="8"/>
      <c r="E281" s="8"/>
      <c r="F281" s="8"/>
      <c r="G281" s="8"/>
      <c r="H281" s="8"/>
      <c r="I281" s="8"/>
      <c r="J281" s="8"/>
      <c r="K281" s="8"/>
      <c r="L281" s="8"/>
      <c r="M281" s="8"/>
      <c r="N281" s="8"/>
      <c r="O281" s="8"/>
      <c r="P281" s="8"/>
      <c r="Q281" s="65" t="s">
        <v>423</v>
      </c>
      <c r="R281" s="65" t="s">
        <v>1248</v>
      </c>
      <c r="S281" s="65" t="s">
        <v>1249</v>
      </c>
      <c r="T281" s="8"/>
      <c r="U281" s="8"/>
      <c r="V281" s="8"/>
      <c r="W281" s="8"/>
      <c r="X281" s="8"/>
      <c r="Y281" s="8"/>
    </row>
    <row r="282" spans="1:25" x14ac:dyDescent="0.2">
      <c r="A282" s="8"/>
      <c r="B282" s="8"/>
      <c r="C282" s="8"/>
      <c r="D282" s="8"/>
      <c r="E282" s="8"/>
      <c r="F282" s="8"/>
      <c r="G282" s="8"/>
      <c r="H282" s="8"/>
      <c r="I282" s="8"/>
      <c r="J282" s="8"/>
      <c r="K282" s="8"/>
      <c r="L282" s="8"/>
      <c r="M282" s="8"/>
      <c r="N282" s="8"/>
      <c r="O282" s="8"/>
      <c r="P282" s="8"/>
      <c r="Q282" s="65" t="s">
        <v>423</v>
      </c>
      <c r="R282" s="65" t="s">
        <v>1252</v>
      </c>
      <c r="S282" s="65" t="s">
        <v>428</v>
      </c>
      <c r="T282" s="8"/>
      <c r="U282" s="8"/>
      <c r="V282" s="8"/>
      <c r="W282" s="8"/>
      <c r="X282" s="8"/>
      <c r="Y282" s="8"/>
    </row>
    <row r="283" spans="1:25" x14ac:dyDescent="0.2">
      <c r="A283" s="8"/>
      <c r="B283" s="8"/>
      <c r="C283" s="8"/>
      <c r="D283" s="8"/>
      <c r="E283" s="8"/>
      <c r="F283" s="8"/>
      <c r="G283" s="8"/>
      <c r="H283" s="8"/>
      <c r="I283" s="8"/>
      <c r="J283" s="8"/>
      <c r="K283" s="8"/>
      <c r="L283" s="8"/>
      <c r="M283" s="8"/>
      <c r="N283" s="8"/>
      <c r="O283" s="8"/>
      <c r="P283" s="8"/>
      <c r="Q283" s="65" t="s">
        <v>423</v>
      </c>
      <c r="R283" s="65" t="s">
        <v>1246</v>
      </c>
      <c r="S283" s="65" t="s">
        <v>1247</v>
      </c>
      <c r="T283" s="8"/>
      <c r="U283" s="8"/>
      <c r="V283" s="8"/>
      <c r="W283" s="8"/>
      <c r="X283" s="8"/>
      <c r="Y283" s="8"/>
    </row>
    <row r="284" spans="1:25" x14ac:dyDescent="0.2">
      <c r="A284" s="8"/>
      <c r="B284" s="8"/>
      <c r="C284" s="8"/>
      <c r="D284" s="8"/>
      <c r="E284" s="8"/>
      <c r="F284" s="8"/>
      <c r="G284" s="8"/>
      <c r="H284" s="8"/>
      <c r="I284" s="8"/>
      <c r="J284" s="8"/>
      <c r="K284" s="8"/>
      <c r="L284" s="8"/>
      <c r="M284" s="8"/>
      <c r="N284" s="8"/>
      <c r="O284" s="8"/>
      <c r="P284" s="8"/>
      <c r="Q284" s="65" t="s">
        <v>423</v>
      </c>
      <c r="R284" s="65" t="s">
        <v>1392</v>
      </c>
      <c r="S284" s="65" t="s">
        <v>1393</v>
      </c>
      <c r="T284" s="8"/>
      <c r="U284" s="8"/>
      <c r="V284" s="8"/>
      <c r="W284" s="8"/>
      <c r="X284" s="8"/>
      <c r="Y284" s="8"/>
    </row>
    <row r="285" spans="1:25" x14ac:dyDescent="0.2">
      <c r="A285" s="8"/>
      <c r="B285" s="8"/>
      <c r="C285" s="8"/>
      <c r="D285" s="8"/>
      <c r="E285" s="8"/>
      <c r="F285" s="8"/>
      <c r="G285" s="8"/>
      <c r="H285" s="8"/>
      <c r="I285" s="8"/>
      <c r="J285" s="8"/>
      <c r="K285" s="8"/>
      <c r="L285" s="8"/>
      <c r="M285" s="8"/>
      <c r="N285" s="8"/>
      <c r="O285" s="8"/>
      <c r="P285" s="8"/>
      <c r="Q285" s="65" t="s">
        <v>429</v>
      </c>
      <c r="R285" s="65" t="s">
        <v>1258</v>
      </c>
      <c r="S285" s="65" t="s">
        <v>1259</v>
      </c>
      <c r="T285" s="8"/>
      <c r="U285" s="8"/>
      <c r="V285" s="8"/>
      <c r="W285" s="8"/>
      <c r="X285" s="8"/>
      <c r="Y285" s="8"/>
    </row>
    <row r="286" spans="1:25" x14ac:dyDescent="0.2">
      <c r="A286" s="8"/>
      <c r="B286" s="8"/>
      <c r="C286" s="8"/>
      <c r="D286" s="8"/>
      <c r="E286" s="8"/>
      <c r="F286" s="8"/>
      <c r="G286" s="8"/>
      <c r="H286" s="8"/>
      <c r="I286" s="8"/>
      <c r="J286" s="8"/>
      <c r="K286" s="8"/>
      <c r="L286" s="8"/>
      <c r="M286" s="8"/>
      <c r="N286" s="8"/>
      <c r="O286" s="8"/>
      <c r="P286" s="8"/>
      <c r="Q286" s="65" t="s">
        <v>429</v>
      </c>
      <c r="R286" s="65" t="s">
        <v>1260</v>
      </c>
      <c r="S286" s="65" t="s">
        <v>1261</v>
      </c>
      <c r="T286" s="8"/>
      <c r="U286" s="8"/>
      <c r="V286" s="8"/>
      <c r="W286" s="8"/>
      <c r="X286" s="8"/>
      <c r="Y286" s="8"/>
    </row>
    <row r="287" spans="1:25" x14ac:dyDescent="0.2">
      <c r="A287" s="8"/>
      <c r="B287" s="8"/>
      <c r="C287" s="8"/>
      <c r="D287" s="8"/>
      <c r="E287" s="8"/>
      <c r="F287" s="8"/>
      <c r="G287" s="8"/>
      <c r="H287" s="8"/>
      <c r="I287" s="8"/>
      <c r="J287" s="8"/>
      <c r="K287" s="8"/>
      <c r="L287" s="8"/>
      <c r="M287" s="8"/>
      <c r="N287" s="8"/>
      <c r="O287" s="8"/>
      <c r="P287" s="8"/>
      <c r="Q287" s="65" t="s">
        <v>429</v>
      </c>
      <c r="R287" s="65" t="s">
        <v>430</v>
      </c>
      <c r="S287" s="65" t="s">
        <v>1256</v>
      </c>
      <c r="T287" s="8"/>
      <c r="U287" s="8"/>
      <c r="V287" s="8"/>
      <c r="W287" s="8"/>
      <c r="X287" s="8"/>
      <c r="Y287" s="8"/>
    </row>
    <row r="288" spans="1:25" x14ac:dyDescent="0.2">
      <c r="A288" s="8"/>
      <c r="B288" s="8"/>
      <c r="C288" s="8"/>
      <c r="D288" s="8"/>
      <c r="E288" s="8"/>
      <c r="F288" s="8"/>
      <c r="G288" s="8"/>
      <c r="H288" s="8"/>
      <c r="I288" s="8"/>
      <c r="J288" s="8"/>
      <c r="K288" s="8"/>
      <c r="L288" s="8"/>
      <c r="M288" s="8"/>
      <c r="N288" s="8"/>
      <c r="O288" s="8"/>
      <c r="P288" s="8"/>
      <c r="Q288" s="65" t="s">
        <v>429</v>
      </c>
      <c r="R288" s="65" t="s">
        <v>1253</v>
      </c>
      <c r="S288" s="65" t="s">
        <v>1254</v>
      </c>
      <c r="T288" s="8"/>
      <c r="U288" s="8"/>
      <c r="V288" s="8"/>
      <c r="W288" s="8"/>
      <c r="X288" s="8"/>
      <c r="Y288" s="8"/>
    </row>
    <row r="289" spans="1:25" x14ac:dyDescent="0.2">
      <c r="A289" s="8"/>
      <c r="B289" s="8"/>
      <c r="C289" s="8"/>
      <c r="D289" s="8"/>
      <c r="E289" s="8"/>
      <c r="F289" s="8"/>
      <c r="G289" s="8"/>
      <c r="H289" s="8"/>
      <c r="I289" s="8"/>
      <c r="J289" s="8"/>
      <c r="K289" s="8"/>
      <c r="L289" s="8"/>
      <c r="M289" s="8"/>
      <c r="N289" s="8"/>
      <c r="O289" s="8"/>
      <c r="P289" s="8"/>
      <c r="Q289" s="65" t="s">
        <v>429</v>
      </c>
      <c r="R289" s="65" t="s">
        <v>431</v>
      </c>
      <c r="S289" s="65" t="s">
        <v>1255</v>
      </c>
      <c r="T289" s="8"/>
      <c r="U289" s="8"/>
      <c r="V289" s="8"/>
      <c r="W289" s="8"/>
      <c r="X289" s="8"/>
      <c r="Y289" s="8"/>
    </row>
    <row r="290" spans="1:25" x14ac:dyDescent="0.2">
      <c r="A290" s="8"/>
      <c r="B290" s="8"/>
      <c r="C290" s="8"/>
      <c r="D290" s="8"/>
      <c r="E290" s="8"/>
      <c r="F290" s="8"/>
      <c r="G290" s="8"/>
      <c r="H290" s="8"/>
      <c r="I290" s="8"/>
      <c r="J290" s="8"/>
      <c r="K290" s="8"/>
      <c r="L290" s="8"/>
      <c r="M290" s="8"/>
      <c r="N290" s="8"/>
      <c r="O290" s="8"/>
      <c r="P290" s="8"/>
      <c r="Q290" s="65" t="s">
        <v>429</v>
      </c>
      <c r="R290" s="65" t="s">
        <v>432</v>
      </c>
      <c r="S290" s="65" t="s">
        <v>1257</v>
      </c>
      <c r="T290" s="8"/>
      <c r="U290" s="8"/>
      <c r="V290" s="8"/>
      <c r="W290" s="8"/>
      <c r="X290" s="8"/>
      <c r="Y290" s="8"/>
    </row>
    <row r="291" spans="1:25" x14ac:dyDescent="0.2">
      <c r="A291" s="8"/>
      <c r="B291" s="8"/>
      <c r="C291" s="8"/>
      <c r="D291" s="8"/>
      <c r="E291" s="8"/>
      <c r="F291" s="8"/>
      <c r="G291" s="8"/>
      <c r="H291" s="8"/>
      <c r="I291" s="8"/>
      <c r="J291" s="8"/>
      <c r="K291" s="8"/>
      <c r="L291" s="8"/>
      <c r="M291" s="8"/>
      <c r="N291" s="8"/>
      <c r="O291" s="8"/>
      <c r="P291" s="8"/>
      <c r="Q291" s="65" t="s">
        <v>429</v>
      </c>
      <c r="R291" s="65" t="s">
        <v>1394</v>
      </c>
      <c r="S291" s="65" t="s">
        <v>1395</v>
      </c>
      <c r="T291" s="8"/>
      <c r="U291" s="8"/>
      <c r="V291" s="8"/>
      <c r="W291" s="8"/>
      <c r="X291" s="8"/>
      <c r="Y291" s="8"/>
    </row>
    <row r="292" spans="1:25" x14ac:dyDescent="0.2">
      <c r="A292" s="8"/>
      <c r="B292" s="8"/>
      <c r="C292" s="8"/>
      <c r="D292" s="8"/>
      <c r="E292" s="8"/>
      <c r="F292" s="8"/>
      <c r="G292" s="8"/>
      <c r="H292" s="8"/>
      <c r="I292" s="8"/>
      <c r="J292" s="8"/>
      <c r="K292" s="8"/>
      <c r="L292" s="8"/>
      <c r="M292" s="8"/>
      <c r="N292" s="8"/>
      <c r="O292" s="8"/>
      <c r="P292" s="8"/>
      <c r="Q292" s="65" t="s">
        <v>433</v>
      </c>
      <c r="R292" s="65" t="s">
        <v>434</v>
      </c>
      <c r="S292" s="65" t="s">
        <v>1315</v>
      </c>
      <c r="T292" s="8"/>
      <c r="U292" s="8"/>
      <c r="V292" s="8"/>
      <c r="W292" s="8"/>
      <c r="X292" s="8"/>
      <c r="Y292" s="8"/>
    </row>
    <row r="293" spans="1:25" x14ac:dyDescent="0.2">
      <c r="A293" s="8"/>
      <c r="B293" s="8"/>
      <c r="C293" s="8"/>
      <c r="D293" s="8"/>
      <c r="E293" s="8"/>
      <c r="F293" s="8"/>
      <c r="G293" s="8"/>
      <c r="H293" s="8"/>
      <c r="I293" s="8"/>
      <c r="J293" s="8"/>
      <c r="K293" s="8"/>
      <c r="L293" s="8"/>
      <c r="M293" s="8"/>
      <c r="N293" s="8"/>
      <c r="O293" s="8"/>
      <c r="P293" s="8"/>
      <c r="Q293" s="65" t="s">
        <v>435</v>
      </c>
      <c r="R293" s="65" t="s">
        <v>436</v>
      </c>
      <c r="S293" s="65" t="s">
        <v>445</v>
      </c>
      <c r="T293" s="8"/>
      <c r="U293" s="8"/>
      <c r="V293" s="8"/>
      <c r="W293" s="8"/>
      <c r="X293" s="8"/>
      <c r="Y293" s="8"/>
    </row>
    <row r="294" spans="1:25" x14ac:dyDescent="0.2">
      <c r="A294" s="8"/>
      <c r="B294" s="8"/>
      <c r="C294" s="8"/>
      <c r="D294" s="8"/>
      <c r="E294" s="8"/>
      <c r="F294" s="8"/>
      <c r="G294" s="8"/>
      <c r="H294" s="8"/>
      <c r="I294" s="8"/>
      <c r="J294" s="8"/>
      <c r="K294" s="8"/>
      <c r="L294" s="8"/>
      <c r="M294" s="8"/>
      <c r="N294" s="8"/>
      <c r="O294" s="8"/>
      <c r="P294" s="8"/>
      <c r="Q294" s="65" t="s">
        <v>435</v>
      </c>
      <c r="R294" s="65" t="s">
        <v>1396</v>
      </c>
      <c r="S294" s="65" t="s">
        <v>1343</v>
      </c>
      <c r="T294" s="8"/>
      <c r="U294" s="8"/>
      <c r="V294" s="8"/>
      <c r="W294" s="8"/>
      <c r="X294" s="8"/>
      <c r="Y294" s="8"/>
    </row>
    <row r="295" spans="1:25" x14ac:dyDescent="0.2">
      <c r="A295" s="8"/>
      <c r="B295" s="8"/>
      <c r="C295" s="8"/>
      <c r="D295" s="8"/>
      <c r="E295" s="8"/>
      <c r="F295" s="8"/>
      <c r="G295" s="8"/>
      <c r="H295" s="8"/>
      <c r="I295" s="8"/>
      <c r="J295" s="8"/>
      <c r="K295" s="8"/>
      <c r="L295" s="8"/>
      <c r="M295" s="8"/>
      <c r="N295" s="8"/>
      <c r="O295" s="8"/>
      <c r="P295" s="8"/>
      <c r="Q295" s="65" t="s">
        <v>435</v>
      </c>
      <c r="R295" s="65" t="s">
        <v>1397</v>
      </c>
      <c r="S295" s="65" t="s">
        <v>1398</v>
      </c>
      <c r="T295" s="8"/>
      <c r="U295" s="8"/>
      <c r="V295" s="8"/>
      <c r="W295" s="8"/>
      <c r="X295" s="8"/>
      <c r="Y295" s="8"/>
    </row>
    <row r="296" spans="1:25" x14ac:dyDescent="0.2">
      <c r="A296" s="8"/>
      <c r="B296" s="8"/>
      <c r="C296" s="8"/>
      <c r="D296" s="8"/>
      <c r="E296" s="8"/>
      <c r="F296" s="8"/>
      <c r="G296" s="8"/>
      <c r="H296" s="8"/>
      <c r="I296" s="8"/>
      <c r="J296" s="8"/>
      <c r="K296" s="8"/>
      <c r="L296" s="8"/>
      <c r="M296" s="8"/>
      <c r="N296" s="8"/>
      <c r="O296" s="8"/>
      <c r="P296" s="8"/>
      <c r="Q296" s="65" t="s">
        <v>435</v>
      </c>
      <c r="R296" s="65" t="s">
        <v>1399</v>
      </c>
      <c r="S296" s="65" t="s">
        <v>1400</v>
      </c>
      <c r="T296" s="8"/>
      <c r="U296" s="8"/>
      <c r="V296" s="8"/>
      <c r="W296" s="8"/>
      <c r="X296" s="8"/>
      <c r="Y296" s="8"/>
    </row>
    <row r="297" spans="1:25" x14ac:dyDescent="0.2">
      <c r="A297" s="8"/>
      <c r="B297" s="8"/>
      <c r="C297" s="8"/>
      <c r="D297" s="8"/>
      <c r="E297" s="8"/>
      <c r="F297" s="8"/>
      <c r="G297" s="8"/>
      <c r="H297" s="8"/>
      <c r="I297" s="8"/>
      <c r="J297" s="8"/>
      <c r="K297" s="8"/>
      <c r="L297" s="8"/>
      <c r="M297" s="8"/>
      <c r="N297" s="8"/>
      <c r="O297" s="8"/>
      <c r="P297" s="8"/>
      <c r="Q297" s="65" t="s">
        <v>435</v>
      </c>
      <c r="R297" s="65" t="s">
        <v>1401</v>
      </c>
      <c r="S297" s="65" t="s">
        <v>1318</v>
      </c>
      <c r="T297" s="8"/>
      <c r="U297" s="8"/>
      <c r="V297" s="8"/>
      <c r="W297" s="8"/>
      <c r="X297" s="8"/>
      <c r="Y297" s="8"/>
    </row>
    <row r="298" spans="1:25" x14ac:dyDescent="0.2">
      <c r="A298" s="8"/>
      <c r="B298" s="8"/>
      <c r="C298" s="8"/>
      <c r="D298" s="8"/>
      <c r="E298" s="8"/>
      <c r="F298" s="8"/>
      <c r="G298" s="8"/>
      <c r="H298" s="8"/>
      <c r="I298" s="8"/>
      <c r="J298" s="8"/>
      <c r="K298" s="8"/>
      <c r="L298" s="8"/>
      <c r="M298" s="8"/>
      <c r="N298" s="8"/>
      <c r="O298" s="8"/>
      <c r="P298" s="8"/>
      <c r="Q298" s="65" t="s">
        <v>437</v>
      </c>
      <c r="R298" s="65" t="s">
        <v>438</v>
      </c>
      <c r="S298" s="65" t="s">
        <v>1262</v>
      </c>
      <c r="T298" s="8"/>
      <c r="U298" s="8"/>
      <c r="V298" s="8"/>
      <c r="W298" s="8"/>
      <c r="X298" s="8"/>
      <c r="Y298" s="8"/>
    </row>
    <row r="299" spans="1:25" x14ac:dyDescent="0.2">
      <c r="A299" s="8"/>
      <c r="B299" s="8"/>
      <c r="C299" s="8"/>
      <c r="D299" s="8"/>
      <c r="E299" s="8"/>
      <c r="F299" s="8"/>
      <c r="G299" s="8"/>
      <c r="H299" s="8"/>
      <c r="I299" s="8"/>
      <c r="J299" s="8"/>
      <c r="K299" s="8"/>
      <c r="L299" s="8"/>
      <c r="M299" s="8"/>
      <c r="N299" s="8"/>
      <c r="O299" s="8"/>
      <c r="P299" s="8"/>
      <c r="Q299" s="65" t="s">
        <v>437</v>
      </c>
      <c r="R299" s="65" t="s">
        <v>1263</v>
      </c>
      <c r="S299" s="65" t="s">
        <v>1264</v>
      </c>
      <c r="T299" s="8"/>
      <c r="U299" s="8"/>
      <c r="V299" s="8"/>
      <c r="W299" s="8"/>
      <c r="X299" s="8"/>
      <c r="Y299" s="8"/>
    </row>
    <row r="300" spans="1:25" x14ac:dyDescent="0.2">
      <c r="A300" s="8"/>
      <c r="B300" s="8"/>
      <c r="C300" s="8"/>
      <c r="D300" s="8"/>
      <c r="E300" s="8"/>
      <c r="F300" s="8"/>
      <c r="G300" s="8"/>
      <c r="H300" s="8"/>
      <c r="I300" s="8"/>
      <c r="J300" s="8"/>
      <c r="K300" s="8"/>
      <c r="L300" s="8"/>
      <c r="M300" s="8"/>
      <c r="N300" s="8"/>
      <c r="O300" s="8"/>
      <c r="P300" s="8"/>
      <c r="Q300" s="65" t="s">
        <v>439</v>
      </c>
      <c r="R300" s="65" t="s">
        <v>440</v>
      </c>
      <c r="S300" s="65" t="s">
        <v>1062</v>
      </c>
      <c r="T300" s="8"/>
      <c r="U300" s="8"/>
      <c r="V300" s="8"/>
      <c r="W300" s="8"/>
      <c r="X300" s="8"/>
      <c r="Y300" s="8"/>
    </row>
    <row r="301" spans="1:25" x14ac:dyDescent="0.2">
      <c r="A301" s="8"/>
      <c r="B301" s="8"/>
      <c r="C301" s="8"/>
      <c r="D301" s="8"/>
      <c r="E301" s="8"/>
      <c r="F301" s="8"/>
      <c r="G301" s="8"/>
      <c r="H301" s="8"/>
      <c r="I301" s="8"/>
      <c r="J301" s="8"/>
      <c r="K301" s="8"/>
      <c r="L301" s="8"/>
      <c r="M301" s="8"/>
      <c r="N301" s="8"/>
      <c r="O301" s="8"/>
      <c r="P301" s="8"/>
      <c r="Q301" s="65" t="s">
        <v>439</v>
      </c>
      <c r="R301" s="65" t="s">
        <v>1265</v>
      </c>
      <c r="S301" s="65" t="s">
        <v>1266</v>
      </c>
      <c r="T301" s="8"/>
      <c r="U301" s="8"/>
      <c r="V301" s="8"/>
      <c r="W301" s="8"/>
      <c r="X301" s="8"/>
      <c r="Y301" s="8"/>
    </row>
    <row r="302" spans="1:25" x14ac:dyDescent="0.2">
      <c r="A302" s="8"/>
      <c r="B302" s="8"/>
      <c r="C302" s="8"/>
      <c r="D302" s="8"/>
      <c r="E302" s="8"/>
      <c r="F302" s="8"/>
      <c r="G302" s="8"/>
      <c r="H302" s="8"/>
      <c r="I302" s="8"/>
      <c r="J302" s="8"/>
      <c r="K302" s="8"/>
      <c r="L302" s="8"/>
      <c r="M302" s="8"/>
      <c r="N302" s="8"/>
      <c r="O302" s="8"/>
      <c r="P302" s="8"/>
      <c r="Q302" s="65" t="s">
        <v>439</v>
      </c>
      <c r="R302" s="65" t="s">
        <v>441</v>
      </c>
      <c r="S302" s="65" t="s">
        <v>1402</v>
      </c>
      <c r="T302" s="8"/>
      <c r="U302" s="8"/>
      <c r="V302" s="8"/>
      <c r="W302" s="8"/>
      <c r="X302" s="8"/>
      <c r="Y302" s="8"/>
    </row>
    <row r="303" spans="1:25" x14ac:dyDescent="0.2">
      <c r="A303" s="8"/>
      <c r="B303" s="8"/>
      <c r="C303" s="8"/>
      <c r="D303" s="8"/>
      <c r="E303" s="8"/>
      <c r="F303" s="8"/>
      <c r="G303" s="8"/>
      <c r="H303" s="8"/>
      <c r="I303" s="8"/>
      <c r="J303" s="8"/>
      <c r="K303" s="8"/>
      <c r="L303" s="8"/>
      <c r="M303" s="8"/>
      <c r="N303" s="8"/>
      <c r="O303" s="8"/>
      <c r="P303" s="8"/>
      <c r="Q303" s="65" t="s">
        <v>439</v>
      </c>
      <c r="R303" s="65" t="s">
        <v>442</v>
      </c>
      <c r="S303" s="65" t="s">
        <v>1267</v>
      </c>
      <c r="T303" s="8"/>
      <c r="U303" s="8"/>
      <c r="V303" s="8"/>
      <c r="W303" s="8"/>
      <c r="X303" s="8"/>
      <c r="Y303" s="8"/>
    </row>
    <row r="304" spans="1:25" x14ac:dyDescent="0.2">
      <c r="A304" s="8"/>
      <c r="B304" s="8"/>
      <c r="C304" s="8"/>
      <c r="D304" s="8"/>
      <c r="E304" s="8"/>
      <c r="F304" s="8"/>
      <c r="G304" s="8"/>
      <c r="H304" s="8"/>
      <c r="I304" s="8"/>
      <c r="J304" s="8"/>
      <c r="K304" s="8"/>
      <c r="L304" s="8"/>
      <c r="M304" s="8"/>
      <c r="N304" s="8"/>
      <c r="O304" s="8"/>
      <c r="P304" s="8"/>
      <c r="Q304" s="65" t="s">
        <v>444</v>
      </c>
      <c r="R304" s="65" t="s">
        <v>1403</v>
      </c>
      <c r="S304" s="65" t="s">
        <v>1404</v>
      </c>
      <c r="T304" s="8"/>
      <c r="U304" s="8"/>
      <c r="V304" s="8"/>
      <c r="W304" s="8"/>
      <c r="X304" s="8"/>
      <c r="Y304" s="8"/>
    </row>
    <row r="305" spans="1:25" x14ac:dyDescent="0.2">
      <c r="A305" s="8"/>
      <c r="B305" s="8"/>
      <c r="C305" s="8"/>
      <c r="D305" s="8"/>
      <c r="E305" s="8"/>
      <c r="F305" s="8"/>
      <c r="G305" s="8"/>
      <c r="H305" s="8"/>
      <c r="I305" s="8"/>
      <c r="J305" s="8"/>
      <c r="K305" s="8"/>
      <c r="L305" s="8"/>
      <c r="M305" s="8"/>
      <c r="N305" s="8"/>
      <c r="O305" s="8"/>
      <c r="P305" s="8"/>
      <c r="Q305" s="65" t="s">
        <v>444</v>
      </c>
      <c r="R305" s="65" t="s">
        <v>1405</v>
      </c>
      <c r="S305" s="65" t="s">
        <v>1406</v>
      </c>
      <c r="T305" s="8"/>
      <c r="U305" s="8"/>
      <c r="V305" s="8"/>
      <c r="W305" s="8"/>
      <c r="X305" s="8"/>
      <c r="Y305" s="8"/>
    </row>
    <row r="306" spans="1:25" x14ac:dyDescent="0.2">
      <c r="A306" s="8"/>
      <c r="B306" s="8"/>
      <c r="C306" s="8"/>
      <c r="D306" s="8"/>
      <c r="E306" s="8"/>
      <c r="F306" s="8"/>
      <c r="G306" s="8"/>
      <c r="H306" s="8"/>
      <c r="I306" s="8"/>
      <c r="J306" s="8"/>
      <c r="K306" s="8"/>
      <c r="L306" s="8"/>
      <c r="M306" s="8"/>
      <c r="N306" s="8"/>
      <c r="O306" s="8"/>
      <c r="P306" s="8"/>
      <c r="Q306" s="65" t="s">
        <v>444</v>
      </c>
      <c r="R306" s="65" t="s">
        <v>1268</v>
      </c>
      <c r="S306" s="65" t="s">
        <v>445</v>
      </c>
      <c r="T306" s="8"/>
      <c r="U306" s="8"/>
      <c r="V306" s="8"/>
      <c r="W306" s="8"/>
      <c r="X306" s="8"/>
      <c r="Y306" s="8"/>
    </row>
    <row r="307" spans="1:25" x14ac:dyDescent="0.2">
      <c r="A307" s="8"/>
      <c r="B307" s="8"/>
      <c r="C307" s="8"/>
      <c r="D307" s="8"/>
      <c r="E307" s="8"/>
      <c r="F307" s="8"/>
      <c r="G307" s="8"/>
      <c r="H307" s="8"/>
      <c r="I307" s="8"/>
      <c r="J307" s="8"/>
      <c r="K307" s="8"/>
      <c r="L307" s="8"/>
      <c r="M307" s="8"/>
      <c r="N307" s="8"/>
      <c r="O307" s="8"/>
      <c r="P307" s="8"/>
      <c r="Q307" s="65" t="s">
        <v>444</v>
      </c>
      <c r="R307" s="65" t="s">
        <v>1407</v>
      </c>
      <c r="S307" s="65" t="s">
        <v>1408</v>
      </c>
      <c r="T307" s="8"/>
      <c r="U307" s="8"/>
      <c r="V307" s="8"/>
      <c r="W307" s="8"/>
      <c r="X307" s="8"/>
      <c r="Y307" s="8"/>
    </row>
    <row r="308" spans="1:25" x14ac:dyDescent="0.2">
      <c r="A308" s="8"/>
      <c r="B308" s="8"/>
      <c r="C308" s="8"/>
      <c r="D308" s="8"/>
      <c r="E308" s="8"/>
      <c r="F308" s="8"/>
      <c r="G308" s="8"/>
      <c r="H308" s="8"/>
      <c r="I308" s="8"/>
      <c r="J308" s="8"/>
      <c r="K308" s="8"/>
      <c r="L308" s="8"/>
      <c r="M308" s="8"/>
      <c r="N308" s="8"/>
      <c r="O308" s="8"/>
      <c r="P308" s="8"/>
      <c r="Q308" s="65" t="s">
        <v>446</v>
      </c>
      <c r="R308" s="65" t="s">
        <v>447</v>
      </c>
      <c r="S308" s="65" t="s">
        <v>443</v>
      </c>
      <c r="T308" s="8"/>
      <c r="U308" s="8"/>
      <c r="V308" s="8"/>
      <c r="W308" s="8"/>
      <c r="X308" s="8"/>
      <c r="Y308" s="8"/>
    </row>
    <row r="309" spans="1:25" x14ac:dyDescent="0.2">
      <c r="A309" s="8"/>
      <c r="B309" s="8"/>
      <c r="C309" s="8"/>
      <c r="D309" s="8"/>
      <c r="E309" s="8"/>
      <c r="F309" s="8"/>
      <c r="G309" s="8"/>
      <c r="H309" s="8"/>
      <c r="I309" s="8"/>
      <c r="J309" s="8"/>
      <c r="K309" s="8"/>
      <c r="L309" s="8"/>
      <c r="M309" s="8"/>
      <c r="N309" s="8"/>
      <c r="O309" s="8"/>
      <c r="P309" s="8"/>
      <c r="Q309" s="65" t="s">
        <v>446</v>
      </c>
      <c r="R309" s="65" t="s">
        <v>448</v>
      </c>
      <c r="S309" s="65" t="s">
        <v>1409</v>
      </c>
      <c r="T309" s="8"/>
      <c r="U309" s="8"/>
      <c r="V309" s="8"/>
      <c r="W309" s="8"/>
      <c r="X309" s="8"/>
      <c r="Y309" s="8"/>
    </row>
    <row r="310" spans="1:25" x14ac:dyDescent="0.2">
      <c r="A310" s="8"/>
      <c r="B310" s="8"/>
      <c r="C310" s="8"/>
      <c r="D310" s="8"/>
      <c r="E310" s="8"/>
      <c r="F310" s="8"/>
      <c r="G310" s="8"/>
      <c r="H310" s="8"/>
      <c r="I310" s="8"/>
      <c r="J310" s="8"/>
      <c r="K310" s="8"/>
      <c r="L310" s="8"/>
      <c r="M310" s="8"/>
      <c r="N310" s="8"/>
      <c r="O310" s="8"/>
      <c r="P310" s="8"/>
      <c r="Q310" s="65" t="s">
        <v>449</v>
      </c>
      <c r="R310" s="65" t="s">
        <v>450</v>
      </c>
      <c r="S310" s="65" t="s">
        <v>451</v>
      </c>
      <c r="T310" s="8"/>
      <c r="U310" s="8"/>
      <c r="V310" s="8"/>
      <c r="W310" s="8"/>
      <c r="X310" s="8"/>
      <c r="Y310" s="8"/>
    </row>
    <row r="311" spans="1:25" x14ac:dyDescent="0.2">
      <c r="A311" s="8"/>
      <c r="B311" s="8"/>
      <c r="C311" s="8"/>
      <c r="D311" s="8"/>
      <c r="E311" s="8"/>
      <c r="F311" s="8"/>
      <c r="G311" s="8"/>
      <c r="H311" s="8"/>
      <c r="I311" s="8"/>
      <c r="J311" s="8"/>
      <c r="K311" s="8"/>
      <c r="L311" s="8"/>
      <c r="M311" s="8"/>
      <c r="N311" s="8"/>
      <c r="O311" s="8"/>
      <c r="P311" s="8"/>
      <c r="Q311" s="65" t="s">
        <v>449</v>
      </c>
      <c r="R311" s="65" t="s">
        <v>452</v>
      </c>
      <c r="S311" s="65" t="s">
        <v>453</v>
      </c>
      <c r="T311" s="8"/>
      <c r="U311" s="8"/>
      <c r="V311" s="8"/>
      <c r="W311" s="8"/>
      <c r="X311" s="8"/>
      <c r="Y311" s="8"/>
    </row>
    <row r="312" spans="1:25" x14ac:dyDescent="0.2">
      <c r="A312" s="8"/>
      <c r="B312" s="8"/>
      <c r="C312" s="8"/>
      <c r="D312" s="8"/>
      <c r="E312" s="8"/>
      <c r="F312" s="8"/>
      <c r="G312" s="8"/>
      <c r="H312" s="8"/>
      <c r="I312" s="8"/>
      <c r="J312" s="8"/>
      <c r="K312" s="8"/>
      <c r="L312" s="8"/>
      <c r="M312" s="8"/>
      <c r="N312" s="8"/>
      <c r="O312" s="8"/>
      <c r="P312" s="8"/>
      <c r="Q312" s="65" t="s">
        <v>449</v>
      </c>
      <c r="R312" s="65" t="s">
        <v>454</v>
      </c>
      <c r="S312" s="65" t="s">
        <v>1410</v>
      </c>
      <c r="T312" s="8"/>
      <c r="U312" s="8"/>
      <c r="V312" s="8"/>
      <c r="W312" s="8"/>
      <c r="X312" s="8"/>
      <c r="Y312" s="8"/>
    </row>
    <row r="313" spans="1:25" x14ac:dyDescent="0.2">
      <c r="A313" s="8"/>
      <c r="B313" s="8"/>
      <c r="C313" s="8"/>
      <c r="D313" s="8"/>
      <c r="E313" s="8"/>
      <c r="F313" s="8"/>
      <c r="G313" s="8"/>
      <c r="H313" s="8"/>
      <c r="I313" s="8"/>
      <c r="J313" s="8"/>
      <c r="K313" s="8"/>
      <c r="L313" s="8"/>
      <c r="M313" s="8"/>
      <c r="N313" s="8"/>
      <c r="O313" s="8"/>
      <c r="P313" s="8"/>
      <c r="Q313" s="65" t="s">
        <v>449</v>
      </c>
      <c r="R313" s="65" t="s">
        <v>455</v>
      </c>
      <c r="S313" s="65" t="s">
        <v>1411</v>
      </c>
      <c r="T313" s="8"/>
      <c r="U313" s="8"/>
      <c r="V313" s="8"/>
      <c r="W313" s="8"/>
      <c r="X313" s="8"/>
      <c r="Y313" s="8"/>
    </row>
    <row r="314" spans="1:25" x14ac:dyDescent="0.2">
      <c r="A314" s="8"/>
      <c r="B314" s="8"/>
      <c r="C314" s="8"/>
      <c r="D314" s="8"/>
      <c r="E314" s="8"/>
      <c r="F314" s="8"/>
      <c r="G314" s="8"/>
      <c r="H314" s="8"/>
      <c r="I314" s="8"/>
      <c r="J314" s="8"/>
      <c r="K314" s="8"/>
      <c r="L314" s="8"/>
      <c r="M314" s="8"/>
      <c r="N314" s="8"/>
      <c r="O314" s="8"/>
      <c r="P314" s="8"/>
      <c r="Q314" s="65" t="s">
        <v>456</v>
      </c>
      <c r="R314" s="65" t="s">
        <v>457</v>
      </c>
      <c r="S314" s="65" t="s">
        <v>443</v>
      </c>
      <c r="T314" s="8"/>
      <c r="U314" s="8"/>
      <c r="V314" s="8"/>
      <c r="W314" s="8"/>
      <c r="X314" s="8"/>
      <c r="Y314" s="8"/>
    </row>
    <row r="315" spans="1:25" x14ac:dyDescent="0.2">
      <c r="A315" s="8"/>
      <c r="B315" s="8"/>
      <c r="C315" s="8"/>
      <c r="D315" s="8"/>
      <c r="E315" s="8"/>
      <c r="F315" s="8"/>
      <c r="G315" s="8"/>
      <c r="H315" s="8"/>
      <c r="I315" s="8"/>
      <c r="J315" s="8"/>
      <c r="K315" s="8"/>
      <c r="L315" s="8"/>
      <c r="M315" s="8"/>
      <c r="N315" s="8"/>
      <c r="O315" s="8"/>
      <c r="P315" s="8"/>
      <c r="Q315" s="65" t="s">
        <v>458</v>
      </c>
      <c r="R315" s="65" t="s">
        <v>459</v>
      </c>
      <c r="S315" s="65" t="s">
        <v>1315</v>
      </c>
      <c r="T315" s="8"/>
      <c r="U315" s="8"/>
      <c r="V315" s="8"/>
      <c r="W315" s="8"/>
      <c r="X315" s="8"/>
      <c r="Y315" s="8"/>
    </row>
    <row r="316" spans="1:25" x14ac:dyDescent="0.2">
      <c r="A316" s="8"/>
      <c r="B316" s="8"/>
      <c r="C316" s="8"/>
      <c r="D316" s="8"/>
      <c r="E316" s="8"/>
      <c r="F316" s="8"/>
      <c r="G316" s="8"/>
      <c r="H316" s="8"/>
      <c r="I316" s="8"/>
      <c r="J316" s="8"/>
      <c r="K316" s="8"/>
      <c r="L316" s="8"/>
      <c r="M316" s="8"/>
      <c r="N316" s="8"/>
      <c r="O316" s="8"/>
      <c r="P316" s="8"/>
      <c r="Q316" s="65" t="s">
        <v>460</v>
      </c>
      <c r="R316" s="65" t="s">
        <v>1270</v>
      </c>
      <c r="S316" s="65" t="s">
        <v>1053</v>
      </c>
      <c r="T316" s="8"/>
      <c r="U316" s="8"/>
      <c r="V316" s="8"/>
      <c r="W316" s="8"/>
      <c r="X316" s="8"/>
      <c r="Y316" s="8"/>
    </row>
    <row r="317" spans="1:25" x14ac:dyDescent="0.2">
      <c r="A317" s="8"/>
      <c r="B317" s="8"/>
      <c r="C317" s="8"/>
      <c r="D317" s="8"/>
      <c r="E317" s="8"/>
      <c r="F317" s="8"/>
      <c r="G317" s="8"/>
      <c r="H317" s="8"/>
      <c r="I317" s="8"/>
      <c r="J317" s="8"/>
      <c r="K317" s="8"/>
      <c r="L317" s="8"/>
      <c r="M317" s="8"/>
      <c r="N317" s="8"/>
      <c r="O317" s="8"/>
      <c r="P317" s="8"/>
      <c r="Q317" s="65" t="s">
        <v>460</v>
      </c>
      <c r="R317" s="65" t="s">
        <v>1273</v>
      </c>
      <c r="S317" s="65" t="s">
        <v>1274</v>
      </c>
      <c r="T317" s="8"/>
      <c r="U317" s="8"/>
      <c r="V317" s="8"/>
      <c r="W317" s="8"/>
      <c r="X317" s="8"/>
      <c r="Y317" s="8"/>
    </row>
    <row r="318" spans="1:25" x14ac:dyDescent="0.2">
      <c r="A318" s="8"/>
      <c r="B318" s="8"/>
      <c r="C318" s="8"/>
      <c r="D318" s="8"/>
      <c r="E318" s="8"/>
      <c r="F318" s="8"/>
      <c r="G318" s="8"/>
      <c r="H318" s="8"/>
      <c r="I318" s="8"/>
      <c r="J318" s="8"/>
      <c r="K318" s="8"/>
      <c r="L318" s="8"/>
      <c r="M318" s="8"/>
      <c r="N318" s="8"/>
      <c r="O318" s="8"/>
      <c r="P318" s="8"/>
      <c r="Q318" s="65" t="s">
        <v>460</v>
      </c>
      <c r="R318" s="65" t="s">
        <v>1269</v>
      </c>
      <c r="S318" s="65" t="s">
        <v>1096</v>
      </c>
      <c r="T318" s="8"/>
      <c r="U318" s="8"/>
      <c r="V318" s="8"/>
      <c r="W318" s="8"/>
      <c r="X318" s="8"/>
      <c r="Y318" s="8"/>
    </row>
    <row r="319" spans="1:25" x14ac:dyDescent="0.2">
      <c r="A319" s="8"/>
      <c r="B319" s="8"/>
      <c r="C319" s="8"/>
      <c r="D319" s="8"/>
      <c r="E319" s="8"/>
      <c r="F319" s="8"/>
      <c r="G319" s="8"/>
      <c r="H319" s="8"/>
      <c r="I319" s="8"/>
      <c r="J319" s="8"/>
      <c r="K319" s="8"/>
      <c r="L319" s="8"/>
      <c r="M319" s="8"/>
      <c r="N319" s="8"/>
      <c r="O319" s="8"/>
      <c r="P319" s="8"/>
      <c r="Q319" s="65" t="s">
        <v>460</v>
      </c>
      <c r="R319" s="65" t="s">
        <v>1271</v>
      </c>
      <c r="S319" s="65" t="s">
        <v>1272</v>
      </c>
      <c r="T319" s="8"/>
      <c r="U319" s="8"/>
      <c r="V319" s="8"/>
      <c r="W319" s="8"/>
      <c r="X319" s="8"/>
      <c r="Y319" s="8"/>
    </row>
    <row r="320" spans="1:25" x14ac:dyDescent="0.2">
      <c r="A320" s="8"/>
      <c r="B320" s="8"/>
      <c r="C320" s="8"/>
      <c r="D320" s="8"/>
      <c r="E320" s="8"/>
      <c r="F320" s="8"/>
      <c r="G320" s="8"/>
      <c r="H320" s="8"/>
      <c r="I320" s="8"/>
      <c r="J320" s="8"/>
      <c r="K320" s="8"/>
      <c r="L320" s="8"/>
      <c r="M320" s="8"/>
      <c r="N320" s="8"/>
      <c r="O320" s="8"/>
      <c r="P320" s="8"/>
      <c r="Q320" s="65" t="s">
        <v>460</v>
      </c>
      <c r="R320" s="65" t="s">
        <v>1412</v>
      </c>
      <c r="S320" s="65" t="s">
        <v>1329</v>
      </c>
      <c r="T320" s="8"/>
      <c r="U320" s="8"/>
      <c r="V320" s="8"/>
      <c r="W320" s="8"/>
      <c r="X320" s="8"/>
      <c r="Y320" s="8"/>
    </row>
    <row r="321" spans="1:25" x14ac:dyDescent="0.2">
      <c r="A321" s="8"/>
      <c r="B321" s="8"/>
      <c r="C321" s="8"/>
      <c r="D321" s="8"/>
      <c r="E321" s="8"/>
      <c r="F321" s="8"/>
      <c r="G321" s="8"/>
      <c r="H321" s="8"/>
      <c r="I321" s="8"/>
      <c r="J321" s="8"/>
      <c r="K321" s="8"/>
      <c r="L321" s="8"/>
      <c r="M321" s="8"/>
      <c r="N321" s="8"/>
      <c r="O321" s="8"/>
      <c r="P321" s="8"/>
      <c r="Q321" s="65" t="s">
        <v>461</v>
      </c>
      <c r="R321" s="65" t="s">
        <v>462</v>
      </c>
      <c r="S321" s="65" t="s">
        <v>1275</v>
      </c>
      <c r="T321" s="8"/>
      <c r="U321" s="8"/>
      <c r="V321" s="8"/>
      <c r="W321" s="8"/>
      <c r="X321" s="8"/>
      <c r="Y321" s="8"/>
    </row>
    <row r="322" spans="1:25" x14ac:dyDescent="0.2">
      <c r="A322" s="8"/>
      <c r="B322" s="8"/>
      <c r="C322" s="8"/>
      <c r="D322" s="8"/>
      <c r="E322" s="8"/>
      <c r="F322" s="8"/>
      <c r="G322" s="8"/>
      <c r="H322" s="8"/>
      <c r="I322" s="8"/>
      <c r="J322" s="8"/>
      <c r="K322" s="8"/>
      <c r="L322" s="8"/>
      <c r="M322" s="8"/>
      <c r="N322" s="8"/>
      <c r="O322" s="8"/>
      <c r="P322" s="8"/>
      <c r="Q322" s="65" t="s">
        <v>461</v>
      </c>
      <c r="R322" s="65" t="s">
        <v>1276</v>
      </c>
      <c r="S322" s="65" t="s">
        <v>443</v>
      </c>
      <c r="T322" s="8"/>
      <c r="U322" s="8"/>
      <c r="V322" s="8"/>
      <c r="W322" s="8"/>
      <c r="X322" s="8"/>
      <c r="Y322" s="8"/>
    </row>
    <row r="323" spans="1:25" x14ac:dyDescent="0.2">
      <c r="A323" s="8"/>
      <c r="B323" s="8"/>
      <c r="C323" s="8"/>
      <c r="D323" s="8"/>
      <c r="E323" s="8"/>
      <c r="F323" s="8"/>
      <c r="G323" s="8"/>
      <c r="H323" s="8"/>
      <c r="I323" s="8"/>
      <c r="J323" s="8"/>
      <c r="K323" s="8"/>
      <c r="L323" s="8"/>
      <c r="M323" s="8"/>
      <c r="N323" s="8"/>
      <c r="O323" s="8"/>
      <c r="P323" s="8"/>
      <c r="Q323" s="65" t="s">
        <v>461</v>
      </c>
      <c r="R323" s="65" t="s">
        <v>463</v>
      </c>
      <c r="S323" s="65" t="s">
        <v>1413</v>
      </c>
      <c r="T323" s="8"/>
      <c r="U323" s="8"/>
      <c r="V323" s="8"/>
      <c r="W323" s="8"/>
      <c r="X323" s="8"/>
      <c r="Y323" s="8"/>
    </row>
    <row r="324" spans="1:25" x14ac:dyDescent="0.2">
      <c r="A324" s="8"/>
      <c r="B324" s="8"/>
      <c r="C324" s="8"/>
      <c r="D324" s="8"/>
      <c r="E324" s="8"/>
      <c r="F324" s="8"/>
      <c r="G324" s="8"/>
      <c r="H324" s="8"/>
      <c r="I324" s="8"/>
      <c r="J324" s="8"/>
      <c r="K324" s="8"/>
      <c r="L324" s="8"/>
      <c r="M324" s="8"/>
      <c r="N324" s="8"/>
      <c r="O324" s="8"/>
      <c r="P324" s="8"/>
      <c r="Q324" s="65" t="s">
        <v>461</v>
      </c>
      <c r="R324" s="65" t="s">
        <v>464</v>
      </c>
      <c r="S324" s="65" t="s">
        <v>1414</v>
      </c>
      <c r="T324" s="8"/>
      <c r="U324" s="8"/>
      <c r="V324" s="8"/>
      <c r="W324" s="8"/>
      <c r="X324" s="8"/>
      <c r="Y324" s="8"/>
    </row>
    <row r="325" spans="1:25" x14ac:dyDescent="0.2">
      <c r="A325" s="8"/>
      <c r="B325" s="8"/>
      <c r="C325" s="8"/>
      <c r="D325" s="8"/>
      <c r="E325" s="8"/>
      <c r="F325" s="8"/>
      <c r="G325" s="8"/>
      <c r="H325" s="8"/>
      <c r="I325" s="8"/>
      <c r="J325" s="8"/>
      <c r="K325" s="8"/>
      <c r="L325" s="8"/>
      <c r="M325" s="8"/>
      <c r="N325" s="8"/>
      <c r="O325" s="8"/>
      <c r="P325" s="8"/>
      <c r="Q325" s="65" t="s">
        <v>465</v>
      </c>
      <c r="R325" s="65" t="s">
        <v>1415</v>
      </c>
      <c r="S325" s="65" t="s">
        <v>466</v>
      </c>
      <c r="T325" s="8"/>
      <c r="U325" s="8"/>
      <c r="V325" s="8"/>
      <c r="W325" s="8"/>
      <c r="X325" s="8"/>
      <c r="Y325" s="8"/>
    </row>
    <row r="326" spans="1:25" x14ac:dyDescent="0.2">
      <c r="A326" s="8"/>
      <c r="B326" s="8"/>
      <c r="C326" s="8"/>
      <c r="D326" s="8"/>
      <c r="E326" s="8"/>
      <c r="F326" s="8"/>
      <c r="G326" s="8"/>
      <c r="H326" s="8"/>
      <c r="I326" s="8"/>
      <c r="J326" s="8"/>
      <c r="K326" s="8"/>
      <c r="L326" s="8"/>
      <c r="M326" s="8"/>
      <c r="N326" s="8"/>
      <c r="O326" s="8"/>
      <c r="P326" s="8"/>
      <c r="Q326" s="65" t="s">
        <v>465</v>
      </c>
      <c r="R326" s="65" t="s">
        <v>1278</v>
      </c>
      <c r="S326" s="65" t="s">
        <v>1126</v>
      </c>
      <c r="T326" s="8"/>
      <c r="U326" s="8"/>
      <c r="V326" s="8"/>
      <c r="W326" s="8"/>
      <c r="X326" s="8"/>
      <c r="Y326" s="8"/>
    </row>
    <row r="327" spans="1:25" x14ac:dyDescent="0.2">
      <c r="A327" s="8"/>
      <c r="B327" s="8"/>
      <c r="C327" s="8"/>
      <c r="D327" s="8"/>
      <c r="E327" s="8"/>
      <c r="F327" s="8"/>
      <c r="G327" s="8"/>
      <c r="H327" s="8"/>
      <c r="I327" s="8"/>
      <c r="J327" s="8"/>
      <c r="K327" s="8"/>
      <c r="L327" s="8"/>
      <c r="M327" s="8"/>
      <c r="N327" s="8"/>
      <c r="O327" s="8"/>
      <c r="P327" s="8"/>
      <c r="Q327" s="65" t="s">
        <v>465</v>
      </c>
      <c r="R327" s="65" t="s">
        <v>467</v>
      </c>
      <c r="S327" s="65" t="s">
        <v>443</v>
      </c>
      <c r="T327" s="8"/>
      <c r="U327" s="8"/>
      <c r="V327" s="8"/>
      <c r="W327" s="8"/>
      <c r="X327" s="8"/>
      <c r="Y327" s="8"/>
    </row>
    <row r="328" spans="1:25" x14ac:dyDescent="0.2">
      <c r="A328" s="8"/>
      <c r="B328" s="8"/>
      <c r="C328" s="8"/>
      <c r="D328" s="8"/>
      <c r="E328" s="8"/>
      <c r="F328" s="8"/>
      <c r="G328" s="8"/>
      <c r="H328" s="8"/>
      <c r="I328" s="8"/>
      <c r="J328" s="8"/>
      <c r="K328" s="8"/>
      <c r="L328" s="8"/>
      <c r="M328" s="8"/>
      <c r="N328" s="8"/>
      <c r="O328" s="8"/>
      <c r="P328" s="8"/>
      <c r="Q328" s="65" t="s">
        <v>465</v>
      </c>
      <c r="R328" s="65" t="s">
        <v>1277</v>
      </c>
      <c r="S328" s="65" t="s">
        <v>1032</v>
      </c>
      <c r="T328" s="8"/>
      <c r="U328" s="8"/>
      <c r="V328" s="8"/>
      <c r="W328" s="8"/>
      <c r="X328" s="8"/>
      <c r="Y328" s="8"/>
    </row>
    <row r="329" spans="1:25" x14ac:dyDescent="0.2">
      <c r="A329" s="8"/>
      <c r="B329" s="8"/>
      <c r="C329" s="8"/>
      <c r="D329" s="8"/>
      <c r="E329" s="8"/>
      <c r="F329" s="8"/>
      <c r="G329" s="8"/>
      <c r="H329" s="8"/>
      <c r="I329" s="8"/>
      <c r="J329" s="8"/>
      <c r="K329" s="8"/>
      <c r="L329" s="8"/>
      <c r="M329" s="8"/>
      <c r="N329" s="8"/>
      <c r="O329" s="8"/>
      <c r="P329" s="8"/>
      <c r="Q329" s="65" t="s">
        <v>468</v>
      </c>
      <c r="R329" s="65" t="s">
        <v>469</v>
      </c>
      <c r="S329" s="65" t="s">
        <v>1362</v>
      </c>
      <c r="T329" s="8"/>
      <c r="U329" s="8"/>
      <c r="V329" s="8"/>
      <c r="W329" s="8"/>
      <c r="X329" s="8"/>
      <c r="Y329" s="8"/>
    </row>
    <row r="330" spans="1:25" x14ac:dyDescent="0.2">
      <c r="A330" s="8"/>
      <c r="B330" s="8"/>
      <c r="C330" s="8"/>
      <c r="D330" s="8"/>
      <c r="E330" s="8"/>
      <c r="F330" s="8"/>
      <c r="G330" s="8"/>
      <c r="H330" s="8"/>
      <c r="I330" s="8"/>
      <c r="J330" s="8"/>
      <c r="K330" s="8"/>
      <c r="L330" s="8"/>
      <c r="M330" s="8"/>
      <c r="N330" s="8"/>
      <c r="O330" s="8"/>
      <c r="P330" s="8"/>
      <c r="Q330" s="65" t="s">
        <v>468</v>
      </c>
      <c r="R330" s="65" t="s">
        <v>1416</v>
      </c>
      <c r="S330" s="65" t="s">
        <v>1318</v>
      </c>
      <c r="T330" s="8"/>
      <c r="U330" s="8"/>
      <c r="V330" s="8"/>
      <c r="W330" s="8"/>
      <c r="X330" s="8"/>
      <c r="Y330" s="8"/>
    </row>
    <row r="331" spans="1:25" x14ac:dyDescent="0.2">
      <c r="A331" s="8"/>
      <c r="B331" s="8"/>
      <c r="C331" s="8"/>
      <c r="D331" s="8"/>
      <c r="E331" s="8"/>
      <c r="F331" s="8"/>
      <c r="G331" s="8"/>
      <c r="H331" s="8"/>
      <c r="I331" s="8"/>
      <c r="J331" s="8"/>
      <c r="K331" s="8"/>
      <c r="L331" s="8"/>
      <c r="M331" s="8"/>
      <c r="N331" s="8"/>
      <c r="O331" s="8"/>
      <c r="P331" s="8"/>
      <c r="Q331" s="65" t="s">
        <v>470</v>
      </c>
      <c r="R331" s="65" t="s">
        <v>1279</v>
      </c>
      <c r="S331" s="65" t="s">
        <v>443</v>
      </c>
      <c r="T331" s="8"/>
      <c r="U331" s="8"/>
      <c r="V331" s="8"/>
      <c r="W331" s="8"/>
      <c r="X331" s="8"/>
      <c r="Y331" s="8"/>
    </row>
    <row r="332" spans="1:25" x14ac:dyDescent="0.2">
      <c r="A332" s="8"/>
      <c r="B332" s="8"/>
      <c r="C332" s="8"/>
      <c r="D332" s="8"/>
      <c r="E332" s="8"/>
      <c r="F332" s="8"/>
      <c r="G332" s="8"/>
      <c r="H332" s="8"/>
      <c r="I332" s="8"/>
      <c r="J332" s="8"/>
      <c r="K332" s="8"/>
      <c r="L332" s="8"/>
      <c r="M332" s="8"/>
      <c r="N332" s="8"/>
      <c r="O332" s="8"/>
      <c r="P332" s="8"/>
      <c r="Q332" s="65" t="s">
        <v>470</v>
      </c>
      <c r="R332" s="65" t="s">
        <v>471</v>
      </c>
      <c r="S332" s="65" t="s">
        <v>1417</v>
      </c>
      <c r="T332" s="8"/>
      <c r="U332" s="8"/>
      <c r="V332" s="8"/>
      <c r="W332" s="8"/>
      <c r="X332" s="8"/>
      <c r="Y332" s="8"/>
    </row>
    <row r="333" spans="1:25" x14ac:dyDescent="0.2">
      <c r="A333" s="8"/>
      <c r="B333" s="8"/>
      <c r="C333" s="8"/>
      <c r="D333" s="8"/>
      <c r="E333" s="8"/>
      <c r="F333" s="8"/>
      <c r="G333" s="8"/>
      <c r="H333" s="8"/>
      <c r="I333" s="8"/>
      <c r="J333" s="8"/>
      <c r="K333" s="8"/>
      <c r="L333" s="8"/>
      <c r="M333" s="8"/>
      <c r="N333" s="8"/>
      <c r="O333" s="8"/>
      <c r="P333" s="8"/>
      <c r="Q333" s="65" t="s">
        <v>470</v>
      </c>
      <c r="R333" s="65" t="s">
        <v>1418</v>
      </c>
      <c r="S333" s="209" t="s">
        <v>1917</v>
      </c>
      <c r="T333" s="8"/>
      <c r="U333" s="8"/>
      <c r="V333" s="8"/>
      <c r="W333" s="8"/>
      <c r="X333" s="8"/>
      <c r="Y333" s="8"/>
    </row>
    <row r="334" spans="1:25" x14ac:dyDescent="0.2">
      <c r="A334" s="8"/>
      <c r="B334" s="8"/>
      <c r="C334" s="8"/>
      <c r="D334" s="8"/>
      <c r="E334" s="8"/>
      <c r="F334" s="8"/>
      <c r="G334" s="8"/>
      <c r="H334" s="8"/>
      <c r="I334" s="8"/>
      <c r="J334" s="8"/>
      <c r="K334" s="8"/>
      <c r="L334" s="8"/>
      <c r="M334" s="8"/>
      <c r="N334" s="8"/>
      <c r="O334" s="8"/>
      <c r="P334" s="8"/>
      <c r="Q334" s="65" t="s">
        <v>470</v>
      </c>
      <c r="R334" s="65" t="s">
        <v>472</v>
      </c>
      <c r="S334" s="65" t="s">
        <v>1026</v>
      </c>
      <c r="T334" s="8"/>
      <c r="U334" s="8"/>
      <c r="V334" s="8"/>
      <c r="W334" s="8"/>
      <c r="X334" s="8"/>
      <c r="Y334" s="8"/>
    </row>
    <row r="335" spans="1:25" x14ac:dyDescent="0.2">
      <c r="A335" s="8"/>
      <c r="B335" s="8"/>
      <c r="C335" s="8"/>
      <c r="D335" s="8"/>
      <c r="E335" s="8"/>
      <c r="F335" s="8"/>
      <c r="G335" s="8"/>
      <c r="H335" s="8"/>
      <c r="I335" s="8"/>
      <c r="J335" s="8"/>
      <c r="K335" s="8"/>
      <c r="L335" s="8"/>
      <c r="M335" s="8"/>
      <c r="N335" s="8"/>
      <c r="O335" s="8"/>
      <c r="P335" s="8"/>
      <c r="Q335" s="65" t="s">
        <v>470</v>
      </c>
      <c r="R335" s="65" t="s">
        <v>1419</v>
      </c>
      <c r="S335" s="65" t="s">
        <v>1420</v>
      </c>
      <c r="T335" s="8"/>
      <c r="U335" s="8"/>
      <c r="V335" s="8"/>
      <c r="W335" s="8"/>
      <c r="X335" s="8"/>
      <c r="Y335" s="8"/>
    </row>
    <row r="336" spans="1:25" x14ac:dyDescent="0.2">
      <c r="A336" s="8"/>
      <c r="B336" s="8"/>
      <c r="C336" s="8"/>
      <c r="D336" s="8"/>
      <c r="E336" s="8"/>
      <c r="F336" s="8"/>
      <c r="G336" s="8"/>
      <c r="H336" s="8"/>
      <c r="I336" s="8"/>
      <c r="J336" s="8"/>
      <c r="K336" s="8"/>
      <c r="L336" s="8"/>
      <c r="M336" s="8"/>
      <c r="N336" s="8"/>
      <c r="O336" s="8"/>
      <c r="P336" s="8"/>
      <c r="Q336" s="65" t="s">
        <v>470</v>
      </c>
      <c r="R336" s="65" t="s">
        <v>1280</v>
      </c>
      <c r="S336" s="65" t="s">
        <v>1281</v>
      </c>
      <c r="T336" s="8"/>
      <c r="U336" s="8"/>
      <c r="V336" s="8"/>
      <c r="W336" s="8"/>
      <c r="X336" s="8"/>
      <c r="Y336" s="8"/>
    </row>
    <row r="337" spans="1:25" x14ac:dyDescent="0.2">
      <c r="A337" s="8"/>
      <c r="B337" s="8"/>
      <c r="C337" s="8"/>
      <c r="D337" s="8"/>
      <c r="E337" s="8"/>
      <c r="F337" s="8"/>
      <c r="G337" s="8"/>
      <c r="H337" s="8"/>
      <c r="I337" s="8"/>
      <c r="J337" s="8"/>
      <c r="K337" s="8"/>
      <c r="L337" s="8"/>
      <c r="M337" s="8"/>
      <c r="N337" s="8"/>
      <c r="O337" s="8"/>
      <c r="P337" s="8"/>
      <c r="Q337" s="65" t="s">
        <v>1345</v>
      </c>
      <c r="R337" s="65" t="s">
        <v>1421</v>
      </c>
      <c r="S337" s="65" t="s">
        <v>1343</v>
      </c>
      <c r="T337" s="8"/>
      <c r="U337" s="8"/>
      <c r="V337" s="8"/>
      <c r="W337" s="8"/>
      <c r="X337" s="8"/>
      <c r="Y337" s="8"/>
    </row>
    <row r="338" spans="1:25" x14ac:dyDescent="0.2">
      <c r="A338" s="8"/>
      <c r="B338" s="8"/>
      <c r="C338" s="8"/>
      <c r="D338" s="8"/>
      <c r="E338" s="8"/>
      <c r="F338" s="8"/>
      <c r="G338" s="8"/>
      <c r="H338" s="8"/>
      <c r="I338" s="8"/>
      <c r="J338" s="8"/>
      <c r="K338" s="8"/>
      <c r="L338" s="8"/>
      <c r="M338" s="8"/>
      <c r="N338" s="8"/>
      <c r="O338" s="8"/>
      <c r="P338" s="8"/>
      <c r="Q338" s="65" t="s">
        <v>1345</v>
      </c>
      <c r="R338" s="65" t="s">
        <v>477</v>
      </c>
      <c r="S338" s="65" t="s">
        <v>1315</v>
      </c>
      <c r="T338" s="8"/>
      <c r="U338" s="8"/>
      <c r="V338" s="8"/>
      <c r="W338" s="8"/>
      <c r="X338" s="8"/>
      <c r="Y338" s="8"/>
    </row>
    <row r="339" spans="1:25" x14ac:dyDescent="0.2">
      <c r="A339" s="8"/>
      <c r="B339" s="8"/>
      <c r="C339" s="8"/>
      <c r="D339" s="8"/>
      <c r="E339" s="8"/>
      <c r="F339" s="8"/>
      <c r="G339" s="8"/>
      <c r="H339" s="8"/>
      <c r="I339" s="8"/>
      <c r="J339" s="8"/>
      <c r="K339" s="8"/>
      <c r="L339" s="8"/>
      <c r="M339" s="8"/>
      <c r="N339" s="8"/>
      <c r="O339" s="8"/>
      <c r="P339" s="8"/>
      <c r="Q339" s="65" t="s">
        <v>473</v>
      </c>
      <c r="R339" s="65" t="s">
        <v>1283</v>
      </c>
      <c r="S339" s="65" t="s">
        <v>443</v>
      </c>
      <c r="T339" s="8"/>
      <c r="U339" s="8"/>
      <c r="V339" s="8"/>
      <c r="W339" s="8"/>
      <c r="X339" s="8"/>
      <c r="Y339" s="8"/>
    </row>
    <row r="340" spans="1:25" x14ac:dyDescent="0.2">
      <c r="A340" s="8"/>
      <c r="B340" s="8"/>
      <c r="C340" s="8"/>
      <c r="D340" s="8"/>
      <c r="E340" s="8"/>
      <c r="F340" s="8"/>
      <c r="G340" s="8"/>
      <c r="H340" s="8"/>
      <c r="I340" s="8"/>
      <c r="J340" s="8"/>
      <c r="K340" s="8"/>
      <c r="L340" s="8"/>
      <c r="M340" s="8"/>
      <c r="N340" s="8"/>
      <c r="O340" s="8"/>
      <c r="P340" s="8"/>
      <c r="Q340" s="65" t="s">
        <v>473</v>
      </c>
      <c r="R340" s="65" t="s">
        <v>474</v>
      </c>
      <c r="S340" s="65" t="s">
        <v>1282</v>
      </c>
      <c r="T340" s="8"/>
      <c r="U340" s="8"/>
      <c r="V340" s="8"/>
      <c r="W340" s="8"/>
      <c r="X340" s="8"/>
      <c r="Y340" s="8"/>
    </row>
    <row r="341" spans="1:25" x14ac:dyDescent="0.2">
      <c r="A341" s="8"/>
      <c r="B341" s="8"/>
      <c r="C341" s="8"/>
      <c r="D341" s="8"/>
      <c r="E341" s="8"/>
      <c r="F341" s="8"/>
      <c r="G341" s="8"/>
      <c r="H341" s="8"/>
      <c r="I341" s="8"/>
      <c r="J341" s="8"/>
      <c r="K341" s="8"/>
      <c r="L341" s="8"/>
      <c r="M341" s="8"/>
      <c r="N341" s="8"/>
      <c r="O341" s="8"/>
      <c r="P341" s="8"/>
      <c r="Q341" s="65" t="s">
        <v>473</v>
      </c>
      <c r="R341" s="65" t="s">
        <v>1422</v>
      </c>
      <c r="S341" s="65" t="s">
        <v>1423</v>
      </c>
      <c r="T341" s="8"/>
      <c r="U341" s="8"/>
      <c r="V341" s="8"/>
      <c r="W341" s="8"/>
      <c r="X341" s="8"/>
      <c r="Y341" s="8"/>
    </row>
    <row r="342" spans="1:25" x14ac:dyDescent="0.2">
      <c r="A342" s="8"/>
      <c r="B342" s="8"/>
      <c r="C342" s="8"/>
      <c r="D342" s="8"/>
      <c r="E342" s="8"/>
      <c r="F342" s="8"/>
      <c r="G342" s="8"/>
      <c r="H342" s="8"/>
      <c r="I342" s="8"/>
      <c r="J342" s="8"/>
      <c r="K342" s="8"/>
      <c r="L342" s="8"/>
      <c r="M342" s="8"/>
      <c r="N342" s="8"/>
      <c r="O342" s="8"/>
      <c r="P342" s="8"/>
      <c r="Q342" s="65" t="s">
        <v>473</v>
      </c>
      <c r="R342" s="65" t="s">
        <v>1424</v>
      </c>
      <c r="S342" s="65" t="s">
        <v>1232</v>
      </c>
      <c r="T342" s="8"/>
      <c r="U342" s="8"/>
      <c r="V342" s="8"/>
      <c r="W342" s="8"/>
      <c r="X342" s="8"/>
      <c r="Y342" s="8"/>
    </row>
    <row r="343" spans="1:25" x14ac:dyDescent="0.2">
      <c r="A343" s="8"/>
      <c r="B343" s="8"/>
      <c r="C343" s="8"/>
      <c r="D343" s="8"/>
      <c r="E343" s="8"/>
      <c r="F343" s="8"/>
      <c r="G343" s="8"/>
      <c r="H343" s="8"/>
      <c r="I343" s="8"/>
      <c r="J343" s="8"/>
      <c r="K343" s="8"/>
      <c r="L343" s="8"/>
      <c r="M343" s="8"/>
      <c r="N343" s="8"/>
      <c r="O343" s="8"/>
      <c r="P343" s="8"/>
      <c r="Q343" s="65" t="s">
        <v>475</v>
      </c>
      <c r="R343" s="65" t="s">
        <v>476</v>
      </c>
      <c r="S343" s="65" t="s">
        <v>1315</v>
      </c>
      <c r="T343" s="8"/>
      <c r="U343" s="8"/>
      <c r="V343" s="8"/>
      <c r="W343" s="8"/>
      <c r="X343" s="8"/>
      <c r="Y343" s="8"/>
    </row>
    <row r="344" spans="1:25" x14ac:dyDescent="0.2">
      <c r="A344" s="8"/>
      <c r="B344" s="8"/>
      <c r="C344" s="8"/>
      <c r="D344" s="8"/>
      <c r="E344" s="8"/>
      <c r="F344" s="8"/>
      <c r="G344" s="8"/>
      <c r="H344" s="8"/>
      <c r="I344" s="8"/>
      <c r="J344" s="8"/>
      <c r="K344" s="8"/>
      <c r="L344" s="8"/>
      <c r="M344" s="8"/>
      <c r="N344" s="8"/>
      <c r="O344" s="8"/>
      <c r="P344" s="8"/>
      <c r="Q344" s="65" t="s">
        <v>478</v>
      </c>
      <c r="R344" s="65" t="s">
        <v>479</v>
      </c>
      <c r="S344" s="65" t="s">
        <v>1284</v>
      </c>
      <c r="T344" s="8"/>
      <c r="U344" s="8"/>
      <c r="V344" s="8"/>
      <c r="W344" s="8"/>
      <c r="X344" s="8"/>
      <c r="Y344" s="8"/>
    </row>
    <row r="345" spans="1:25" x14ac:dyDescent="0.2">
      <c r="B345" s="8"/>
      <c r="C345" s="8"/>
      <c r="D345" s="8"/>
      <c r="E345" s="8"/>
      <c r="F345" s="8"/>
      <c r="G345" s="8"/>
      <c r="H345" s="8"/>
      <c r="I345" s="8"/>
      <c r="J345" s="8"/>
      <c r="K345" s="8"/>
      <c r="L345" s="8"/>
      <c r="M345" s="8"/>
      <c r="N345" s="8"/>
      <c r="O345" s="8"/>
      <c r="P345" s="8"/>
      <c r="Q345" s="65" t="s">
        <v>478</v>
      </c>
      <c r="R345" s="65" t="s">
        <v>1285</v>
      </c>
      <c r="S345" s="65" t="s">
        <v>443</v>
      </c>
      <c r="T345" s="8"/>
      <c r="U345" s="8"/>
      <c r="V345" s="8"/>
      <c r="W345" s="8"/>
      <c r="X345" s="8"/>
      <c r="Y345" s="8"/>
    </row>
    <row r="346" spans="1:25" x14ac:dyDescent="0.2">
      <c r="C346" s="8"/>
      <c r="D346" s="8"/>
      <c r="E346" s="8"/>
      <c r="F346" s="8"/>
      <c r="G346" s="8"/>
      <c r="H346" s="8"/>
      <c r="I346" s="8"/>
      <c r="J346" s="8"/>
      <c r="K346" s="8"/>
      <c r="L346" s="8"/>
      <c r="M346" s="8"/>
      <c r="Q346" s="65" t="s">
        <v>480</v>
      </c>
      <c r="R346" s="65" t="s">
        <v>1286</v>
      </c>
      <c r="S346" s="65" t="s">
        <v>1287</v>
      </c>
      <c r="T346" s="8"/>
      <c r="U346" s="8"/>
      <c r="V346" s="8"/>
      <c r="W346" s="8"/>
      <c r="X346" s="8"/>
      <c r="Y346" s="8"/>
    </row>
    <row r="347" spans="1:25" x14ac:dyDescent="0.2">
      <c r="C347" s="8"/>
      <c r="D347" s="8"/>
      <c r="E347" s="8"/>
      <c r="H347" s="8"/>
      <c r="I347" s="8"/>
      <c r="J347" s="8"/>
      <c r="K347" s="8"/>
      <c r="L347" s="8"/>
      <c r="Q347" s="65" t="s">
        <v>1425</v>
      </c>
      <c r="R347" s="65" t="s">
        <v>1426</v>
      </c>
      <c r="S347" s="65"/>
    </row>
    <row r="348" spans="1:25" x14ac:dyDescent="0.2">
      <c r="C348" s="8"/>
      <c r="D348" s="8"/>
      <c r="E348" s="8"/>
      <c r="I348" s="8"/>
      <c r="J348" s="8"/>
      <c r="K348" s="8"/>
      <c r="L348" s="8"/>
      <c r="Q348" s="65" t="s">
        <v>481</v>
      </c>
      <c r="R348" s="65" t="s">
        <v>1427</v>
      </c>
      <c r="S348" s="65" t="s">
        <v>1315</v>
      </c>
    </row>
    <row r="349" spans="1:25" x14ac:dyDescent="0.2">
      <c r="C349" s="8"/>
      <c r="D349" s="8"/>
      <c r="E349" s="8"/>
      <c r="I349" s="8"/>
      <c r="J349" s="8"/>
      <c r="K349" s="8"/>
      <c r="L349" s="8"/>
      <c r="Q349" s="65" t="s">
        <v>482</v>
      </c>
      <c r="R349" s="65" t="s">
        <v>483</v>
      </c>
      <c r="S349" s="65" t="s">
        <v>1315</v>
      </c>
    </row>
    <row r="350" spans="1:25" x14ac:dyDescent="0.2">
      <c r="C350" s="8"/>
      <c r="D350" s="8"/>
      <c r="E350" s="8"/>
      <c r="I350" s="8"/>
      <c r="J350" s="8"/>
      <c r="K350" s="8"/>
      <c r="L350" s="8"/>
      <c r="Q350" s="65" t="s">
        <v>482</v>
      </c>
      <c r="R350" s="65" t="s">
        <v>484</v>
      </c>
      <c r="S350" s="65" t="s">
        <v>1364</v>
      </c>
    </row>
    <row r="351" spans="1:25" x14ac:dyDescent="0.2">
      <c r="C351" s="8"/>
      <c r="D351" s="8"/>
      <c r="E351" s="8"/>
      <c r="I351" s="8"/>
      <c r="J351" s="8"/>
      <c r="K351" s="8"/>
      <c r="L351" s="8"/>
      <c r="Q351" s="65" t="s">
        <v>485</v>
      </c>
      <c r="R351" s="65" t="s">
        <v>1290</v>
      </c>
      <c r="S351" s="65" t="s">
        <v>443</v>
      </c>
    </row>
    <row r="352" spans="1:25" x14ac:dyDescent="0.2">
      <c r="I352" s="8"/>
      <c r="J352" s="8"/>
      <c r="K352" s="8"/>
      <c r="L352" s="8"/>
      <c r="Q352" s="65" t="s">
        <v>485</v>
      </c>
      <c r="R352" s="65" t="s">
        <v>1288</v>
      </c>
      <c r="S352" s="65" t="s">
        <v>1289</v>
      </c>
    </row>
    <row r="353" spans="9:19" x14ac:dyDescent="0.2">
      <c r="I353" s="8"/>
      <c r="J353" s="8"/>
      <c r="K353" s="8"/>
      <c r="L353" s="8"/>
      <c r="Q353" s="65" t="s">
        <v>485</v>
      </c>
      <c r="R353" s="65" t="s">
        <v>1428</v>
      </c>
      <c r="S353" s="65" t="s">
        <v>1372</v>
      </c>
    </row>
    <row r="354" spans="9:19" x14ac:dyDescent="0.2">
      <c r="Q354" s="65" t="s">
        <v>485</v>
      </c>
      <c r="R354" s="65" t="s">
        <v>1429</v>
      </c>
      <c r="S354" s="65" t="s">
        <v>1343</v>
      </c>
    </row>
    <row r="355" spans="9:19" x14ac:dyDescent="0.2">
      <c r="Q355" s="65" t="s">
        <v>486</v>
      </c>
      <c r="R355" s="65" t="s">
        <v>487</v>
      </c>
      <c r="S355" s="65" t="s">
        <v>443</v>
      </c>
    </row>
    <row r="356" spans="9:19" x14ac:dyDescent="0.2">
      <c r="Q356" s="65" t="s">
        <v>486</v>
      </c>
      <c r="R356" s="65" t="s">
        <v>488</v>
      </c>
      <c r="S356" s="65" t="s">
        <v>1430</v>
      </c>
    </row>
    <row r="357" spans="9:19" x14ac:dyDescent="0.2">
      <c r="Q357" s="65" t="s">
        <v>486</v>
      </c>
      <c r="R357" s="65" t="s">
        <v>1431</v>
      </c>
      <c r="S357" s="65" t="s">
        <v>1318</v>
      </c>
    </row>
    <row r="358" spans="9:19" x14ac:dyDescent="0.2">
      <c r="Q358" s="65" t="s">
        <v>486</v>
      </c>
      <c r="R358" s="65" t="s">
        <v>1291</v>
      </c>
      <c r="S358" s="65" t="s">
        <v>1292</v>
      </c>
    </row>
    <row r="359" spans="9:19" x14ac:dyDescent="0.2">
      <c r="Q359" s="65" t="s">
        <v>489</v>
      </c>
      <c r="R359" s="65" t="s">
        <v>1293</v>
      </c>
      <c r="S359" s="65" t="s">
        <v>1019</v>
      </c>
    </row>
    <row r="360" spans="9:19" x14ac:dyDescent="0.2">
      <c r="Q360" s="65" t="s">
        <v>490</v>
      </c>
      <c r="R360" s="65" t="s">
        <v>491</v>
      </c>
      <c r="S360" s="65" t="s">
        <v>1315</v>
      </c>
    </row>
    <row r="361" spans="9:19" x14ac:dyDescent="0.2">
      <c r="Q361" s="65" t="s">
        <v>490</v>
      </c>
      <c r="R361" s="65" t="s">
        <v>1432</v>
      </c>
      <c r="S361" s="65" t="s">
        <v>1343</v>
      </c>
    </row>
    <row r="362" spans="9:19" x14ac:dyDescent="0.2">
      <c r="Q362" s="65" t="s">
        <v>490</v>
      </c>
      <c r="R362" s="65" t="s">
        <v>492</v>
      </c>
      <c r="S362" s="65" t="s">
        <v>443</v>
      </c>
    </row>
    <row r="363" spans="9:19" x14ac:dyDescent="0.2">
      <c r="Q363" s="65" t="s">
        <v>493</v>
      </c>
      <c r="R363" s="65" t="s">
        <v>1296</v>
      </c>
      <c r="S363" s="65" t="s">
        <v>1297</v>
      </c>
    </row>
    <row r="364" spans="9:19" x14ac:dyDescent="0.2">
      <c r="Q364" s="65" t="s">
        <v>493</v>
      </c>
      <c r="R364" s="65" t="s">
        <v>1294</v>
      </c>
      <c r="S364" s="65" t="s">
        <v>1295</v>
      </c>
    </row>
    <row r="365" spans="9:19" x14ac:dyDescent="0.2">
      <c r="Q365" s="65" t="s">
        <v>493</v>
      </c>
      <c r="R365" s="65" t="s">
        <v>1433</v>
      </c>
      <c r="S365" s="65" t="s">
        <v>1434</v>
      </c>
    </row>
    <row r="366" spans="9:19" x14ac:dyDescent="0.2">
      <c r="Q366" s="65" t="s">
        <v>494</v>
      </c>
      <c r="R366" s="65" t="s">
        <v>1298</v>
      </c>
      <c r="S366" s="65" t="s">
        <v>443</v>
      </c>
    </row>
    <row r="367" spans="9:19" x14ac:dyDescent="0.2">
      <c r="Q367" s="65" t="s">
        <v>495</v>
      </c>
      <c r="R367" s="65" t="s">
        <v>1435</v>
      </c>
      <c r="S367" s="65" t="s">
        <v>1315</v>
      </c>
    </row>
    <row r="368" spans="9:19" x14ac:dyDescent="0.2">
      <c r="Q368" s="65" t="s">
        <v>496</v>
      </c>
      <c r="R368" s="65" t="s">
        <v>497</v>
      </c>
      <c r="S368" s="65" t="s">
        <v>1301</v>
      </c>
    </row>
    <row r="369" spans="17:19" x14ac:dyDescent="0.2">
      <c r="Q369" s="65" t="s">
        <v>496</v>
      </c>
      <c r="R369" s="65" t="s">
        <v>1299</v>
      </c>
      <c r="S369" s="65" t="s">
        <v>1300</v>
      </c>
    </row>
    <row r="370" spans="17:19" x14ac:dyDescent="0.2">
      <c r="Q370" s="65" t="s">
        <v>498</v>
      </c>
      <c r="R370" s="65" t="s">
        <v>1304</v>
      </c>
      <c r="S370" s="65" t="s">
        <v>1305</v>
      </c>
    </row>
    <row r="371" spans="17:19" x14ac:dyDescent="0.2">
      <c r="Q371" s="65" t="s">
        <v>498</v>
      </c>
      <c r="R371" s="65" t="s">
        <v>499</v>
      </c>
      <c r="S371" s="65" t="s">
        <v>1302</v>
      </c>
    </row>
    <row r="372" spans="17:19" x14ac:dyDescent="0.2">
      <c r="Q372" s="65" t="s">
        <v>498</v>
      </c>
      <c r="R372" s="65" t="s">
        <v>1436</v>
      </c>
      <c r="S372" s="65" t="s">
        <v>1437</v>
      </c>
    </row>
    <row r="373" spans="17:19" x14ac:dyDescent="0.2">
      <c r="Q373" s="65" t="s">
        <v>498</v>
      </c>
      <c r="R373" s="65" t="s">
        <v>1438</v>
      </c>
      <c r="S373" s="65" t="s">
        <v>443</v>
      </c>
    </row>
    <row r="374" spans="17:19" x14ac:dyDescent="0.2">
      <c r="Q374" s="65" t="s">
        <v>498</v>
      </c>
      <c r="R374" s="65" t="s">
        <v>1439</v>
      </c>
      <c r="S374" s="65" t="s">
        <v>1315</v>
      </c>
    </row>
    <row r="375" spans="17:19" x14ac:dyDescent="0.2">
      <c r="Q375" s="65" t="s">
        <v>498</v>
      </c>
      <c r="R375" s="65" t="s">
        <v>500</v>
      </c>
      <c r="S375" s="65" t="s">
        <v>1303</v>
      </c>
    </row>
    <row r="376" spans="17:19" x14ac:dyDescent="0.2">
      <c r="Q376" s="65" t="s">
        <v>1306</v>
      </c>
      <c r="R376" s="65" t="s">
        <v>1309</v>
      </c>
      <c r="S376" s="65" t="s">
        <v>1310</v>
      </c>
    </row>
    <row r="377" spans="17:19" x14ac:dyDescent="0.2">
      <c r="Q377" s="65" t="s">
        <v>1306</v>
      </c>
      <c r="R377" s="65" t="s">
        <v>1307</v>
      </c>
      <c r="S377" s="65" t="s">
        <v>1308</v>
      </c>
    </row>
    <row r="378" spans="17:19" x14ac:dyDescent="0.2">
      <c r="Q378" s="65" t="s">
        <v>501</v>
      </c>
      <c r="R378" s="65" t="s">
        <v>502</v>
      </c>
      <c r="S378" s="65" t="s">
        <v>1167</v>
      </c>
    </row>
    <row r="379" spans="17:19" x14ac:dyDescent="0.2">
      <c r="Q379" s="65" t="s">
        <v>501</v>
      </c>
      <c r="R379" s="65" t="s">
        <v>503</v>
      </c>
      <c r="S379" s="65" t="s">
        <v>1440</v>
      </c>
    </row>
    <row r="380" spans="17:19" x14ac:dyDescent="0.2">
      <c r="Q380" s="65" t="s">
        <v>501</v>
      </c>
      <c r="R380" s="65" t="s">
        <v>1441</v>
      </c>
      <c r="S380" s="65" t="s">
        <v>1442</v>
      </c>
    </row>
    <row r="381" spans="17:19" x14ac:dyDescent="0.2">
      <c r="Q381" s="65" t="s">
        <v>501</v>
      </c>
      <c r="R381" s="65" t="s">
        <v>1443</v>
      </c>
      <c r="S381" s="65" t="s">
        <v>1315</v>
      </c>
    </row>
    <row r="382" spans="17:19" x14ac:dyDescent="0.2">
      <c r="Q382" s="65" t="s">
        <v>504</v>
      </c>
      <c r="R382" s="65" t="s">
        <v>505</v>
      </c>
      <c r="S382" s="65" t="s">
        <v>443</v>
      </c>
    </row>
    <row r="383" spans="17:19" x14ac:dyDescent="0.2">
      <c r="Q383" s="65" t="s">
        <v>504</v>
      </c>
      <c r="R383" s="65" t="s">
        <v>506</v>
      </c>
      <c r="S383" s="65" t="s">
        <v>1311</v>
      </c>
    </row>
    <row r="384" spans="17:19" x14ac:dyDescent="0.2">
      <c r="Q384" s="65" t="s">
        <v>504</v>
      </c>
      <c r="R384" s="65" t="s">
        <v>1444</v>
      </c>
      <c r="S384" s="65" t="s">
        <v>1445</v>
      </c>
    </row>
    <row r="385" spans="17:19" x14ac:dyDescent="0.2">
      <c r="Q385" s="65" t="s">
        <v>507</v>
      </c>
      <c r="R385" s="65" t="s">
        <v>508</v>
      </c>
      <c r="S385" s="65" t="s">
        <v>1315</v>
      </c>
    </row>
    <row r="386" spans="17:19" x14ac:dyDescent="0.2">
      <c r="Q386" s="65" t="s">
        <v>509</v>
      </c>
      <c r="R386" s="65" t="s">
        <v>1446</v>
      </c>
      <c r="S386" s="65" t="s">
        <v>443</v>
      </c>
    </row>
    <row r="387" spans="17:19" x14ac:dyDescent="0.2">
      <c r="Q387" s="65" t="s">
        <v>509</v>
      </c>
      <c r="R387" s="65" t="s">
        <v>1447</v>
      </c>
      <c r="S387" s="65" t="s">
        <v>1113</v>
      </c>
    </row>
    <row r="388" spans="17:19" x14ac:dyDescent="0.2">
      <c r="Q388" s="65" t="s">
        <v>509</v>
      </c>
      <c r="R388" s="65" t="s">
        <v>1448</v>
      </c>
      <c r="S388" s="65" t="s">
        <v>510</v>
      </c>
    </row>
    <row r="389" spans="17:19" x14ac:dyDescent="0.2">
      <c r="Q389" s="65" t="s">
        <v>509</v>
      </c>
      <c r="R389" s="65" t="s">
        <v>1449</v>
      </c>
      <c r="S389" s="65" t="s">
        <v>511</v>
      </c>
    </row>
    <row r="390" spans="17:19" x14ac:dyDescent="0.2">
      <c r="Q390" s="65" t="s">
        <v>509</v>
      </c>
      <c r="R390" s="65" t="s">
        <v>512</v>
      </c>
      <c r="S390" s="65" t="s">
        <v>1315</v>
      </c>
    </row>
    <row r="391" spans="17:19" x14ac:dyDescent="0.2">
      <c r="Q391" s="65" t="s">
        <v>513</v>
      </c>
      <c r="R391" s="65" t="s">
        <v>1313</v>
      </c>
      <c r="S391" s="65" t="s">
        <v>443</v>
      </c>
    </row>
    <row r="392" spans="17:19" x14ac:dyDescent="0.2">
      <c r="Q392" s="65" t="s">
        <v>513</v>
      </c>
      <c r="R392" s="65" t="s">
        <v>514</v>
      </c>
      <c r="S392" s="65" t="s">
        <v>1312</v>
      </c>
    </row>
    <row r="393" spans="17:19" x14ac:dyDescent="0.2">
      <c r="Q393" s="65" t="s">
        <v>513</v>
      </c>
      <c r="R393" s="65" t="s">
        <v>515</v>
      </c>
      <c r="S393" s="65" t="s">
        <v>1026</v>
      </c>
    </row>
    <row r="394" spans="17:19" x14ac:dyDescent="0.2">
      <c r="Q394" s="65" t="s">
        <v>513</v>
      </c>
      <c r="R394" s="65" t="s">
        <v>516</v>
      </c>
      <c r="S394" s="65" t="s">
        <v>517</v>
      </c>
    </row>
    <row r="395" spans="17:19" x14ac:dyDescent="0.2">
      <c r="Q395" s="65" t="s">
        <v>513</v>
      </c>
      <c r="R395" s="65" t="s">
        <v>1450</v>
      </c>
      <c r="S395" s="65" t="s">
        <v>1315</v>
      </c>
    </row>
    <row r="396" spans="17:19" x14ac:dyDescent="0.2">
      <c r="Q396" s="65" t="s">
        <v>518</v>
      </c>
      <c r="R396" s="65" t="s">
        <v>519</v>
      </c>
      <c r="S396" s="65" t="s">
        <v>1314</v>
      </c>
    </row>
    <row r="397" spans="17:19" x14ac:dyDescent="0.2">
      <c r="Q397" s="65" t="s">
        <v>518</v>
      </c>
      <c r="R397" s="65" t="s">
        <v>520</v>
      </c>
      <c r="S397" s="65" t="s">
        <v>521</v>
      </c>
    </row>
    <row r="398" spans="17:19" x14ac:dyDescent="0.2">
      <c r="Q398" s="65" t="s">
        <v>522</v>
      </c>
      <c r="R398" s="65" t="s">
        <v>523</v>
      </c>
      <c r="S398" s="65" t="s">
        <v>443</v>
      </c>
    </row>
    <row r="399" spans="17:19" x14ac:dyDescent="0.2">
      <c r="Q399" s="65" t="s">
        <v>522</v>
      </c>
      <c r="R399" s="65" t="s">
        <v>524</v>
      </c>
      <c r="S399" s="65" t="s">
        <v>1315</v>
      </c>
    </row>
    <row r="400" spans="17:19" x14ac:dyDescent="0.2">
      <c r="Q400" s="65" t="s">
        <v>522</v>
      </c>
      <c r="R400" s="65" t="s">
        <v>525</v>
      </c>
      <c r="S400" s="65" t="s">
        <v>1167</v>
      </c>
    </row>
    <row r="401" spans="17:19" x14ac:dyDescent="0.2">
      <c r="Q401" s="65" t="s">
        <v>522</v>
      </c>
      <c r="R401" s="65" t="s">
        <v>526</v>
      </c>
      <c r="S401" s="65" t="s">
        <v>1451</v>
      </c>
    </row>
  </sheetData>
  <sheetProtection insertRows="0" deleteRows="0" sort="0" autoFilter="0"/>
  <customSheetViews>
    <customSheetView guid="{AB7DC012-E038-4AC4-B964-79EBEC1A7DBE}" state="hidden" showRuler="0" topLeftCell="P1">
      <selection activeCell="V402" sqref="V402"/>
      <pageMargins left="0.7" right="0.7" top="0.75" bottom="0.75" header="0.3" footer="0.3"/>
      <pageSetup paperSize="9" orientation="portrait"/>
      <headerFooter alignWithMargins="0"/>
    </customSheetView>
    <customSheetView guid="{8263CC96-2145-451B-AD8A-CC38FD628AC9}" state="hidden" showRuler="0" topLeftCell="P1">
      <selection activeCell="V402" sqref="V402"/>
      <pageMargins left="0.7" right="0.7" top="0.75" bottom="0.75" header="0.3" footer="0.3"/>
      <pageSetup paperSize="9" orientation="portrait"/>
      <headerFooter alignWithMargins="0"/>
    </customSheetView>
    <customSheetView guid="{721132AF-EF29-4C83-8A4A-F17ABB4BD7C0}" state="hidden" showRuler="0" topLeftCell="P1">
      <selection activeCell="V402" sqref="V402"/>
      <pageMargins left="0.7" right="0.7" top="0.75" bottom="0.75" header="0.3" footer="0.3"/>
      <pageSetup paperSize="9" orientation="portrait"/>
      <headerFooter alignWithMargins="0"/>
    </customSheetView>
    <customSheetView guid="{CE0E8020-2C9F-41F1-9136-031F56EB2C71}" state="hidden" topLeftCell="P1">
      <selection activeCell="V402" sqref="V402"/>
      <pageMargins left="0.7" right="0.7" top="0.75" bottom="0.75" header="0.3" footer="0.3"/>
      <headerFooter alignWithMargins="0"/>
    </customSheetView>
    <customSheetView guid="{E823EC26-EF2B-442F-BAF4-E4055CE48BD3}" state="hidden" topLeftCell="P1">
      <selection activeCell="V402" sqref="V402"/>
      <pageMargins left="0.7" right="0.7" top="0.75" bottom="0.75" header="0.3" footer="0.3"/>
      <headerFooter alignWithMargins="0"/>
    </customSheetView>
    <customSheetView guid="{86255A0E-17F2-0E4B-B055-7B9B2A71C25A}" state="hidden" topLeftCell="P1">
      <selection activeCell="V402" sqref="V402"/>
      <pageMargins left="0.7" right="0.7" top="0.75" bottom="0.75" header="0.3" footer="0.3"/>
      <pageSetup paperSize="9" orientation="portrait"/>
      <headerFooter alignWithMargins="0"/>
    </customSheetView>
    <customSheetView guid="{D193A86F-CAEF-42FB-9ABB-073B57B81A50}" state="hidden" showRuler="0" topLeftCell="P1">
      <selection activeCell="V402" sqref="V402"/>
      <pageMargins left="0.7" right="0.7" top="0.75" bottom="0.75" header="0.3" footer="0.3"/>
      <pageSetup paperSize="9" orientation="portrait"/>
      <headerFooter alignWithMargins="0"/>
    </customSheetView>
  </customSheetViews>
  <mergeCells count="12">
    <mergeCell ref="N1:N2"/>
    <mergeCell ref="Q1:Q2"/>
    <mergeCell ref="R1:R2"/>
    <mergeCell ref="M1:M2"/>
    <mergeCell ref="S1:S2"/>
    <mergeCell ref="O1:O2"/>
    <mergeCell ref="U1:U2"/>
    <mergeCell ref="X1:X2"/>
    <mergeCell ref="Y1:Y2"/>
    <mergeCell ref="T1:T2"/>
    <mergeCell ref="W1:W2"/>
    <mergeCell ref="V1:V2"/>
  </mergeCells>
  <conditionalFormatting sqref="Q3:Q58 Q60:Q72 Q74:Q122 Q124:Q217 Q220:Q344">
    <cfRule type="containsText" dxfId="0" priority="1" stopIfTrue="1" operator="containsText" text=";">
      <formula>NOT(ISERROR(SEARCH(";",Q3)))</formula>
    </cfRule>
  </conditionalFormatting>
  <dataValidations count="1">
    <dataValidation type="list" allowBlank="1" showInputMessage="1" showErrorMessage="1" sqref="F3">
      <formula1>"PR,R11"</formula1>
    </dataValidation>
  </dataValidations>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1:F97"/>
  <sheetViews>
    <sheetView workbookViewId="0">
      <selection activeCell="B93" sqref="B93"/>
    </sheetView>
  </sheetViews>
  <sheetFormatPr defaultColWidth="8.7109375" defaultRowHeight="12.75" x14ac:dyDescent="0.2"/>
  <cols>
    <col min="1" max="5" width="30.7109375" style="169" customWidth="1"/>
    <col min="6" max="6" width="20.7109375" customWidth="1"/>
  </cols>
  <sheetData>
    <row r="1" spans="1:6" s="12" customFormat="1" ht="19.899999999999999" customHeight="1" x14ac:dyDescent="0.2">
      <c r="A1" s="168" t="s">
        <v>537</v>
      </c>
      <c r="B1" s="169"/>
      <c r="C1" s="170">
        <f>IF(Language="English",0,IF(Language="French",1,IF(Language="Spanish",2,IF(Language="Russian",3))))</f>
        <v>0</v>
      </c>
      <c r="D1" s="170" t="str">
        <f>RIGHT(LEFT(ComponentSelected,2),1)</f>
        <v>u</v>
      </c>
      <c r="E1" s="170"/>
      <c r="F1" s="19"/>
    </row>
    <row r="2" spans="1:6" s="12" customFormat="1" ht="19.899999999999999" customHeight="1" x14ac:dyDescent="0.2">
      <c r="A2" s="168" t="s">
        <v>625</v>
      </c>
      <c r="B2" s="168" t="s">
        <v>538</v>
      </c>
      <c r="C2" s="168" t="s">
        <v>626</v>
      </c>
      <c r="D2" s="168" t="s">
        <v>627</v>
      </c>
      <c r="E2" s="168" t="s">
        <v>628</v>
      </c>
      <c r="F2" s="19"/>
    </row>
    <row r="3" spans="1:6" s="12" customFormat="1" ht="30.75" customHeight="1" x14ac:dyDescent="0.2">
      <c r="A3" s="4" t="s">
        <v>983</v>
      </c>
      <c r="B3" s="4" t="s">
        <v>983</v>
      </c>
      <c r="C3" s="4"/>
      <c r="D3" s="4"/>
      <c r="E3" s="4"/>
    </row>
    <row r="4" spans="1:6" s="12" customFormat="1" ht="140.25" x14ac:dyDescent="0.2">
      <c r="A4" s="4" t="str">
        <f ca="1">OFFSET($B4,0,LangOffset,1,1)</f>
        <v>This table provides guidance on how to fill out the modular approach template. Cells highlighted in green will be completed during grant negotiation.</v>
      </c>
      <c r="B4" s="4" t="s">
        <v>984</v>
      </c>
      <c r="C4" s="4" t="s">
        <v>668</v>
      </c>
      <c r="D4" s="171" t="s">
        <v>830</v>
      </c>
      <c r="E4" s="4" t="s">
        <v>777</v>
      </c>
    </row>
    <row r="5" spans="1:6" ht="12.75" customHeight="1" x14ac:dyDescent="0.2">
      <c r="A5" s="4" t="str">
        <f t="shared" ref="A5:A34" ca="1" si="0">OFFSET($B5,0,LangOffset,1,1)</f>
        <v>Periodic Review</v>
      </c>
      <c r="B5" s="4" t="s">
        <v>536</v>
      </c>
      <c r="C5" s="4" t="s">
        <v>877</v>
      </c>
      <c r="D5" s="4" t="s">
        <v>838</v>
      </c>
      <c r="E5" s="4"/>
      <c r="F5" s="19"/>
    </row>
    <row r="6" spans="1:6" ht="13.15" customHeight="1" x14ac:dyDescent="0.2">
      <c r="A6" s="4" t="str">
        <f t="shared" ca="1" si="0"/>
        <v>Please carefully review the instructions work sheet before completing this template</v>
      </c>
      <c r="B6" s="4" t="s">
        <v>63</v>
      </c>
      <c r="C6" s="4" t="s">
        <v>878</v>
      </c>
      <c r="D6" s="4" t="s">
        <v>639</v>
      </c>
      <c r="E6" s="4" t="s">
        <v>650</v>
      </c>
      <c r="F6" s="19"/>
    </row>
    <row r="7" spans="1:6" ht="13.15" customHeight="1" x14ac:dyDescent="0.2">
      <c r="A7" s="4" t="str">
        <f t="shared" ca="1" si="0"/>
        <v>A. Program details</v>
      </c>
      <c r="B7" s="4" t="s">
        <v>27</v>
      </c>
      <c r="C7" s="4" t="s">
        <v>879</v>
      </c>
      <c r="D7" s="4" t="s">
        <v>640</v>
      </c>
      <c r="E7" s="4" t="s">
        <v>880</v>
      </c>
      <c r="F7" s="19"/>
    </row>
    <row r="8" spans="1:6" ht="13.15" customHeight="1" x14ac:dyDescent="0.2">
      <c r="A8" s="4" t="str">
        <f t="shared" ca="1" si="0"/>
        <v>Country / Applicant:</v>
      </c>
      <c r="B8" s="4" t="s">
        <v>68</v>
      </c>
      <c r="C8" s="4" t="s">
        <v>881</v>
      </c>
      <c r="D8" s="4" t="s">
        <v>839</v>
      </c>
      <c r="E8" s="4" t="s">
        <v>651</v>
      </c>
      <c r="F8" s="19"/>
    </row>
    <row r="9" spans="1:6" ht="13.15" customHeight="1" x14ac:dyDescent="0.2">
      <c r="A9" s="4" t="str">
        <f t="shared" ca="1" si="0"/>
        <v>Component:</v>
      </c>
      <c r="B9" s="4" t="s">
        <v>540</v>
      </c>
      <c r="C9" s="4" t="s">
        <v>630</v>
      </c>
      <c r="D9" s="4" t="s">
        <v>840</v>
      </c>
      <c r="E9" s="4" t="s">
        <v>882</v>
      </c>
      <c r="F9" s="19"/>
    </row>
    <row r="10" spans="1:6" ht="13.15" customHeight="1" x14ac:dyDescent="0.2">
      <c r="A10" s="4" t="str">
        <f t="shared" ca="1" si="0"/>
        <v>Start Year:</v>
      </c>
      <c r="B10" s="4" t="s">
        <v>539</v>
      </c>
      <c r="C10" s="4" t="s">
        <v>631</v>
      </c>
      <c r="D10" s="4" t="s">
        <v>841</v>
      </c>
      <c r="E10" s="4" t="s">
        <v>883</v>
      </c>
      <c r="F10" s="19"/>
    </row>
    <row r="11" spans="1:6" ht="13.15" customHeight="1" x14ac:dyDescent="0.2">
      <c r="A11" s="4" t="str">
        <f t="shared" ca="1" si="0"/>
        <v>Start Month:</v>
      </c>
      <c r="B11" s="4" t="s">
        <v>549</v>
      </c>
      <c r="C11" s="4" t="s">
        <v>632</v>
      </c>
      <c r="D11" s="4" t="s">
        <v>842</v>
      </c>
      <c r="E11" s="4" t="s">
        <v>884</v>
      </c>
      <c r="F11" s="19"/>
    </row>
    <row r="12" spans="1:6" ht="13.15" customHeight="1" x14ac:dyDescent="0.2">
      <c r="A12" s="4" t="str">
        <f t="shared" ca="1" si="0"/>
        <v>SSF/grant number:</v>
      </c>
      <c r="B12" s="4" t="s">
        <v>968</v>
      </c>
      <c r="C12" s="4" t="s">
        <v>828</v>
      </c>
      <c r="D12" s="4" t="s">
        <v>843</v>
      </c>
      <c r="E12" s="4" t="s">
        <v>885</v>
      </c>
      <c r="F12" s="19"/>
    </row>
    <row r="13" spans="1:6" ht="13.15" customHeight="1" x14ac:dyDescent="0.2">
      <c r="A13" s="4" t="str">
        <f t="shared" ca="1" si="0"/>
        <v>Principal Recipients</v>
      </c>
      <c r="B13" s="4" t="s">
        <v>546</v>
      </c>
      <c r="C13" s="4" t="s">
        <v>886</v>
      </c>
      <c r="D13" s="4" t="s">
        <v>844</v>
      </c>
      <c r="E13" s="4" t="s">
        <v>887</v>
      </c>
      <c r="F13" s="19"/>
    </row>
    <row r="14" spans="1:6" ht="13.15" customHeight="1" x14ac:dyDescent="0.2">
      <c r="A14" s="4" t="str">
        <f t="shared" ca="1" si="0"/>
        <v>(Please select from list or add a new one)</v>
      </c>
      <c r="B14" s="4" t="s">
        <v>556</v>
      </c>
      <c r="C14" s="4" t="s">
        <v>888</v>
      </c>
      <c r="D14" s="4" t="s">
        <v>845</v>
      </c>
      <c r="E14" s="4" t="s">
        <v>889</v>
      </c>
      <c r="F14" s="19"/>
    </row>
    <row r="15" spans="1:6" ht="13.15" customHeight="1" x14ac:dyDescent="0.2">
      <c r="A15" s="4" t="str">
        <f t="shared" ca="1" si="0"/>
        <v>Reporting periods</v>
      </c>
      <c r="B15" s="4" t="s">
        <v>545</v>
      </c>
      <c r="C15" s="4" t="s">
        <v>823</v>
      </c>
      <c r="D15" s="4" t="s">
        <v>831</v>
      </c>
      <c r="E15" s="4" t="s">
        <v>890</v>
      </c>
      <c r="F15" s="19"/>
    </row>
    <row r="16" spans="1:6" ht="13.15" customHeight="1" x14ac:dyDescent="0.2">
      <c r="A16" s="4" t="str">
        <f t="shared" ca="1" si="0"/>
        <v>Period Covered: from</v>
      </c>
      <c r="B16" s="4" t="s">
        <v>26</v>
      </c>
      <c r="C16" s="4" t="s">
        <v>891</v>
      </c>
      <c r="D16" s="4" t="s">
        <v>846</v>
      </c>
      <c r="E16" s="4" t="s">
        <v>892</v>
      </c>
      <c r="F16" s="19"/>
    </row>
    <row r="17" spans="1:6" ht="13.15" customHeight="1" x14ac:dyDescent="0.2">
      <c r="A17" s="4" t="str">
        <f t="shared" ca="1" si="0"/>
        <v>Period Covered: to</v>
      </c>
      <c r="B17" s="4" t="s">
        <v>25</v>
      </c>
      <c r="C17" s="4" t="s">
        <v>893</v>
      </c>
      <c r="D17" s="4" t="s">
        <v>847</v>
      </c>
      <c r="E17" s="4" t="s">
        <v>894</v>
      </c>
      <c r="F17" s="19"/>
    </row>
    <row r="18" spans="1:6" ht="13.15" customHeight="1" x14ac:dyDescent="0.2">
      <c r="A18" s="4" t="str">
        <f t="shared" ca="1" si="0"/>
        <v>Due date Progress Update</v>
      </c>
      <c r="B18" s="4" t="s">
        <v>541</v>
      </c>
      <c r="C18" s="4" t="s">
        <v>829</v>
      </c>
      <c r="D18" s="4" t="s">
        <v>832</v>
      </c>
      <c r="E18" s="4" t="s">
        <v>895</v>
      </c>
      <c r="F18" s="19"/>
    </row>
    <row r="19" spans="1:6" ht="13.15" customHeight="1" x14ac:dyDescent="0.2">
      <c r="A19" s="4" t="str">
        <f t="shared" ca="1" si="0"/>
        <v>Disbursement Request (Y,N)</v>
      </c>
      <c r="B19" s="4" t="s">
        <v>62</v>
      </c>
      <c r="C19" s="4" t="s">
        <v>896</v>
      </c>
      <c r="D19" s="4" t="s">
        <v>848</v>
      </c>
      <c r="E19" s="4" t="s">
        <v>652</v>
      </c>
      <c r="F19" s="19"/>
    </row>
    <row r="20" spans="1:6" ht="13.15" customHeight="1" x14ac:dyDescent="0.2">
      <c r="A20" s="4" t="str">
        <f t="shared" ca="1" si="0"/>
        <v xml:space="preserve">Due date periodic review </v>
      </c>
      <c r="B20" s="4" t="s">
        <v>542</v>
      </c>
      <c r="C20" s="4" t="s">
        <v>633</v>
      </c>
      <c r="D20" s="4" t="s">
        <v>641</v>
      </c>
      <c r="E20" s="4" t="s">
        <v>897</v>
      </c>
      <c r="F20" s="19"/>
    </row>
    <row r="21" spans="1:6" ht="13.15" customHeight="1" x14ac:dyDescent="0.2">
      <c r="A21" s="4" t="str">
        <f t="shared" ca="1" si="0"/>
        <v>Audit report due dates</v>
      </c>
      <c r="B21" s="4" t="s">
        <v>669</v>
      </c>
      <c r="C21" s="4" t="s">
        <v>824</v>
      </c>
      <c r="D21" s="4" t="s">
        <v>642</v>
      </c>
      <c r="E21" s="4" t="s">
        <v>898</v>
      </c>
      <c r="F21" s="19"/>
    </row>
    <row r="22" spans="1:6" ht="13.15" customHeight="1" x14ac:dyDescent="0.2">
      <c r="A22" s="4" t="str">
        <f t="shared" ca="1" si="0"/>
        <v xml:space="preserve">Period </v>
      </c>
      <c r="B22" s="4" t="s">
        <v>548</v>
      </c>
      <c r="C22" s="4" t="s">
        <v>899</v>
      </c>
      <c r="D22" s="4" t="s">
        <v>849</v>
      </c>
      <c r="E22" s="4" t="s">
        <v>900</v>
      </c>
      <c r="F22" s="19"/>
    </row>
    <row r="23" spans="1:6" ht="13.15" customHeight="1" x14ac:dyDescent="0.2">
      <c r="A23" s="4" t="str">
        <f t="shared" ca="1" si="0"/>
        <v>Year 4</v>
      </c>
      <c r="B23" s="4" t="s">
        <v>2</v>
      </c>
      <c r="C23" s="4" t="s">
        <v>901</v>
      </c>
      <c r="D23" s="4" t="s">
        <v>850</v>
      </c>
      <c r="E23" s="4" t="s">
        <v>902</v>
      </c>
      <c r="F23" s="19"/>
    </row>
    <row r="24" spans="1:6" ht="13.15" customHeight="1" x14ac:dyDescent="0.2">
      <c r="A24" s="4" t="str">
        <f t="shared" ca="1" si="0"/>
        <v>Year 5</v>
      </c>
      <c r="B24" s="4" t="s">
        <v>1</v>
      </c>
      <c r="C24" s="4" t="s">
        <v>903</v>
      </c>
      <c r="D24" s="4" t="s">
        <v>851</v>
      </c>
      <c r="E24" s="4" t="s">
        <v>904</v>
      </c>
      <c r="F24" s="19"/>
    </row>
    <row r="25" spans="1:6" ht="13.15" customHeight="1" x14ac:dyDescent="0.2">
      <c r="A25" s="4" t="str">
        <f t="shared" ca="1" si="0"/>
        <v>B. Program goals and impact indicators</v>
      </c>
      <c r="B25" s="4" t="s">
        <v>24</v>
      </c>
      <c r="C25" s="4" t="s">
        <v>905</v>
      </c>
      <c r="D25" s="171" t="s">
        <v>826</v>
      </c>
      <c r="E25" s="4" t="s">
        <v>906</v>
      </c>
      <c r="F25" s="19"/>
    </row>
    <row r="26" spans="1:6" ht="13.15" customHeight="1" x14ac:dyDescent="0.2">
      <c r="A26" s="4" t="str">
        <f t="shared" ca="1" si="0"/>
        <v xml:space="preserve">  Goals:</v>
      </c>
      <c r="B26" s="4" t="s">
        <v>543</v>
      </c>
      <c r="C26" s="4" t="s">
        <v>907</v>
      </c>
      <c r="D26" s="171" t="s">
        <v>967</v>
      </c>
      <c r="E26" s="4" t="s">
        <v>908</v>
      </c>
      <c r="F26" s="19"/>
    </row>
    <row r="27" spans="1:6" ht="13.15" customHeight="1" x14ac:dyDescent="0.2">
      <c r="A27" s="4" t="str">
        <f t="shared" ca="1" si="0"/>
        <v>Linked to goal(s) #</v>
      </c>
      <c r="B27" s="4" t="s">
        <v>566</v>
      </c>
      <c r="C27" s="4" t="s">
        <v>634</v>
      </c>
      <c r="D27" s="171" t="s">
        <v>833</v>
      </c>
      <c r="E27" s="4" t="s">
        <v>909</v>
      </c>
      <c r="F27" s="19"/>
    </row>
    <row r="28" spans="1:6" ht="13.15" customHeight="1" x14ac:dyDescent="0.2">
      <c r="A28" s="4" t="str">
        <f t="shared" ca="1" si="0"/>
        <v>Impact indicator</v>
      </c>
      <c r="B28" s="4" t="s">
        <v>65</v>
      </c>
      <c r="C28" s="4" t="s">
        <v>910</v>
      </c>
      <c r="D28" s="4" t="s">
        <v>852</v>
      </c>
      <c r="E28" s="4" t="s">
        <v>911</v>
      </c>
      <c r="F28" s="19"/>
    </row>
    <row r="29" spans="1:6" ht="13.15" customHeight="1" x14ac:dyDescent="0.2">
      <c r="A29" s="4" t="str">
        <f t="shared" ca="1" si="0"/>
        <v>Baseline</v>
      </c>
      <c r="B29" s="4" t="s">
        <v>22</v>
      </c>
      <c r="C29" s="4" t="s">
        <v>821</v>
      </c>
      <c r="D29" s="171" t="s">
        <v>834</v>
      </c>
      <c r="E29" s="4" t="s">
        <v>912</v>
      </c>
      <c r="F29" s="19"/>
    </row>
    <row r="30" spans="1:6" ht="13.15" customHeight="1" x14ac:dyDescent="0.2">
      <c r="A30" s="4" t="str">
        <f t="shared" ca="1" si="0"/>
        <v>Targets</v>
      </c>
      <c r="B30" s="4" t="s">
        <v>21</v>
      </c>
      <c r="C30" s="4" t="s">
        <v>913</v>
      </c>
      <c r="D30" s="4" t="s">
        <v>853</v>
      </c>
      <c r="E30" s="4" t="s">
        <v>914</v>
      </c>
      <c r="F30" s="19"/>
    </row>
    <row r="31" spans="1:6" ht="13.15" customHeight="1" x14ac:dyDescent="0.2">
      <c r="A31" s="4" t="str">
        <f t="shared" ca="1" si="0"/>
        <v>Value</v>
      </c>
      <c r="B31" s="4" t="s">
        <v>1544</v>
      </c>
      <c r="C31" s="4" t="s">
        <v>915</v>
      </c>
      <c r="D31" s="4" t="s">
        <v>643</v>
      </c>
      <c r="E31" s="4" t="s">
        <v>653</v>
      </c>
      <c r="F31" s="19"/>
    </row>
    <row r="32" spans="1:6" ht="13.15" customHeight="1" x14ac:dyDescent="0.2">
      <c r="A32" s="4" t="str">
        <f t="shared" ca="1" si="0"/>
        <v xml:space="preserve">Year </v>
      </c>
      <c r="B32" s="4" t="s">
        <v>555</v>
      </c>
      <c r="C32" s="4" t="s">
        <v>916</v>
      </c>
      <c r="D32" s="4" t="s">
        <v>854</v>
      </c>
      <c r="E32" s="4" t="s">
        <v>917</v>
      </c>
      <c r="F32" s="19"/>
    </row>
    <row r="33" spans="1:6" ht="13.15" customHeight="1" x14ac:dyDescent="0.2">
      <c r="A33" s="4" t="str">
        <f t="shared" ca="1" si="0"/>
        <v>Source</v>
      </c>
      <c r="B33" s="4" t="s">
        <v>9</v>
      </c>
      <c r="C33" s="4" t="s">
        <v>918</v>
      </c>
      <c r="D33" s="4" t="s">
        <v>855</v>
      </c>
      <c r="E33" s="4" t="s">
        <v>919</v>
      </c>
      <c r="F33" s="19"/>
    </row>
    <row r="34" spans="1:6" ht="13.15" customHeight="1" x14ac:dyDescent="0.2">
      <c r="A34" s="4" t="str">
        <f t="shared" ca="1" si="0"/>
        <v>Year 1</v>
      </c>
      <c r="B34" s="4" t="s">
        <v>544</v>
      </c>
      <c r="C34" s="4" t="s">
        <v>920</v>
      </c>
      <c r="D34" s="4" t="s">
        <v>856</v>
      </c>
      <c r="E34" s="4" t="s">
        <v>921</v>
      </c>
      <c r="F34" s="19"/>
    </row>
    <row r="35" spans="1:6" ht="13.15" customHeight="1" x14ac:dyDescent="0.2">
      <c r="A35" s="4" t="str">
        <f t="shared" ref="A35:A66" ca="1" si="1">OFFSET($B35,0,LangOffset,1,1)</f>
        <v>Year 2</v>
      </c>
      <c r="B35" s="4" t="s">
        <v>18</v>
      </c>
      <c r="C35" s="4" t="s">
        <v>922</v>
      </c>
      <c r="D35" s="4" t="s">
        <v>857</v>
      </c>
      <c r="E35" s="4" t="s">
        <v>923</v>
      </c>
      <c r="F35" s="19"/>
    </row>
    <row r="36" spans="1:6" ht="13.15" customHeight="1" x14ac:dyDescent="0.2">
      <c r="A36" s="4" t="str">
        <f t="shared" ca="1" si="1"/>
        <v>Year 3</v>
      </c>
      <c r="B36" s="4" t="s">
        <v>17</v>
      </c>
      <c r="C36" s="4" t="s">
        <v>924</v>
      </c>
      <c r="D36" s="4" t="s">
        <v>858</v>
      </c>
      <c r="E36" s="4" t="s">
        <v>925</v>
      </c>
      <c r="F36" s="19"/>
    </row>
    <row r="37" spans="1:6" ht="13.15" customHeight="1" x14ac:dyDescent="0.2">
      <c r="A37" s="4" t="str">
        <f t="shared" ca="1" si="1"/>
        <v>Year 4</v>
      </c>
      <c r="B37" s="4" t="s">
        <v>2</v>
      </c>
      <c r="C37" s="4" t="s">
        <v>901</v>
      </c>
      <c r="D37" s="4" t="s">
        <v>850</v>
      </c>
      <c r="E37" s="4" t="s">
        <v>902</v>
      </c>
      <c r="F37" s="19"/>
    </row>
    <row r="38" spans="1:6" ht="13.15" customHeight="1" x14ac:dyDescent="0.2">
      <c r="A38" s="4" t="str">
        <f t="shared" ca="1" si="1"/>
        <v>Year 5</v>
      </c>
      <c r="B38" s="4" t="s">
        <v>1</v>
      </c>
      <c r="C38" s="4" t="s">
        <v>903</v>
      </c>
      <c r="D38" s="4" t="s">
        <v>851</v>
      </c>
      <c r="E38" s="4" t="s">
        <v>904</v>
      </c>
      <c r="F38" s="19"/>
    </row>
    <row r="39" spans="1:6" ht="13.15" customHeight="1" x14ac:dyDescent="0.2">
      <c r="A39" s="4" t="str">
        <f t="shared" ca="1" si="1"/>
        <v>Report due date</v>
      </c>
      <c r="B39" s="4" t="s">
        <v>16</v>
      </c>
      <c r="C39" s="4" t="s">
        <v>822</v>
      </c>
      <c r="D39" s="4" t="s">
        <v>644</v>
      </c>
      <c r="E39" s="4" t="s">
        <v>926</v>
      </c>
      <c r="F39" s="19"/>
    </row>
    <row r="40" spans="1:6" ht="13.15" customHeight="1" x14ac:dyDescent="0.2">
      <c r="A40" s="4" t="str">
        <f t="shared" ca="1" si="1"/>
        <v>Comments</v>
      </c>
      <c r="B40" s="4" t="s">
        <v>20</v>
      </c>
      <c r="C40" s="4" t="s">
        <v>827</v>
      </c>
      <c r="D40" s="4" t="s">
        <v>645</v>
      </c>
      <c r="E40" s="4" t="s">
        <v>654</v>
      </c>
      <c r="F40" s="19"/>
    </row>
    <row r="41" spans="1:6" ht="13.15" customHeight="1" x14ac:dyDescent="0.2">
      <c r="A41" s="4" t="str">
        <f t="shared" ca="1" si="1"/>
        <v>C. Program objectives and outcome indicators</v>
      </c>
      <c r="B41" s="4" t="s">
        <v>67</v>
      </c>
      <c r="C41" s="4" t="s">
        <v>635</v>
      </c>
      <c r="D41" s="4" t="s">
        <v>646</v>
      </c>
      <c r="E41" s="4" t="s">
        <v>927</v>
      </c>
      <c r="F41" s="19"/>
    </row>
    <row r="42" spans="1:6" ht="13.15" customHeight="1" x14ac:dyDescent="0.2">
      <c r="A42" s="4" t="str">
        <f t="shared" ca="1" si="1"/>
        <v xml:space="preserve">     Objectives:</v>
      </c>
      <c r="B42" s="4" t="s">
        <v>23</v>
      </c>
      <c r="C42" s="4" t="s">
        <v>928</v>
      </c>
      <c r="D42" s="4" t="s">
        <v>859</v>
      </c>
      <c r="E42" s="4" t="s">
        <v>929</v>
      </c>
      <c r="F42" s="19"/>
    </row>
    <row r="43" spans="1:6" ht="13.15" customHeight="1" x14ac:dyDescent="0.2">
      <c r="A43" s="4" t="str">
        <f t="shared" ca="1" si="1"/>
        <v xml:space="preserve">Linked to objective(s) # </v>
      </c>
      <c r="B43" s="4" t="s">
        <v>567</v>
      </c>
      <c r="C43" s="4" t="s">
        <v>636</v>
      </c>
      <c r="D43" s="4" t="s">
        <v>647</v>
      </c>
      <c r="E43" s="4" t="s">
        <v>930</v>
      </c>
      <c r="F43" s="19"/>
    </row>
    <row r="44" spans="1:6" ht="13.15" customHeight="1" x14ac:dyDescent="0.2">
      <c r="A44" s="4" t="str">
        <f t="shared" ca="1" si="1"/>
        <v>Outcome indicator</v>
      </c>
      <c r="B44" s="4" t="s">
        <v>66</v>
      </c>
      <c r="C44" s="4" t="s">
        <v>931</v>
      </c>
      <c r="D44" s="4" t="s">
        <v>860</v>
      </c>
      <c r="E44" s="4" t="s">
        <v>932</v>
      </c>
      <c r="F44" s="19"/>
    </row>
    <row r="45" spans="1:6" ht="13.15" customHeight="1" x14ac:dyDescent="0.2">
      <c r="A45" s="4" t="str">
        <f t="shared" ca="1" si="1"/>
        <v>D. Service delivery areas and output/coverage indicators</v>
      </c>
      <c r="B45" s="4" t="s">
        <v>564</v>
      </c>
      <c r="C45" s="4" t="s">
        <v>637</v>
      </c>
      <c r="D45" s="171" t="s">
        <v>835</v>
      </c>
      <c r="E45" s="4" t="s">
        <v>655</v>
      </c>
      <c r="F45" s="19"/>
    </row>
    <row r="46" spans="1:6" ht="13.15" customHeight="1" x14ac:dyDescent="0.2">
      <c r="A46" s="4" t="str">
        <f t="shared" ca="1" si="1"/>
        <v>Objective &amp; Indicator Number</v>
      </c>
      <c r="B46" s="4" t="s">
        <v>565</v>
      </c>
      <c r="C46" s="4" t="s">
        <v>933</v>
      </c>
      <c r="D46" s="4" t="s">
        <v>861</v>
      </c>
      <c r="E46" s="4" t="s">
        <v>934</v>
      </c>
      <c r="F46" s="19"/>
    </row>
    <row r="47" spans="1:6" ht="13.15" customHeight="1" x14ac:dyDescent="0.2">
      <c r="A47" s="4" t="str">
        <f t="shared" ca="1" si="1"/>
        <v>Indicator</v>
      </c>
      <c r="B47" s="4" t="s">
        <v>11</v>
      </c>
      <c r="C47" s="4" t="s">
        <v>935</v>
      </c>
      <c r="D47" s="4" t="s">
        <v>862</v>
      </c>
      <c r="E47" s="4" t="s">
        <v>936</v>
      </c>
      <c r="F47" s="19"/>
    </row>
    <row r="48" spans="1:6" ht="13.15" customHeight="1" x14ac:dyDescent="0.2">
      <c r="A48" s="4" t="str">
        <f t="shared" ca="1" si="1"/>
        <v>Service Delivery Area</v>
      </c>
      <c r="B48" s="4" t="s">
        <v>12</v>
      </c>
      <c r="C48" s="4" t="s">
        <v>937</v>
      </c>
      <c r="D48" s="4" t="s">
        <v>863</v>
      </c>
      <c r="E48" s="4" t="s">
        <v>938</v>
      </c>
      <c r="F48" s="19"/>
    </row>
    <row r="49" spans="1:6" ht="13.15" customHeight="1" x14ac:dyDescent="0.2">
      <c r="A49" s="4" t="str">
        <f t="shared" ca="1" si="1"/>
        <v xml:space="preserve">Coverage/Output indicator </v>
      </c>
      <c r="B49" s="4" t="s">
        <v>1900</v>
      </c>
      <c r="C49" s="4" t="s">
        <v>1453</v>
      </c>
      <c r="D49" s="171" t="s">
        <v>1454</v>
      </c>
      <c r="E49" s="4" t="s">
        <v>1455</v>
      </c>
      <c r="F49" s="19"/>
    </row>
    <row r="50" spans="1:6" ht="13.15" customHeight="1" x14ac:dyDescent="0.2">
      <c r="A50" s="4" t="str">
        <f t="shared" ca="1" si="1"/>
        <v>Final target previous implementation period</v>
      </c>
      <c r="B50" s="4" t="s">
        <v>557</v>
      </c>
      <c r="C50" s="4" t="s">
        <v>939</v>
      </c>
      <c r="D50" s="4" t="s">
        <v>648</v>
      </c>
      <c r="E50" s="4" t="s">
        <v>940</v>
      </c>
      <c r="F50" s="19"/>
    </row>
    <row r="51" spans="1:6" ht="13.15" customHeight="1" x14ac:dyDescent="0.2">
      <c r="A51" s="4" t="str">
        <f t="shared" ca="1" si="1"/>
        <v>Latest available baseline/result</v>
      </c>
      <c r="B51" s="4" t="s">
        <v>547</v>
      </c>
      <c r="C51" s="4" t="s">
        <v>825</v>
      </c>
      <c r="D51" s="4" t="s">
        <v>836</v>
      </c>
      <c r="E51" s="4" t="s">
        <v>656</v>
      </c>
      <c r="F51" s="19"/>
    </row>
    <row r="52" spans="1:6" ht="13.15" customHeight="1" x14ac:dyDescent="0.2">
      <c r="A52" s="4" t="str">
        <f t="shared" ca="1" si="1"/>
        <v>Latest Available Results</v>
      </c>
      <c r="B52" s="4" t="s">
        <v>535</v>
      </c>
      <c r="C52" s="4" t="s">
        <v>941</v>
      </c>
      <c r="D52" s="4" t="s">
        <v>864</v>
      </c>
      <c r="E52" s="4" t="s">
        <v>942</v>
      </c>
      <c r="F52" s="19"/>
    </row>
    <row r="53" spans="1:6" ht="13.15" customHeight="1" x14ac:dyDescent="0.2">
      <c r="A53" s="4" t="str">
        <f t="shared" ca="1" si="1"/>
        <v>Period 1</v>
      </c>
      <c r="B53" s="4" t="s">
        <v>8</v>
      </c>
      <c r="C53" s="4" t="s">
        <v>943</v>
      </c>
      <c r="D53" s="4" t="s">
        <v>865</v>
      </c>
      <c r="E53" s="4" t="s">
        <v>944</v>
      </c>
      <c r="F53" s="19"/>
    </row>
    <row r="54" spans="1:6" ht="13.15" customHeight="1" x14ac:dyDescent="0.2">
      <c r="A54" s="4" t="str">
        <f t="shared" ca="1" si="1"/>
        <v>Period 2</v>
      </c>
      <c r="B54" s="4" t="s">
        <v>7</v>
      </c>
      <c r="C54" s="4" t="s">
        <v>945</v>
      </c>
      <c r="D54" s="4" t="s">
        <v>866</v>
      </c>
      <c r="E54" s="4" t="s">
        <v>946</v>
      </c>
      <c r="F54" s="19"/>
    </row>
    <row r="55" spans="1:6" ht="13.15" customHeight="1" x14ac:dyDescent="0.2">
      <c r="A55" s="4" t="str">
        <f t="shared" ca="1" si="1"/>
        <v>Period 3</v>
      </c>
      <c r="B55" s="4" t="s">
        <v>6</v>
      </c>
      <c r="C55" s="4" t="s">
        <v>947</v>
      </c>
      <c r="D55" s="4" t="s">
        <v>867</v>
      </c>
      <c r="E55" s="4" t="s">
        <v>948</v>
      </c>
      <c r="F55" s="19"/>
    </row>
    <row r="56" spans="1:6" ht="13.15" customHeight="1" x14ac:dyDescent="0.2">
      <c r="A56" s="4" t="str">
        <f t="shared" ca="1" si="1"/>
        <v>Period 4</v>
      </c>
      <c r="B56" s="4" t="s">
        <v>5</v>
      </c>
      <c r="C56" s="4" t="s">
        <v>949</v>
      </c>
      <c r="D56" s="4" t="s">
        <v>868</v>
      </c>
      <c r="E56" s="4" t="s">
        <v>950</v>
      </c>
      <c r="F56" s="19"/>
    </row>
    <row r="57" spans="1:6" ht="13.15" customHeight="1" x14ac:dyDescent="0.2">
      <c r="A57" s="4" t="str">
        <f t="shared" ca="1" si="1"/>
        <v>Period 5</v>
      </c>
      <c r="B57" s="4" t="s">
        <v>4</v>
      </c>
      <c r="C57" s="4" t="s">
        <v>951</v>
      </c>
      <c r="D57" s="4" t="s">
        <v>869</v>
      </c>
      <c r="E57" s="4" t="s">
        <v>952</v>
      </c>
      <c r="F57" s="19"/>
    </row>
    <row r="58" spans="1:6" ht="13.15" customHeight="1" x14ac:dyDescent="0.2">
      <c r="A58" s="4" t="str">
        <f t="shared" ca="1" si="1"/>
        <v>Period 6</v>
      </c>
      <c r="B58" s="4" t="s">
        <v>3</v>
      </c>
      <c r="C58" s="4" t="s">
        <v>953</v>
      </c>
      <c r="D58" s="4" t="s">
        <v>870</v>
      </c>
      <c r="E58" s="4" t="s">
        <v>954</v>
      </c>
      <c r="F58" s="19"/>
    </row>
    <row r="59" spans="1:6" ht="13.15" customHeight="1" x14ac:dyDescent="0.2">
      <c r="A59" s="4" t="str">
        <f t="shared" ca="1" si="1"/>
        <v>Period 7</v>
      </c>
      <c r="B59" s="4" t="s">
        <v>558</v>
      </c>
      <c r="C59" s="4" t="s">
        <v>955</v>
      </c>
      <c r="D59" s="4" t="s">
        <v>871</v>
      </c>
      <c r="E59" s="4" t="s">
        <v>956</v>
      </c>
      <c r="F59" s="19"/>
    </row>
    <row r="60" spans="1:6" ht="13.15" customHeight="1" x14ac:dyDescent="0.2">
      <c r="A60" s="4" t="str">
        <f t="shared" ca="1" si="1"/>
        <v>Period 8</v>
      </c>
      <c r="B60" s="4" t="s">
        <v>559</v>
      </c>
      <c r="C60" s="4" t="s">
        <v>957</v>
      </c>
      <c r="D60" s="4" t="s">
        <v>872</v>
      </c>
      <c r="E60" s="4" t="s">
        <v>958</v>
      </c>
      <c r="F60" s="19"/>
    </row>
    <row r="61" spans="1:6" ht="13.15" customHeight="1" x14ac:dyDescent="0.2">
      <c r="A61" s="4" t="str">
        <f t="shared" ca="1" si="1"/>
        <v>Period 9</v>
      </c>
      <c r="B61" s="4" t="s">
        <v>560</v>
      </c>
      <c r="C61" s="4" t="s">
        <v>959</v>
      </c>
      <c r="D61" s="4" t="s">
        <v>873</v>
      </c>
      <c r="E61" s="4" t="s">
        <v>960</v>
      </c>
      <c r="F61" s="19"/>
    </row>
    <row r="62" spans="1:6" ht="13.15" customHeight="1" x14ac:dyDescent="0.2">
      <c r="A62" s="4" t="str">
        <f t="shared" ca="1" si="1"/>
        <v>Period 10</v>
      </c>
      <c r="B62" s="4" t="s">
        <v>561</v>
      </c>
      <c r="C62" s="4" t="s">
        <v>961</v>
      </c>
      <c r="D62" s="4" t="s">
        <v>874</v>
      </c>
      <c r="E62" s="4" t="s">
        <v>962</v>
      </c>
      <c r="F62" s="19"/>
    </row>
    <row r="63" spans="1:6" ht="13.15" customHeight="1" x14ac:dyDescent="0.2">
      <c r="A63" s="4" t="str">
        <f t="shared" ca="1" si="1"/>
        <v>Period 11</v>
      </c>
      <c r="B63" s="4" t="s">
        <v>562</v>
      </c>
      <c r="C63" s="4" t="s">
        <v>963</v>
      </c>
      <c r="D63" s="4" t="s">
        <v>875</v>
      </c>
      <c r="E63" s="4" t="s">
        <v>964</v>
      </c>
      <c r="F63" s="19"/>
    </row>
    <row r="64" spans="1:6" ht="13.15" customHeight="1" x14ac:dyDescent="0.2">
      <c r="A64" s="4" t="str">
        <f t="shared" ca="1" si="1"/>
        <v>Period 12</v>
      </c>
      <c r="B64" s="4" t="s">
        <v>563</v>
      </c>
      <c r="C64" s="4" t="s">
        <v>965</v>
      </c>
      <c r="D64" s="4" t="s">
        <v>876</v>
      </c>
      <c r="E64" s="4" t="s">
        <v>966</v>
      </c>
      <c r="F64" s="19"/>
    </row>
    <row r="65" spans="1:6" ht="25.5" x14ac:dyDescent="0.2">
      <c r="A65" s="4" t="str">
        <f t="shared" ca="1" si="1"/>
        <v>Target cumulation</v>
      </c>
      <c r="B65" s="4" t="s">
        <v>10</v>
      </c>
      <c r="C65" s="4" t="s">
        <v>771</v>
      </c>
      <c r="D65" s="4" t="s">
        <v>837</v>
      </c>
      <c r="E65" s="4" t="s">
        <v>770</v>
      </c>
      <c r="F65" s="19"/>
    </row>
    <row r="66" spans="1:6" x14ac:dyDescent="0.2">
      <c r="A66" s="4" t="str">
        <f t="shared" ca="1" si="1"/>
        <v>Tied to</v>
      </c>
      <c r="B66" s="4" t="s">
        <v>61</v>
      </c>
      <c r="C66" s="4" t="s">
        <v>662</v>
      </c>
      <c r="D66" s="4" t="s">
        <v>663</v>
      </c>
      <c r="E66" s="4" t="s">
        <v>769</v>
      </c>
      <c r="F66" s="19"/>
    </row>
    <row r="67" spans="1:6" ht="25.5" x14ac:dyDescent="0.2">
      <c r="A67" s="4" t="str">
        <f t="shared" ref="A67:A72" ca="1" si="2">OFFSET($B67,0,LangOffset,1,1)</f>
        <v>Responsible Principal Recipient(s)</v>
      </c>
      <c r="B67" s="4" t="s">
        <v>1006</v>
      </c>
      <c r="C67" s="4" t="s">
        <v>1007</v>
      </c>
      <c r="D67" s="4" t="s">
        <v>844</v>
      </c>
      <c r="E67" s="4" t="s">
        <v>1008</v>
      </c>
      <c r="F67" s="19"/>
    </row>
    <row r="68" spans="1:6" ht="13.15" customHeight="1" x14ac:dyDescent="0.2">
      <c r="A68" s="4" t="str">
        <f t="shared" ca="1" si="2"/>
        <v>Top 10</v>
      </c>
      <c r="B68" s="4" t="s">
        <v>64</v>
      </c>
      <c r="C68" s="4" t="s">
        <v>64</v>
      </c>
      <c r="D68" s="22" t="s">
        <v>64</v>
      </c>
      <c r="E68" s="4" t="s">
        <v>64</v>
      </c>
      <c r="F68" s="19"/>
    </row>
    <row r="69" spans="1:6" ht="63.75" x14ac:dyDescent="0.2">
      <c r="A69" s="4" t="str">
        <f t="shared" ca="1" si="2"/>
        <v>PLEASE PROVIDE TARGET ASSUMPTIONS FOR OUTPUT AND COVERAGE INDICATORS HERE</v>
      </c>
      <c r="B69" s="4" t="s">
        <v>972</v>
      </c>
      <c r="C69" s="4" t="s">
        <v>975</v>
      </c>
      <c r="D69" s="171" t="s">
        <v>973</v>
      </c>
      <c r="E69" s="4" t="s">
        <v>974</v>
      </c>
    </row>
    <row r="70" spans="1:6" ht="191.25" x14ac:dyDescent="0.2">
      <c r="A70" s="4" t="str">
        <f t="shared" ca="1" si="2"/>
        <v>It is not compulsory to provide target assumptions for the indicators included in the performance framework, however providing additional information on how targets were set may help to reach a common understanding and agreement between the Principal Recipient and the Global Fund Secretariat and speed up the negotiation process.</v>
      </c>
      <c r="B70" s="172" t="s">
        <v>629</v>
      </c>
      <c r="C70" s="172" t="s">
        <v>638</v>
      </c>
      <c r="D70" s="172" t="s">
        <v>649</v>
      </c>
      <c r="E70" s="172" t="s">
        <v>657</v>
      </c>
    </row>
    <row r="71" spans="1:6" x14ac:dyDescent="0.2">
      <c r="A71" s="4" t="str">
        <f t="shared" ca="1" si="2"/>
        <v>PR</v>
      </c>
      <c r="B71" s="172" t="s">
        <v>75</v>
      </c>
      <c r="C71" s="173" t="s">
        <v>772</v>
      </c>
      <c r="D71" s="172" t="s">
        <v>772</v>
      </c>
      <c r="E71" s="172" t="s">
        <v>773</v>
      </c>
    </row>
    <row r="72" spans="1:6" x14ac:dyDescent="0.2">
      <c r="A72" s="4" t="str">
        <f t="shared" ca="1" si="2"/>
        <v>Please select…</v>
      </c>
      <c r="B72" s="172" t="s">
        <v>0</v>
      </c>
      <c r="C72" s="172" t="s">
        <v>768</v>
      </c>
      <c r="D72" s="172" t="s">
        <v>752</v>
      </c>
      <c r="E72" s="172" t="s">
        <v>749</v>
      </c>
    </row>
    <row r="73" spans="1:6" x14ac:dyDescent="0.2">
      <c r="A73" s="4" t="str">
        <f t="shared" ref="A73:A97" ca="1" si="3">OFFSET($B73,0,LangOffset,1,1)</f>
        <v>Comments and Assumptions</v>
      </c>
      <c r="B73" s="174" t="s">
        <v>979</v>
      </c>
      <c r="C73" s="175"/>
      <c r="D73" s="176"/>
      <c r="E73" s="176"/>
    </row>
    <row r="74" spans="1:6" x14ac:dyDescent="0.2">
      <c r="A74" s="4" t="str">
        <f t="shared" ca="1" si="3"/>
        <v>D. Modules</v>
      </c>
      <c r="B74" s="174" t="s">
        <v>978</v>
      </c>
      <c r="C74" s="175"/>
      <c r="D74" s="176"/>
      <c r="E74" s="176"/>
    </row>
    <row r="75" spans="1:6" x14ac:dyDescent="0.2">
      <c r="A75" s="4" t="str">
        <f t="shared" ca="1" si="3"/>
        <v>Module</v>
      </c>
      <c r="B75" s="174" t="s">
        <v>986</v>
      </c>
      <c r="C75" s="175"/>
      <c r="D75" s="176"/>
      <c r="E75" s="176"/>
    </row>
    <row r="76" spans="1:6" ht="25.5" x14ac:dyDescent="0.2">
      <c r="A76" s="4" t="str">
        <f t="shared" ca="1" si="3"/>
        <v>Measurement framework for module</v>
      </c>
      <c r="B76" s="174" t="s">
        <v>980</v>
      </c>
      <c r="C76" s="175"/>
      <c r="D76" s="176"/>
      <c r="E76" s="176"/>
    </row>
    <row r="77" spans="1:6" ht="25.5" x14ac:dyDescent="0.2">
      <c r="A77" s="4" t="str">
        <f t="shared" ca="1" si="3"/>
        <v>Total requested
amount</v>
      </c>
      <c r="B77" s="174" t="s">
        <v>1549</v>
      </c>
      <c r="C77" s="175"/>
      <c r="D77" s="175"/>
      <c r="E77" s="175"/>
    </row>
    <row r="78" spans="1:6" x14ac:dyDescent="0.2">
      <c r="A78" s="4" t="str">
        <f t="shared" ca="1" si="3"/>
        <v>Indicative</v>
      </c>
      <c r="B78" s="174" t="s">
        <v>981</v>
      </c>
      <c r="C78" s="175"/>
      <c r="D78" s="175"/>
      <c r="E78" s="175"/>
    </row>
    <row r="79" spans="1:6" x14ac:dyDescent="0.2">
      <c r="A79" s="4" t="str">
        <f t="shared" ca="1" si="3"/>
        <v>Above indicative</v>
      </c>
      <c r="B79" s="174" t="s">
        <v>982</v>
      </c>
      <c r="C79" s="175"/>
      <c r="D79" s="175"/>
      <c r="E79" s="175"/>
    </row>
    <row r="80" spans="1:6" x14ac:dyDescent="0.2">
      <c r="A80" s="4" t="str">
        <f t="shared" ca="1" si="3"/>
        <v>Language:</v>
      </c>
      <c r="B80" s="174" t="s">
        <v>976</v>
      </c>
      <c r="C80" s="177" t="s">
        <v>1542</v>
      </c>
      <c r="D80" s="177" t="s">
        <v>1541</v>
      </c>
      <c r="E80" s="177" t="s">
        <v>1543</v>
      </c>
    </row>
    <row r="81" spans="1:5" x14ac:dyDescent="0.2">
      <c r="A81" s="4" t="str">
        <f t="shared" ca="1" si="3"/>
        <v xml:space="preserve">Modular Approach - Concept Note </v>
      </c>
      <c r="B81" s="174" t="s">
        <v>977</v>
      </c>
      <c r="C81" s="175"/>
      <c r="D81" s="175"/>
      <c r="E81" s="175"/>
    </row>
    <row r="82" spans="1:5" x14ac:dyDescent="0.2">
      <c r="A82" s="4" t="str">
        <f t="shared" ca="1" si="3"/>
        <v>Target assumptions</v>
      </c>
      <c r="B82" s="174" t="s">
        <v>614</v>
      </c>
      <c r="C82" s="175"/>
      <c r="D82" s="175"/>
      <c r="E82" s="175"/>
    </row>
    <row r="83" spans="1:5" ht="89.25" x14ac:dyDescent="0.2">
      <c r="A83" s="4" t="str">
        <f t="shared" ca="1" si="3"/>
        <v>Please describe: 1) overall assumptions used in calculating targets, 2) anticipated rate of scale-up, 3) population size estimates, 4) description of indicator/package of services, 5) data source, 6) other relevant information</v>
      </c>
      <c r="B83" s="174" t="s">
        <v>1901</v>
      </c>
      <c r="C83" s="175"/>
      <c r="D83" s="175"/>
      <c r="E83" s="175"/>
    </row>
    <row r="84" spans="1:5" x14ac:dyDescent="0.2">
      <c r="A84" s="4" t="str">
        <f t="shared" ca="1" si="3"/>
        <v>Indicative request for entire module</v>
      </c>
      <c r="B84" s="174" t="s">
        <v>1547</v>
      </c>
      <c r="C84" s="175"/>
      <c r="D84" s="175"/>
      <c r="E84" s="175"/>
    </row>
    <row r="85" spans="1:5" ht="25.5" x14ac:dyDescent="0.2">
      <c r="A85" s="4" t="str">
        <f t="shared" ca="1" si="3"/>
        <v>Above indicative request for entire module</v>
      </c>
      <c r="B85" s="174" t="s">
        <v>1548</v>
      </c>
      <c r="C85" s="175"/>
      <c r="D85" s="175"/>
      <c r="E85" s="175"/>
    </row>
    <row r="86" spans="1:5" x14ac:dyDescent="0.2">
      <c r="A86" s="4" t="str">
        <f t="shared" ca="1" si="3"/>
        <v>Intervention</v>
      </c>
      <c r="B86" s="174" t="s">
        <v>1545</v>
      </c>
      <c r="C86" s="175"/>
      <c r="D86" s="175"/>
      <c r="E86" s="175"/>
    </row>
    <row r="87" spans="1:5" x14ac:dyDescent="0.2">
      <c r="A87" s="4" t="str">
        <f t="shared" ca="1" si="3"/>
        <v>Module budget</v>
      </c>
      <c r="B87" s="174" t="s">
        <v>1546</v>
      </c>
      <c r="C87" s="175"/>
      <c r="D87" s="175"/>
      <c r="E87" s="175"/>
    </row>
    <row r="88" spans="1:5" x14ac:dyDescent="0.2">
      <c r="A88" s="4" t="str">
        <f t="shared" ca="1" si="3"/>
        <v>Description of Intervention</v>
      </c>
      <c r="B88" s="174" t="s">
        <v>1539</v>
      </c>
      <c r="C88" s="175"/>
      <c r="D88" s="175"/>
      <c r="E88" s="175"/>
    </row>
    <row r="89" spans="1:5" ht="114.75" x14ac:dyDescent="0.2">
      <c r="A89" s="4" t="str">
        <f t="shared" ca="1" si="3"/>
        <v>Please describe 1) rationale for Global Fund support, 2) linkages to national strategic plan, 3) target population &amp; geographic scope,  4) implementation approach, and 5) other relevant information. Please differentiate between scope of indicative and above indicative request</v>
      </c>
      <c r="B89" s="174" t="s">
        <v>1540</v>
      </c>
      <c r="C89" s="175"/>
      <c r="D89" s="175"/>
      <c r="E89" s="175"/>
    </row>
    <row r="90" spans="1:5" ht="25.5" x14ac:dyDescent="0.2">
      <c r="A90" s="4" t="str">
        <f t="shared" ca="1" si="3"/>
        <v>Intervention budget (request to the Global Fund only)</v>
      </c>
      <c r="B90" s="174" t="s">
        <v>1536</v>
      </c>
      <c r="C90" s="175"/>
      <c r="D90" s="175"/>
      <c r="E90" s="175"/>
    </row>
    <row r="91" spans="1:5" ht="25.5" x14ac:dyDescent="0.2">
      <c r="A91" s="4" t="str">
        <f t="shared" ca="1" si="3"/>
        <v>Cost Assumptions for the request to the Global Fund</v>
      </c>
      <c r="B91" s="174" t="s">
        <v>1538</v>
      </c>
      <c r="C91" s="175"/>
      <c r="D91" s="175"/>
      <c r="E91" s="175"/>
    </row>
    <row r="92" spans="1:5" ht="76.5" x14ac:dyDescent="0.2">
      <c r="A92" s="4" t="str">
        <f t="shared" ca="1" si="3"/>
        <v>Please describe: 1) cost assumptions and data sources, 2) key activities, 3) other relevant information. Please differentiate between indicative and above indicative</v>
      </c>
      <c r="B92" s="174" t="s">
        <v>1921</v>
      </c>
      <c r="C92" s="175"/>
      <c r="D92" s="175"/>
      <c r="E92" s="175"/>
    </row>
    <row r="93" spans="1:5" ht="38.25" x14ac:dyDescent="0.2">
      <c r="A93" s="4" t="str">
        <f t="shared" ca="1" si="3"/>
        <v>Other funding received for this intervention (including scope of activities funded)</v>
      </c>
      <c r="B93" s="174" t="s">
        <v>1537</v>
      </c>
      <c r="C93" s="175"/>
      <c r="D93" s="175"/>
      <c r="E93" s="175"/>
    </row>
    <row r="94" spans="1:5" ht="38.25" x14ac:dyDescent="0.2">
      <c r="A94" s="4" t="str">
        <f ca="1">OFFSET($B94,0,LangOffset,1,1)</f>
        <v>PLEASE PROVIDE COST ASSUMPTIONS FOR BUDGET HERE</v>
      </c>
      <c r="B94" s="174" t="s">
        <v>1903</v>
      </c>
      <c r="C94" s="175" t="s">
        <v>1902</v>
      </c>
      <c r="D94" s="175"/>
      <c r="E94" s="175"/>
    </row>
    <row r="95" spans="1:5" ht="114.75" x14ac:dyDescent="0.2">
      <c r="A95" s="4" t="str">
        <f t="shared" ca="1" si="3"/>
        <v>It is not compulsory to provide detailed cost assumptions for the budget, however providing additional information may help to reach a common understanding and agreement between the Principal Recipient and the Global Fund Secretariat and speed up the negotiation process.</v>
      </c>
      <c r="B95" s="174" t="s">
        <v>1904</v>
      </c>
      <c r="C95" s="175"/>
      <c r="D95" s="175"/>
      <c r="E95" s="175"/>
    </row>
    <row r="96" spans="1:5" ht="25.5" x14ac:dyDescent="0.2">
      <c r="A96" s="4" t="str">
        <f t="shared" ca="1" si="3"/>
        <v>Summary of requested 3 years of funding by module</v>
      </c>
      <c r="B96" s="204" t="s">
        <v>1905</v>
      </c>
      <c r="C96" s="175"/>
      <c r="D96" s="175"/>
      <c r="E96" s="175"/>
    </row>
    <row r="97" spans="1:5" ht="63.75" x14ac:dyDescent="0.2">
      <c r="A97" s="4" t="str">
        <f t="shared" ca="1" si="3"/>
        <v>To refresh the pivot table with latest amounts entered in the Module budgets on the Concept Note sheet, click anywhere on the pivot table and then press Alt + F5.</v>
      </c>
      <c r="B97" s="204" t="s">
        <v>1916</v>
      </c>
      <c r="C97" s="175"/>
      <c r="D97" s="175"/>
      <c r="E97" s="175"/>
    </row>
  </sheetData>
  <sheetProtection insertRows="0" deleteRows="0" sort="0" autoFilter="0"/>
  <customSheetViews>
    <customSheetView guid="{AB7DC012-E038-4AC4-B964-79EBEC1A7DBE}" state="hidden">
      <selection activeCell="B93" sqref="B93"/>
      <pageMargins left="0.7" right="0.7" top="0.75" bottom="0.75" header="0.3" footer="0.3"/>
      <pageSetup paperSize="9" orientation="portrait"/>
    </customSheetView>
    <customSheetView guid="{8263CC96-2145-451B-AD8A-CC38FD628AC9}" state="hidden">
      <selection activeCell="B93" sqref="B93"/>
      <pageMargins left="0.7" right="0.7" top="0.75" bottom="0.75" header="0.3" footer="0.3"/>
      <pageSetup paperSize="9" orientation="portrait"/>
    </customSheetView>
    <customSheetView guid="{721132AF-EF29-4C83-8A4A-F17ABB4BD7C0}" state="hidden">
      <selection activeCell="B93" sqref="B93"/>
      <pageMargins left="0.7" right="0.7" top="0.75" bottom="0.75" header="0.3" footer="0.3"/>
      <pageSetup paperSize="9" orientation="portrait"/>
    </customSheetView>
    <customSheetView guid="{CE0E8020-2C9F-41F1-9136-031F56EB2C71}" state="hidden">
      <selection activeCell="B93" sqref="B93"/>
      <pageMargins left="0.7" right="0.7" top="0.75" bottom="0.75" header="0.3" footer="0.3"/>
    </customSheetView>
    <customSheetView guid="{E823EC26-EF2B-442F-BAF4-E4055CE48BD3}" state="hidden">
      <selection activeCell="B93" sqref="B93"/>
      <pageMargins left="0.7" right="0.7" top="0.75" bottom="0.75" header="0.3" footer="0.3"/>
    </customSheetView>
    <customSheetView guid="{86255A0E-17F2-0E4B-B055-7B9B2A71C25A}" state="hidden">
      <selection activeCell="B93" sqref="B93"/>
      <pageMargins left="0.7" right="0.7" top="0.75" bottom="0.75" header="0.3" footer="0.3"/>
      <pageSetup paperSize="9" orientation="portrait"/>
    </customSheetView>
    <customSheetView guid="{D193A86F-CAEF-42FB-9ABB-073B57B81A50}" state="hidden">
      <selection activeCell="B93" sqref="B93"/>
      <pageMargins left="0.7" right="0.7" top="0.75" bottom="0.75" header="0.3" footer="0.3"/>
      <pageSetup paperSize="9" orientation="portrait"/>
    </customSheetView>
  </customSheetView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J14"/>
  <sheetViews>
    <sheetView workbookViewId="0"/>
  </sheetViews>
  <sheetFormatPr defaultColWidth="8.7109375" defaultRowHeight="12.75" x14ac:dyDescent="0.2"/>
  <cols>
    <col min="1" max="1" width="3" bestFit="1" customWidth="1"/>
    <col min="2" max="2" width="21.42578125" bestFit="1" customWidth="1"/>
    <col min="3" max="3" width="12.7109375" bestFit="1" customWidth="1"/>
    <col min="4" max="4" width="4.28515625" bestFit="1" customWidth="1"/>
    <col min="5" max="5" width="13.42578125" bestFit="1" customWidth="1"/>
    <col min="6" max="6" width="36.140625" bestFit="1" customWidth="1"/>
    <col min="7" max="7" width="3.7109375" bestFit="1" customWidth="1"/>
    <col min="8" max="8" width="6.7109375" bestFit="1" customWidth="1"/>
    <col min="9" max="9" width="4.7109375" bestFit="1" customWidth="1"/>
    <col min="10" max="10" width="7.7109375" bestFit="1" customWidth="1"/>
  </cols>
  <sheetData>
    <row r="1" spans="1:10" x14ac:dyDescent="0.2">
      <c r="A1" s="19">
        <v>13</v>
      </c>
      <c r="B1" s="19" t="s">
        <v>569</v>
      </c>
      <c r="C1" s="19" t="s">
        <v>570</v>
      </c>
      <c r="D1" s="19" t="s">
        <v>571</v>
      </c>
      <c r="E1" s="19" t="s">
        <v>572</v>
      </c>
      <c r="F1" s="19" t="s">
        <v>573</v>
      </c>
      <c r="G1" s="19" t="s">
        <v>574</v>
      </c>
      <c r="H1" s="19" t="s">
        <v>575</v>
      </c>
      <c r="I1" s="19" t="s">
        <v>576</v>
      </c>
      <c r="J1" s="19" t="s">
        <v>577</v>
      </c>
    </row>
    <row r="2" spans="1:10" x14ac:dyDescent="0.2">
      <c r="A2" s="19"/>
      <c r="B2" s="19" t="s">
        <v>578</v>
      </c>
      <c r="C2" s="19" t="s">
        <v>579</v>
      </c>
      <c r="D2" s="19" t="s">
        <v>580</v>
      </c>
      <c r="E2" s="19" t="s">
        <v>581</v>
      </c>
      <c r="F2" s="21" t="s">
        <v>582</v>
      </c>
      <c r="G2" s="19">
        <v>7</v>
      </c>
      <c r="H2" s="19">
        <v>4</v>
      </c>
      <c r="I2" s="19">
        <v>1</v>
      </c>
      <c r="J2" s="19">
        <v>1</v>
      </c>
    </row>
    <row r="3" spans="1:10" x14ac:dyDescent="0.2">
      <c r="A3" s="19"/>
      <c r="B3" s="19" t="s">
        <v>578</v>
      </c>
      <c r="C3" s="19" t="s">
        <v>583</v>
      </c>
      <c r="D3" s="19" t="s">
        <v>584</v>
      </c>
      <c r="E3" s="19" t="s">
        <v>588</v>
      </c>
      <c r="F3" s="21" t="s">
        <v>585</v>
      </c>
      <c r="G3" s="19">
        <v>4</v>
      </c>
      <c r="H3" s="19">
        <v>4</v>
      </c>
      <c r="I3" s="19">
        <v>4</v>
      </c>
      <c r="J3" s="19">
        <v>4</v>
      </c>
    </row>
    <row r="4" spans="1:10" x14ac:dyDescent="0.2">
      <c r="A4" s="19"/>
      <c r="B4" s="19" t="s">
        <v>578</v>
      </c>
      <c r="C4" s="19" t="s">
        <v>586</v>
      </c>
      <c r="D4" s="19" t="s">
        <v>587</v>
      </c>
      <c r="E4" s="19" t="s">
        <v>588</v>
      </c>
      <c r="F4" s="21" t="s">
        <v>589</v>
      </c>
      <c r="G4" s="19">
        <v>4</v>
      </c>
      <c r="H4" s="19">
        <v>12</v>
      </c>
      <c r="I4" s="19">
        <v>5</v>
      </c>
      <c r="J4" s="19">
        <v>14</v>
      </c>
    </row>
    <row r="5" spans="1:10" x14ac:dyDescent="0.2">
      <c r="A5" s="19"/>
      <c r="B5" s="19" t="s">
        <v>578</v>
      </c>
      <c r="C5" s="19" t="s">
        <v>590</v>
      </c>
      <c r="D5" s="19" t="s">
        <v>591</v>
      </c>
      <c r="E5" s="19" t="s">
        <v>588</v>
      </c>
      <c r="F5" s="21" t="s">
        <v>592</v>
      </c>
      <c r="G5" s="19">
        <v>11</v>
      </c>
      <c r="H5" s="19">
        <v>4</v>
      </c>
      <c r="I5" s="19">
        <v>2</v>
      </c>
      <c r="J5" s="19">
        <v>22</v>
      </c>
    </row>
    <row r="6" spans="1:10" x14ac:dyDescent="0.2">
      <c r="A6" s="19"/>
      <c r="B6" s="19" t="s">
        <v>578</v>
      </c>
      <c r="C6" s="19" t="s">
        <v>593</v>
      </c>
      <c r="D6" s="19" t="s">
        <v>594</v>
      </c>
      <c r="E6" s="19" t="s">
        <v>581</v>
      </c>
      <c r="F6" s="21" t="s">
        <v>595</v>
      </c>
      <c r="G6" s="19">
        <v>20</v>
      </c>
      <c r="H6" s="19">
        <v>1</v>
      </c>
      <c r="I6" s="19">
        <v>1</v>
      </c>
      <c r="J6" s="19">
        <v>34</v>
      </c>
    </row>
    <row r="7" spans="1:10" x14ac:dyDescent="0.2">
      <c r="A7" s="19"/>
      <c r="B7" s="19" t="s">
        <v>578</v>
      </c>
      <c r="C7" s="19" t="s">
        <v>596</v>
      </c>
      <c r="D7" s="19" t="s">
        <v>597</v>
      </c>
      <c r="E7" s="19" t="s">
        <v>588</v>
      </c>
      <c r="F7" s="21" t="s">
        <v>598</v>
      </c>
      <c r="G7" s="19">
        <v>29</v>
      </c>
      <c r="H7" s="19">
        <v>1</v>
      </c>
      <c r="I7" s="19">
        <v>5</v>
      </c>
      <c r="J7" s="19">
        <v>34</v>
      </c>
    </row>
    <row r="8" spans="1:10" x14ac:dyDescent="0.2">
      <c r="A8" s="19"/>
      <c r="B8" s="19" t="s">
        <v>578</v>
      </c>
      <c r="C8" s="19" t="s">
        <v>599</v>
      </c>
      <c r="D8" s="19" t="s">
        <v>600</v>
      </c>
      <c r="E8" s="19" t="s">
        <v>581</v>
      </c>
      <c r="F8" s="21" t="s">
        <v>601</v>
      </c>
      <c r="G8" s="19">
        <v>36</v>
      </c>
      <c r="H8" s="19">
        <v>1</v>
      </c>
      <c r="I8" s="19">
        <v>1</v>
      </c>
      <c r="J8" s="19">
        <v>34</v>
      </c>
    </row>
    <row r="9" spans="1:10" x14ac:dyDescent="0.2">
      <c r="A9" s="19"/>
      <c r="B9" s="19" t="s">
        <v>578</v>
      </c>
      <c r="C9" s="19" t="s">
        <v>602</v>
      </c>
      <c r="D9" s="19" t="s">
        <v>603</v>
      </c>
      <c r="E9" s="19" t="s">
        <v>588</v>
      </c>
      <c r="F9" s="21" t="s">
        <v>604</v>
      </c>
      <c r="G9" s="19">
        <v>47</v>
      </c>
      <c r="H9" s="19">
        <v>1</v>
      </c>
      <c r="I9" s="19">
        <v>5</v>
      </c>
      <c r="J9" s="19">
        <v>34</v>
      </c>
    </row>
    <row r="10" spans="1:10" x14ac:dyDescent="0.2">
      <c r="A10" s="19"/>
      <c r="B10" s="19" t="s">
        <v>578</v>
      </c>
      <c r="C10" s="19" t="s">
        <v>605</v>
      </c>
      <c r="D10" s="19" t="s">
        <v>606</v>
      </c>
      <c r="E10" s="19" t="s">
        <v>588</v>
      </c>
      <c r="F10" s="21" t="s">
        <v>607</v>
      </c>
      <c r="G10" s="19">
        <v>58</v>
      </c>
      <c r="H10" s="19">
        <v>1</v>
      </c>
      <c r="I10" s="19">
        <v>40</v>
      </c>
      <c r="J10" s="19">
        <v>55</v>
      </c>
    </row>
    <row r="11" spans="1:10" x14ac:dyDescent="0.2">
      <c r="A11" s="19"/>
      <c r="B11" s="19" t="s">
        <v>578</v>
      </c>
      <c r="C11" s="19" t="s">
        <v>608</v>
      </c>
      <c r="D11" s="19" t="s">
        <v>609</v>
      </c>
      <c r="E11" s="19" t="s">
        <v>581</v>
      </c>
      <c r="F11" s="21" t="s">
        <v>610</v>
      </c>
      <c r="G11" s="19">
        <v>6</v>
      </c>
      <c r="H11" s="19">
        <v>8</v>
      </c>
      <c r="I11" s="19">
        <v>1</v>
      </c>
      <c r="J11" s="19">
        <v>1</v>
      </c>
    </row>
    <row r="12" spans="1:10" x14ac:dyDescent="0.2">
      <c r="A12" s="19"/>
      <c r="B12" s="19" t="s">
        <v>578</v>
      </c>
      <c r="C12" s="19" t="s">
        <v>611</v>
      </c>
      <c r="D12" s="19" t="s">
        <v>612</v>
      </c>
      <c r="E12" s="19" t="s">
        <v>581</v>
      </c>
      <c r="F12" s="21" t="s">
        <v>613</v>
      </c>
      <c r="G12" s="19">
        <v>6</v>
      </c>
      <c r="H12" s="19">
        <v>4</v>
      </c>
      <c r="I12" s="19">
        <v>1</v>
      </c>
      <c r="J12" s="19">
        <v>1</v>
      </c>
    </row>
    <row r="13" spans="1:10" x14ac:dyDescent="0.2">
      <c r="A13" s="19"/>
      <c r="B13" s="19" t="s">
        <v>614</v>
      </c>
      <c r="C13" s="19" t="s">
        <v>623</v>
      </c>
      <c r="D13" s="19" t="s">
        <v>616</v>
      </c>
      <c r="E13" s="19" t="s">
        <v>581</v>
      </c>
      <c r="F13" s="21" t="s">
        <v>617</v>
      </c>
      <c r="G13" s="19">
        <v>1</v>
      </c>
      <c r="H13" s="19">
        <v>1</v>
      </c>
      <c r="I13" s="19">
        <v>5</v>
      </c>
      <c r="J13" s="19">
        <v>18</v>
      </c>
    </row>
    <row r="14" spans="1:10" x14ac:dyDescent="0.2">
      <c r="A14" s="19"/>
      <c r="B14" s="19" t="s">
        <v>614</v>
      </c>
      <c r="C14" s="19" t="s">
        <v>615</v>
      </c>
      <c r="D14" s="19" t="s">
        <v>616</v>
      </c>
      <c r="E14" s="19" t="s">
        <v>581</v>
      </c>
      <c r="F14" s="21" t="s">
        <v>617</v>
      </c>
      <c r="G14" s="19">
        <v>1</v>
      </c>
      <c r="H14" s="19">
        <v>1</v>
      </c>
      <c r="I14" s="19">
        <v>5</v>
      </c>
      <c r="J14" s="19">
        <v>18</v>
      </c>
    </row>
  </sheetData>
  <sheetProtection insertRows="0" deleteRows="0" sort="0" autoFilter="0"/>
  <customSheetViews>
    <customSheetView guid="{AB7DC012-E038-4AC4-B964-79EBEC1A7DBE}" state="veryHidden">
      <pageMargins left="0.7" right="0.7" top="0.75" bottom="0.75" header="0.3" footer="0.3"/>
    </customSheetView>
    <customSheetView guid="{8263CC96-2145-451B-AD8A-CC38FD628AC9}" state="veryHidden">
      <pageMargins left="0.7" right="0.7" top="0.75" bottom="0.75" header="0.3" footer="0.3"/>
    </customSheetView>
    <customSheetView guid="{721132AF-EF29-4C83-8A4A-F17ABB4BD7C0}" state="veryHidden">
      <pageMargins left="0.7" right="0.7" top="0.75" bottom="0.75" header="0.3" footer="0.3"/>
    </customSheetView>
    <customSheetView guid="{CE0E8020-2C9F-41F1-9136-031F56EB2C71}" state="veryHidden">
      <pageMargins left="0.7" right="0.7" top="0.75" bottom="0.75" header="0.3" footer="0.3"/>
    </customSheetView>
    <customSheetView guid="{E823EC26-EF2B-442F-BAF4-E4055CE48BD3}" state="veryHidden">
      <pageMargins left="0.7" right="0.7" top="0.75" bottom="0.75" header="0.3" footer="0.3"/>
    </customSheetView>
    <customSheetView guid="{86255A0E-17F2-0E4B-B055-7B9B2A71C25A}" state="veryHidden">
      <pageMargins left="0.7" right="0.7" top="0.75" bottom="0.75" header="0.3" footer="0.3"/>
    </customSheetView>
    <customSheetView guid="{D193A86F-CAEF-42FB-9ABB-073B57B81A50}" state="veryHidden">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enableFormatConditionsCalculation="0"/>
  <dimension ref="A1:B4"/>
  <sheetViews>
    <sheetView workbookViewId="0"/>
  </sheetViews>
  <sheetFormatPr defaultColWidth="8.7109375" defaultRowHeight="12.75" x14ac:dyDescent="0.2"/>
  <cols>
    <col min="1" max="1" width="9.42578125" bestFit="1" customWidth="1"/>
    <col min="2" max="2" width="54.28515625" bestFit="1" customWidth="1"/>
  </cols>
  <sheetData>
    <row r="1" spans="1:2" x14ac:dyDescent="0.2">
      <c r="A1" s="19" t="s">
        <v>618</v>
      </c>
      <c r="B1" s="19" t="s">
        <v>19</v>
      </c>
    </row>
    <row r="2" spans="1:2" x14ac:dyDescent="0.2">
      <c r="A2" s="19" t="s">
        <v>619</v>
      </c>
      <c r="B2" s="19" t="s">
        <v>620</v>
      </c>
    </row>
    <row r="3" spans="1:2" x14ac:dyDescent="0.2">
      <c r="A3" s="19" t="s">
        <v>618</v>
      </c>
      <c r="B3" s="19" t="s">
        <v>621</v>
      </c>
    </row>
    <row r="4" spans="1:2" x14ac:dyDescent="0.2">
      <c r="A4" s="19" t="s">
        <v>622</v>
      </c>
      <c r="B4" s="19" t="s">
        <v>624</v>
      </c>
    </row>
  </sheetData>
  <sheetProtection insertRows="0" deleteRows="0" sort="0" autoFilter="0"/>
  <customSheetViews>
    <customSheetView guid="{AB7DC012-E038-4AC4-B964-79EBEC1A7DBE}" state="veryHidden">
      <pageMargins left="0.7" right="0.7" top="0.75" bottom="0.75" header="0.3" footer="0.3"/>
    </customSheetView>
    <customSheetView guid="{8263CC96-2145-451B-AD8A-CC38FD628AC9}" state="veryHidden">
      <pageMargins left="0.7" right="0.7" top="0.75" bottom="0.75" header="0.3" footer="0.3"/>
    </customSheetView>
    <customSheetView guid="{721132AF-EF29-4C83-8A4A-F17ABB4BD7C0}" state="veryHidden">
      <pageMargins left="0.7" right="0.7" top="0.75" bottom="0.75" header="0.3" footer="0.3"/>
    </customSheetView>
    <customSheetView guid="{CE0E8020-2C9F-41F1-9136-031F56EB2C71}" state="veryHidden">
      <pageMargins left="0.7" right="0.7" top="0.75" bottom="0.75" header="0.3" footer="0.3"/>
    </customSheetView>
    <customSheetView guid="{E823EC26-EF2B-442F-BAF4-E4055CE48BD3}" state="veryHidden">
      <pageMargins left="0.7" right="0.7" top="0.75" bottom="0.75" header="0.3" footer="0.3"/>
    </customSheetView>
    <customSheetView guid="{86255A0E-17F2-0E4B-B055-7B9B2A71C25A}" state="veryHidden">
      <pageMargins left="0.7" right="0.7" top="0.75" bottom="0.75" header="0.3" footer="0.3"/>
    </customSheetView>
    <customSheetView guid="{D193A86F-CAEF-42FB-9ABB-073B57B81A50}" state="veryHidden">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109375" defaultRowHeight="12.75" x14ac:dyDescent="0.2"/>
  <sheetData/>
  <customSheetViews>
    <customSheetView guid="{AB7DC012-E038-4AC4-B964-79EBEC1A7DBE}">
      <pageMargins left="0.7" right="0.7" top="0.75" bottom="0.75" header="0.3" footer="0.3"/>
    </customSheetView>
    <customSheetView guid="{8263CC96-2145-451B-AD8A-CC38FD628AC9}">
      <pageMargins left="0.7" right="0.7" top="0.75" bottom="0.75" header="0.3" footer="0.3"/>
    </customSheetView>
    <customSheetView guid="{721132AF-EF29-4C83-8A4A-F17ABB4BD7C0}">
      <pageMargins left="0.7" right="0.7" top="0.75" bottom="0.75" header="0.3" footer="0.3"/>
    </customSheetView>
    <customSheetView guid="{CE0E8020-2C9F-41F1-9136-031F56EB2C71}">
      <pageMargins left="0.7" right="0.7" top="0.75" bottom="0.75" header="0.3" footer="0.3"/>
    </customSheetView>
    <customSheetView guid="{E823EC26-EF2B-442F-BAF4-E4055CE48BD3}">
      <pageMargins left="0.7" right="0.7" top="0.75" bottom="0.75" header="0.3" footer="0.3"/>
    </customSheetView>
    <customSheetView guid="{86255A0E-17F2-0E4B-B055-7B9B2A71C25A}">
      <pageMargins left="0.7" right="0.7" top="0.75" bottom="0.75" header="0.3" footer="0.3"/>
    </customSheetView>
    <customSheetView guid="{D193A86F-CAEF-42FB-9ABB-073B57B81A50}">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A5792F332F6E438D3671D312F09125" ma:contentTypeVersion="0" ma:contentTypeDescription="Create a new document." ma:contentTypeScope="" ma:versionID="c2104561eb31cb03d3d9a7db205ba91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5CE31143-4486-45F2-850D-196BDA5B8E07}"/>
</file>

<file path=customXml/itemProps2.xml><?xml version="1.0" encoding="utf-8"?>
<ds:datastoreItem xmlns:ds="http://schemas.openxmlformats.org/officeDocument/2006/customXml" ds:itemID="{5DC418A2-50C9-4EED-A486-035952187392}"/>
</file>

<file path=customXml/itemProps3.xml><?xml version="1.0" encoding="utf-8"?>
<ds:datastoreItem xmlns:ds="http://schemas.openxmlformats.org/officeDocument/2006/customXml" ds:itemID="{EDDBF362-46BE-492C-B331-62691044B4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Instructions fr</vt:lpstr>
      <vt:lpstr>Instructions sp</vt:lpstr>
      <vt:lpstr>Instructions ru</vt:lpstr>
      <vt:lpstr>Instructions en</vt:lpstr>
      <vt:lpstr>Concept Note</vt:lpstr>
      <vt:lpstr>Summary budget</vt:lpstr>
      <vt:lpstr>NEW SUMMARY BUDGET</vt:lpstr>
      <vt:lpstr>Target assumptions - optional</vt:lpstr>
      <vt:lpstr>Cost assumptions - optional</vt:lpstr>
      <vt:lpstr>Summary By Year</vt:lpstr>
      <vt:lpstr>Cmp</vt:lpstr>
      <vt:lpstr>Modules</vt:lpstr>
      <vt:lpstr>Interven</vt:lpstr>
      <vt:lpstr>Coverage ind</vt:lpstr>
      <vt:lpstr>Outcome ind</vt:lpstr>
      <vt:lpstr>Impact ind</vt:lpstr>
      <vt:lpstr>Data src</vt:lpstr>
      <vt:lpstr>Definitions</vt:lpstr>
      <vt:lpstr>Translations</vt:lpstr>
      <vt:lpstr>Sheet1</vt:lpstr>
      <vt:lpstr>ComponentSelected</vt:lpstr>
      <vt:lpstr>Country_Applicant</vt:lpstr>
      <vt:lpstr>LangOffset</vt:lpstr>
      <vt:lpstr>Language</vt:lpstr>
      <vt:lpstr>mg</vt:lpstr>
      <vt:lpstr>MonthIndex</vt:lpstr>
      <vt:lpstr>Months</vt:lpstr>
      <vt:lpstr>MonthSelected</vt:lpstr>
      <vt:lpstr>'Concept Note'!Print_Area</vt:lpstr>
      <vt:lpstr>PRs</vt:lpstr>
      <vt:lpstr>StartYearSelected</vt:lpstr>
      <vt:lpstr>TiedTo</vt:lpstr>
      <vt:lpstr>Years</vt:lpstr>
      <vt:lpstr>YearSelected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ME_PerformanceFramework_SemesterReporting_en.xls</dc:title>
  <dc:creator>Eric E. Camacho</dc:creator>
  <cp:lastModifiedBy>Svetlana Dupriez</cp:lastModifiedBy>
  <cp:lastPrinted>2013-09-26T17:51:22Z</cp:lastPrinted>
  <dcterms:created xsi:type="dcterms:W3CDTF">2011-08-15T15:21:04Z</dcterms:created>
  <dcterms:modified xsi:type="dcterms:W3CDTF">2013-10-18T08:40:55Z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ound">
    <vt:lpwstr>Round 11</vt:lpwstr>
  </property>
  <property fmtid="{D5CDD505-2E9C-101B-9397-08002B2CF9AE}" pid="3" name="Section">
    <vt:lpwstr>Performance Framework</vt:lpwstr>
  </property>
  <property fmtid="{D5CDD505-2E9C-101B-9397-08002B2CF9AE}" pid="4" name="OptionButton1">
    <vt:lpwstr>0</vt:lpwstr>
  </property>
  <property fmtid="{D5CDD505-2E9C-101B-9397-08002B2CF9AE}" pid="5" name="Template-ID">
    <vt:lpwstr/>
  </property>
  <property fmtid="{D5CDD505-2E9C-101B-9397-08002B2CF9AE}" pid="6" name="Language">
    <vt:lpwstr>English</vt:lpwstr>
  </property>
  <property fmtid="{D5CDD505-2E9C-101B-9397-08002B2CF9AE}" pid="7" name="Multi">
    <vt:lpwstr>Single</vt:lpwstr>
  </property>
  <property fmtid="{D5CDD505-2E9C-101B-9397-08002B2CF9AE}" pid="8" name="Final">
    <vt:lpwstr>1</vt:lpwstr>
  </property>
  <property fmtid="{D5CDD505-2E9C-101B-9397-08002B2CF9AE}" pid="9" name="Document Type">
    <vt:lpwstr>Periodic Review</vt:lpwstr>
  </property>
  <property fmtid="{D5CDD505-2E9C-101B-9397-08002B2CF9AE}" pid="10" name="PublishStatus">
    <vt:lpwstr>New</vt:lpwstr>
  </property>
  <property fmtid="{D5CDD505-2E9C-101B-9397-08002B2CF9AE}" pid="11" name="ContentType">
    <vt:lpwstr>Document</vt:lpwstr>
  </property>
  <property fmtid="{D5CDD505-2E9C-101B-9397-08002B2CF9AE}" pid="12" name="ContentTypeId">
    <vt:lpwstr>0x01010068A5792F332F6E438D3671D312F09125</vt:lpwstr>
  </property>
  <property fmtid="{D5CDD505-2E9C-101B-9397-08002B2CF9AE}" pid="13" name="Enterprise Asset Reference">
    <vt:lpwstr/>
  </property>
  <property fmtid="{D5CDD505-2E9C-101B-9397-08002B2CF9AE}" pid="14" name="Validation">
    <vt:lpwstr>Submited</vt:lpwstr>
  </property>
  <property fmtid="{D5CDD505-2E9C-101B-9397-08002B2CF9AE}" pid="15" name="AssetAutoExtraction">
    <vt:lpwstr/>
  </property>
  <property fmtid="{D5CDD505-2E9C-101B-9397-08002B2CF9AE}" pid="16" name="WorkflowCreationPath">
    <vt:lpwstr>2f7debbc-2b8d-44a1-9e0a-4005030c88f4,28;2f7debbc-2b8d-44a1-9e0a-4005030c88f4,30;2f7debbc-2b8d-44a1-9e0a-4005030c88f4,32;</vt:lpwstr>
  </property>
  <property fmtid="{D5CDD505-2E9C-101B-9397-08002B2CF9AE}" pid="17" name="EktContentLanguage">
    <vt:i4>1033</vt:i4>
  </property>
  <property fmtid="{D5CDD505-2E9C-101B-9397-08002B2CF9AE}" pid="18" name="EktQuickLink">
    <vt:lpwstr>DownloadAsset.aspx?id=26597</vt:lpwstr>
  </property>
  <property fmtid="{D5CDD505-2E9C-101B-9397-08002B2CF9AE}" pid="19" name="EktContentType">
    <vt:i4>101</vt:i4>
  </property>
  <property fmtid="{D5CDD505-2E9C-101B-9397-08002B2CF9AE}" pid="20" name="EktContentSubType">
    <vt:i4>0</vt:i4>
  </property>
  <property fmtid="{D5CDD505-2E9C-101B-9397-08002B2CF9AE}" pid="21" name="EktFolderName">
    <vt:lpwstr/>
  </property>
  <property fmtid="{D5CDD505-2E9C-101B-9397-08002B2CF9AE}" pid="22" name="EktCmsPath">
    <vt:lpwstr/>
  </property>
  <property fmtid="{D5CDD505-2E9C-101B-9397-08002B2CF9AE}" pid="23" name="EktExpiryType">
    <vt:i4>1</vt:i4>
  </property>
  <property fmtid="{D5CDD505-2E9C-101B-9397-08002B2CF9AE}" pid="24" name="EktDateCreated">
    <vt:filetime>2011-11-15T09:34:43Z</vt:filetime>
  </property>
  <property fmtid="{D5CDD505-2E9C-101B-9397-08002B2CF9AE}" pid="25" name="EktDateModified">
    <vt:filetime>2012-04-30T08:51:36Z</vt:filetime>
  </property>
  <property fmtid="{D5CDD505-2E9C-101B-9397-08002B2CF9AE}" pid="26" name="EktTaxCategory">
    <vt:lpwstr> #eksep# \Navigation\documents\monitoring_evaluation #eksep# </vt:lpwstr>
  </property>
  <property fmtid="{D5CDD505-2E9C-101B-9397-08002B2CF9AE}" pid="27" name="EktDisabledTaxCategory">
    <vt:lpwstr/>
  </property>
  <property fmtid="{D5CDD505-2E9C-101B-9397-08002B2CF9AE}" pid="28" name="EktCmsSize">
    <vt:i4>728576</vt:i4>
  </property>
  <property fmtid="{D5CDD505-2E9C-101B-9397-08002B2CF9AE}" pid="29" name="EktSearchable">
    <vt:i4>1</vt:i4>
  </property>
  <property fmtid="{D5CDD505-2E9C-101B-9397-08002B2CF9AE}" pid="30" name="EktEDescription">
    <vt:lpwstr>&amp;lt;p&amp;gt;$Meta$  $Ranges$  Translations  HSS  Definitions  Drops  Malaria  TB  HIV  Target assumptions  Performance Framework  Instructions ru  Instructions sp  Instructions fr  Instructions en  Afghanistan  Albania  Algeria  Alter_Vida___Centro_de_Estudi</vt:lpwstr>
  </property>
  <property fmtid="{D5CDD505-2E9C-101B-9397-08002B2CF9AE}" pid="31" name="EktFile_Size">
    <vt:lpwstr>696 KB</vt:lpwstr>
  </property>
  <property fmtid="{D5CDD505-2E9C-101B-9397-08002B2CF9AE}" pid="32" name="EktFile_Type">
    <vt:lpwstr>XLS</vt:lpwstr>
  </property>
</Properties>
</file>